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6065" windowHeight="11280" activeTab="11"/>
  </bookViews>
  <sheets>
    <sheet name="01.18" sheetId="33" r:id="rId1"/>
    <sheet name="02.18" sheetId="34" r:id="rId2"/>
    <sheet name="03.18" sheetId="35" r:id="rId3"/>
    <sheet name="04.18" sheetId="36" r:id="rId4"/>
    <sheet name="05.18" sheetId="37" r:id="rId5"/>
    <sheet name="06.18" sheetId="38" r:id="rId6"/>
    <sheet name="07.18" sheetId="39" r:id="rId7"/>
    <sheet name="08.18" sheetId="40" r:id="rId8"/>
    <sheet name="09.18" sheetId="41" r:id="rId9"/>
    <sheet name="10.18" sheetId="26" r:id="rId10"/>
    <sheet name="11.18" sheetId="31" r:id="rId11"/>
    <sheet name="12.18" sheetId="32" r:id="rId12"/>
  </sheets>
  <definedNames>
    <definedName name="_xlnm.Print_Area" localSheetId="0">'01.18'!$A$1:$I$121</definedName>
    <definedName name="_xlnm.Print_Area" localSheetId="1">'02.18'!$A$1:$I$118</definedName>
    <definedName name="_xlnm.Print_Area" localSheetId="2">'03.18'!$A$1:$I$119</definedName>
    <definedName name="_xlnm.Print_Area" localSheetId="9">'10.18'!$A$1:$I$123</definedName>
    <definedName name="_xlnm.Print_Area" localSheetId="10">'11.18'!$A$1:$I$120</definedName>
    <definedName name="_xlnm.Print_Area" localSheetId="11">'12.18'!$A$1:$I$122</definedName>
  </definedNames>
  <calcPr calcId="124519"/>
</workbook>
</file>

<file path=xl/calcChain.xml><?xml version="1.0" encoding="utf-8"?>
<calcChain xmlns="http://schemas.openxmlformats.org/spreadsheetml/2006/main">
  <c r="I89" i="40"/>
  <c r="I85"/>
  <c r="I98" i="32" l="1"/>
  <c r="I97"/>
  <c r="F97"/>
  <c r="H97" s="1"/>
  <c r="I64"/>
  <c r="I84" l="1"/>
  <c r="I96"/>
  <c r="I95"/>
  <c r="I94"/>
  <c r="I93"/>
  <c r="I92"/>
  <c r="I91"/>
  <c r="H91"/>
  <c r="I60"/>
  <c r="I43"/>
  <c r="I42"/>
  <c r="I97" i="31" l="1"/>
  <c r="I96"/>
  <c r="I92"/>
  <c r="I95" l="1"/>
  <c r="I94"/>
  <c r="I93"/>
  <c r="I91"/>
  <c r="H91"/>
  <c r="I43"/>
  <c r="I100" i="26" l="1"/>
  <c r="I89"/>
  <c r="I99"/>
  <c r="I98"/>
  <c r="I97"/>
  <c r="I96"/>
  <c r="I95"/>
  <c r="I94"/>
  <c r="I93"/>
  <c r="I92"/>
  <c r="I91"/>
  <c r="I100" i="41"/>
  <c r="I99"/>
  <c r="I98"/>
  <c r="I95" i="40" l="1"/>
  <c r="I89" i="41"/>
  <c r="I71"/>
  <c r="I96"/>
  <c r="I95"/>
  <c r="I94"/>
  <c r="I93"/>
  <c r="I92"/>
  <c r="H94"/>
  <c r="H92"/>
  <c r="I91"/>
  <c r="H91"/>
  <c r="F88"/>
  <c r="H88" s="1"/>
  <c r="H89" s="1"/>
  <c r="H87"/>
  <c r="F87"/>
  <c r="I87" s="1"/>
  <c r="H85"/>
  <c r="H84"/>
  <c r="H82"/>
  <c r="F82"/>
  <c r="I82" s="1"/>
  <c r="H80"/>
  <c r="I78"/>
  <c r="H78"/>
  <c r="H77"/>
  <c r="F76"/>
  <c r="H76" s="1"/>
  <c r="H75"/>
  <c r="F74"/>
  <c r="H74" s="1"/>
  <c r="H73"/>
  <c r="H7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I64"/>
  <c r="F64"/>
  <c r="H64" s="1"/>
  <c r="F62"/>
  <c r="I60"/>
  <c r="H60"/>
  <c r="F59"/>
  <c r="H59" s="1"/>
  <c r="F58"/>
  <c r="I58" s="1"/>
  <c r="F55"/>
  <c r="H55" s="1"/>
  <c r="H54"/>
  <c r="F54"/>
  <c r="I54" s="1"/>
  <c r="I53"/>
  <c r="H53"/>
  <c r="F52"/>
  <c r="H52" s="1"/>
  <c r="F51"/>
  <c r="I51" s="1"/>
  <c r="F50"/>
  <c r="H50" s="1"/>
  <c r="I49"/>
  <c r="H49"/>
  <c r="F49"/>
  <c r="I48"/>
  <c r="F48"/>
  <c r="H48" s="1"/>
  <c r="I47"/>
  <c r="H47"/>
  <c r="F47"/>
  <c r="I46"/>
  <c r="F46"/>
  <c r="H46" s="1"/>
  <c r="I45"/>
  <c r="H45"/>
  <c r="F45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I32"/>
  <c r="F32"/>
  <c r="H32" s="1"/>
  <c r="H31"/>
  <c r="F31"/>
  <c r="I31" s="1"/>
  <c r="F30"/>
  <c r="H30" s="1"/>
  <c r="H27"/>
  <c r="F27"/>
  <c r="I27" s="1"/>
  <c r="F26"/>
  <c r="H26" s="1"/>
  <c r="I25"/>
  <c r="F25"/>
  <c r="H25" s="1"/>
  <c r="I24"/>
  <c r="F24"/>
  <c r="H24" s="1"/>
  <c r="I23"/>
  <c r="F23"/>
  <c r="H23" s="1"/>
  <c r="I22"/>
  <c r="F22"/>
  <c r="H22" s="1"/>
  <c r="H21"/>
  <c r="F21"/>
  <c r="I21" s="1"/>
  <c r="I20"/>
  <c r="F20"/>
  <c r="H20" s="1"/>
  <c r="I19"/>
  <c r="F19"/>
  <c r="H19" s="1"/>
  <c r="F18"/>
  <c r="H18" s="1"/>
  <c r="E18"/>
  <c r="F17"/>
  <c r="H17" s="1"/>
  <c r="H16"/>
  <c r="F16"/>
  <c r="I16" s="1"/>
  <c r="I92" i="40"/>
  <c r="I78"/>
  <c r="I94"/>
  <c r="I93"/>
  <c r="I60"/>
  <c r="H92"/>
  <c r="I91"/>
  <c r="I96" s="1"/>
  <c r="H91"/>
  <c r="F88"/>
  <c r="H88" s="1"/>
  <c r="H89" s="1"/>
  <c r="F87"/>
  <c r="I87" s="1"/>
  <c r="H85"/>
  <c r="H84"/>
  <c r="F82"/>
  <c r="I82" s="1"/>
  <c r="H80"/>
  <c r="H78"/>
  <c r="H77"/>
  <c r="F76"/>
  <c r="H76" s="1"/>
  <c r="H75"/>
  <c r="F74"/>
  <c r="H74" s="1"/>
  <c r="H73"/>
  <c r="H7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I64"/>
  <c r="F64"/>
  <c r="H64" s="1"/>
  <c r="F62"/>
  <c r="H60"/>
  <c r="F59"/>
  <c r="I59" s="1"/>
  <c r="F58"/>
  <c r="H58" s="1"/>
  <c r="F55"/>
  <c r="I55" s="1"/>
  <c r="F54"/>
  <c r="H54" s="1"/>
  <c r="I53"/>
  <c r="H53"/>
  <c r="H52"/>
  <c r="F52"/>
  <c r="I52" s="1"/>
  <c r="F51"/>
  <c r="H51" s="1"/>
  <c r="F50"/>
  <c r="I50" s="1"/>
  <c r="I49"/>
  <c r="F49"/>
  <c r="H49" s="1"/>
  <c r="I48"/>
  <c r="F48"/>
  <c r="H48" s="1"/>
  <c r="I47"/>
  <c r="F47"/>
  <c r="H47" s="1"/>
  <c r="I46"/>
  <c r="F46"/>
  <c r="H46" s="1"/>
  <c r="I45"/>
  <c r="F45"/>
  <c r="H45" s="1"/>
  <c r="I43"/>
  <c r="H43"/>
  <c r="F42"/>
  <c r="I42" s="1"/>
  <c r="F41"/>
  <c r="H41" s="1"/>
  <c r="I40"/>
  <c r="H40"/>
  <c r="F39"/>
  <c r="I39" s="1"/>
  <c r="F38"/>
  <c r="H38" s="1"/>
  <c r="I37"/>
  <c r="H37"/>
  <c r="H35"/>
  <c r="H34"/>
  <c r="F33"/>
  <c r="I33" s="1"/>
  <c r="E33"/>
  <c r="I32"/>
  <c r="F32"/>
  <c r="H32" s="1"/>
  <c r="F31"/>
  <c r="H31" s="1"/>
  <c r="F30"/>
  <c r="I30" s="1"/>
  <c r="F27"/>
  <c r="H27" s="1"/>
  <c r="F26"/>
  <c r="I26" s="1"/>
  <c r="I25"/>
  <c r="F25"/>
  <c r="H25" s="1"/>
  <c r="I24"/>
  <c r="F24"/>
  <c r="H24" s="1"/>
  <c r="I23"/>
  <c r="F23"/>
  <c r="H23" s="1"/>
  <c r="I22"/>
  <c r="H22"/>
  <c r="F22"/>
  <c r="F21"/>
  <c r="H21" s="1"/>
  <c r="I20"/>
  <c r="F20"/>
  <c r="H20" s="1"/>
  <c r="I19"/>
  <c r="F19"/>
  <c r="H19" s="1"/>
  <c r="E18"/>
  <c r="F18" s="1"/>
  <c r="H17"/>
  <c r="F17"/>
  <c r="I17" s="1"/>
  <c r="F16"/>
  <c r="H16" s="1"/>
  <c r="H58" i="41" l="1"/>
  <c r="H83" s="1"/>
  <c r="H51"/>
  <c r="H41"/>
  <c r="H38"/>
  <c r="I17"/>
  <c r="I18"/>
  <c r="I26"/>
  <c r="I30"/>
  <c r="I33"/>
  <c r="I39"/>
  <c r="I42"/>
  <c r="I50"/>
  <c r="I52"/>
  <c r="I55"/>
  <c r="I59"/>
  <c r="I88"/>
  <c r="H30" i="40"/>
  <c r="H33"/>
  <c r="H26"/>
  <c r="H82"/>
  <c r="H87"/>
  <c r="H59"/>
  <c r="H83" s="1"/>
  <c r="H55"/>
  <c r="H50"/>
  <c r="H42"/>
  <c r="H39"/>
  <c r="I18"/>
  <c r="H18"/>
  <c r="I16"/>
  <c r="I21"/>
  <c r="I27"/>
  <c r="I31"/>
  <c r="I38"/>
  <c r="I41"/>
  <c r="I51"/>
  <c r="I54"/>
  <c r="I58"/>
  <c r="I88"/>
  <c r="I102" i="41" l="1"/>
  <c r="I98" i="40"/>
  <c r="I58" i="35" l="1"/>
  <c r="I89" i="34"/>
  <c r="I58" i="33"/>
  <c r="I89" i="39" l="1"/>
  <c r="I97"/>
  <c r="I96"/>
  <c r="I95"/>
  <c r="I94"/>
  <c r="I93"/>
  <c r="I92"/>
  <c r="H94"/>
  <c r="H92"/>
  <c r="I91"/>
  <c r="H91"/>
  <c r="H88"/>
  <c r="H89" s="1"/>
  <c r="F88"/>
  <c r="I88" s="1"/>
  <c r="F87"/>
  <c r="H87" s="1"/>
  <c r="H85"/>
  <c r="H84"/>
  <c r="F82"/>
  <c r="H82" s="1"/>
  <c r="H80"/>
  <c r="H78"/>
  <c r="H77"/>
  <c r="F76"/>
  <c r="H76" s="1"/>
  <c r="H75"/>
  <c r="F74"/>
  <c r="H74" s="1"/>
  <c r="H73"/>
  <c r="H71"/>
  <c r="I70"/>
  <c r="F70"/>
  <c r="H70" s="1"/>
  <c r="I69"/>
  <c r="F69"/>
  <c r="H69" s="1"/>
  <c r="I68"/>
  <c r="F68"/>
  <c r="H68" s="1"/>
  <c r="I67"/>
  <c r="F67"/>
  <c r="H67" s="1"/>
  <c r="I66"/>
  <c r="F66"/>
  <c r="H66" s="1"/>
  <c r="H65"/>
  <c r="F65"/>
  <c r="I64"/>
  <c r="F64"/>
  <c r="H64" s="1"/>
  <c r="F62"/>
  <c r="I60"/>
  <c r="H60"/>
  <c r="F59"/>
  <c r="H59" s="1"/>
  <c r="F58"/>
  <c r="I58" s="1"/>
  <c r="F55"/>
  <c r="H55" s="1"/>
  <c r="F54"/>
  <c r="I54" s="1"/>
  <c r="I53"/>
  <c r="H53"/>
  <c r="F52"/>
  <c r="H52" s="1"/>
  <c r="F51"/>
  <c r="I51" s="1"/>
  <c r="F50"/>
  <c r="H50" s="1"/>
  <c r="I49"/>
  <c r="F49"/>
  <c r="H49" s="1"/>
  <c r="I48"/>
  <c r="F48"/>
  <c r="H48" s="1"/>
  <c r="I47"/>
  <c r="F47"/>
  <c r="H47" s="1"/>
  <c r="I46"/>
  <c r="F46"/>
  <c r="H46" s="1"/>
  <c r="I45"/>
  <c r="F45"/>
  <c r="H45" s="1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I32"/>
  <c r="F32"/>
  <c r="H32" s="1"/>
  <c r="H31"/>
  <c r="F31"/>
  <c r="I31" s="1"/>
  <c r="F30"/>
  <c r="H30" s="1"/>
  <c r="H27"/>
  <c r="F27"/>
  <c r="I27" s="1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I20"/>
  <c r="F20"/>
  <c r="H20" s="1"/>
  <c r="I19"/>
  <c r="F19"/>
  <c r="H19" s="1"/>
  <c r="F18"/>
  <c r="H18" s="1"/>
  <c r="E18"/>
  <c r="F17"/>
  <c r="H17" s="1"/>
  <c r="H16"/>
  <c r="F16"/>
  <c r="I16" s="1"/>
  <c r="I99" l="1"/>
  <c r="H58"/>
  <c r="H54"/>
  <c r="H51"/>
  <c r="H41"/>
  <c r="H38"/>
  <c r="H21"/>
  <c r="H83"/>
  <c r="I26"/>
  <c r="I30"/>
  <c r="I33"/>
  <c r="I39"/>
  <c r="I42"/>
  <c r="I50"/>
  <c r="I52"/>
  <c r="I55"/>
  <c r="I59"/>
  <c r="I82"/>
  <c r="I87"/>
  <c r="I101" s="1"/>
  <c r="I17"/>
  <c r="I18"/>
  <c r="I89" i="38"/>
  <c r="I99"/>
  <c r="I98"/>
  <c r="I97"/>
  <c r="I95"/>
  <c r="I94"/>
  <c r="I93"/>
  <c r="I92"/>
  <c r="I96"/>
  <c r="H94"/>
  <c r="H92"/>
  <c r="I91"/>
  <c r="H91"/>
  <c r="H88"/>
  <c r="H89" s="1"/>
  <c r="F88"/>
  <c r="I88" s="1"/>
  <c r="F87"/>
  <c r="I87" s="1"/>
  <c r="H85"/>
  <c r="H84"/>
  <c r="F82"/>
  <c r="I82" s="1"/>
  <c r="H80"/>
  <c r="H78"/>
  <c r="H77"/>
  <c r="F76"/>
  <c r="H76" s="1"/>
  <c r="H75"/>
  <c r="F74"/>
  <c r="H74" s="1"/>
  <c r="H73"/>
  <c r="H7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I64"/>
  <c r="F64"/>
  <c r="H64" s="1"/>
  <c r="F62"/>
  <c r="I60"/>
  <c r="H60"/>
  <c r="F59"/>
  <c r="I59" s="1"/>
  <c r="F58"/>
  <c r="H58" s="1"/>
  <c r="F55"/>
  <c r="I55" s="1"/>
  <c r="F54"/>
  <c r="H54" s="1"/>
  <c r="I53"/>
  <c r="H53"/>
  <c r="F52"/>
  <c r="I52" s="1"/>
  <c r="F51"/>
  <c r="H51" s="1"/>
  <c r="F50"/>
  <c r="I50" s="1"/>
  <c r="I49"/>
  <c r="F49"/>
  <c r="H49" s="1"/>
  <c r="I48"/>
  <c r="F48"/>
  <c r="H48" s="1"/>
  <c r="I47"/>
  <c r="F47"/>
  <c r="H47" s="1"/>
  <c r="I46"/>
  <c r="F46"/>
  <c r="H46" s="1"/>
  <c r="I45"/>
  <c r="F45"/>
  <c r="H45" s="1"/>
  <c r="I43"/>
  <c r="H43"/>
  <c r="F42"/>
  <c r="I42" s="1"/>
  <c r="F41"/>
  <c r="H41" s="1"/>
  <c r="I40"/>
  <c r="H40"/>
  <c r="F39"/>
  <c r="I39" s="1"/>
  <c r="F38"/>
  <c r="H38" s="1"/>
  <c r="I37"/>
  <c r="H37"/>
  <c r="H35"/>
  <c r="H34"/>
  <c r="H33"/>
  <c r="F33"/>
  <c r="I33" s="1"/>
  <c r="E33"/>
  <c r="I32"/>
  <c r="F32"/>
  <c r="H32" s="1"/>
  <c r="F31"/>
  <c r="H31" s="1"/>
  <c r="H30"/>
  <c r="F30"/>
  <c r="I30" s="1"/>
  <c r="F27"/>
  <c r="H27" s="1"/>
  <c r="H26"/>
  <c r="F26"/>
  <c r="I26" s="1"/>
  <c r="I25"/>
  <c r="F25"/>
  <c r="H25" s="1"/>
  <c r="I24"/>
  <c r="F24"/>
  <c r="H24" s="1"/>
  <c r="I23"/>
  <c r="F23"/>
  <c r="H23" s="1"/>
  <c r="I22"/>
  <c r="F22"/>
  <c r="H22" s="1"/>
  <c r="F21"/>
  <c r="H21" s="1"/>
  <c r="I20"/>
  <c r="F20"/>
  <c r="H20" s="1"/>
  <c r="I19"/>
  <c r="F19"/>
  <c r="H19" s="1"/>
  <c r="E18"/>
  <c r="F18" s="1"/>
  <c r="H17"/>
  <c r="F17"/>
  <c r="I17" s="1"/>
  <c r="F16"/>
  <c r="H16" s="1"/>
  <c r="I98" i="37"/>
  <c r="I95"/>
  <c r="I93" i="36"/>
  <c r="I89" i="37"/>
  <c r="I93"/>
  <c r="I32"/>
  <c r="I97"/>
  <c r="I96"/>
  <c r="I94"/>
  <c r="I92"/>
  <c r="I70"/>
  <c r="I69"/>
  <c r="I68"/>
  <c r="I67"/>
  <c r="I66"/>
  <c r="I49"/>
  <c r="I48"/>
  <c r="I47"/>
  <c r="I46"/>
  <c r="I45"/>
  <c r="I25"/>
  <c r="I24"/>
  <c r="I23"/>
  <c r="I22"/>
  <c r="I20"/>
  <c r="I19"/>
  <c r="H94"/>
  <c r="H92"/>
  <c r="I91"/>
  <c r="H91"/>
  <c r="F88"/>
  <c r="H88" s="1"/>
  <c r="H89" s="1"/>
  <c r="F87"/>
  <c r="I87" s="1"/>
  <c r="H85"/>
  <c r="H84"/>
  <c r="F82"/>
  <c r="I82" s="1"/>
  <c r="H80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I60"/>
  <c r="H60"/>
  <c r="F59"/>
  <c r="I59" s="1"/>
  <c r="F58"/>
  <c r="H58" s="1"/>
  <c r="F55"/>
  <c r="I55" s="1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8" s="1"/>
  <c r="F17"/>
  <c r="H17" s="1"/>
  <c r="H16"/>
  <c r="F16"/>
  <c r="I16" s="1"/>
  <c r="H59" i="38" l="1"/>
  <c r="H83" s="1"/>
  <c r="H55"/>
  <c r="H39"/>
  <c r="I18"/>
  <c r="H18"/>
  <c r="I16"/>
  <c r="I21"/>
  <c r="I27"/>
  <c r="I31"/>
  <c r="I38"/>
  <c r="I41"/>
  <c r="H42"/>
  <c r="H50"/>
  <c r="I51"/>
  <c r="H52"/>
  <c r="I54"/>
  <c r="I101" s="1"/>
  <c r="I58"/>
  <c r="H82"/>
  <c r="H87"/>
  <c r="H27" i="37"/>
  <c r="H55"/>
  <c r="H21"/>
  <c r="H31"/>
  <c r="H52"/>
  <c r="H82"/>
  <c r="H87"/>
  <c r="H50"/>
  <c r="H59"/>
  <c r="H83" s="1"/>
  <c r="H38"/>
  <c r="H41"/>
  <c r="I17"/>
  <c r="I18"/>
  <c r="I26"/>
  <c r="I30"/>
  <c r="I33"/>
  <c r="I39"/>
  <c r="I42"/>
  <c r="I51"/>
  <c r="I54"/>
  <c r="I58"/>
  <c r="I88"/>
  <c r="I100" l="1"/>
  <c r="I92" i="36" l="1"/>
  <c r="I96" s="1"/>
  <c r="I43"/>
  <c r="I89"/>
  <c r="I95"/>
  <c r="I94"/>
  <c r="I91"/>
  <c r="H91"/>
  <c r="I60"/>
  <c r="I40"/>
  <c r="H95"/>
  <c r="H94"/>
  <c r="H92"/>
  <c r="F88"/>
  <c r="I88" s="1"/>
  <c r="F87"/>
  <c r="I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0"/>
  <c r="H59"/>
  <c r="F59"/>
  <c r="I59" s="1"/>
  <c r="F58"/>
  <c r="H58" s="1"/>
  <c r="F55"/>
  <c r="I55" s="1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H42" s="1"/>
  <c r="H41"/>
  <c r="F41"/>
  <c r="I41" s="1"/>
  <c r="H40"/>
  <c r="F39"/>
  <c r="H39" s="1"/>
  <c r="H38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H18" s="1"/>
  <c r="E18"/>
  <c r="F17"/>
  <c r="H17" s="1"/>
  <c r="F16"/>
  <c r="I16" s="1"/>
  <c r="I89" i="35"/>
  <c r="I94"/>
  <c r="I95"/>
  <c r="I93"/>
  <c r="H95"/>
  <c r="H94"/>
  <c r="H93"/>
  <c r="I92"/>
  <c r="I60"/>
  <c r="I42"/>
  <c r="I96"/>
  <c r="H92"/>
  <c r="I91"/>
  <c r="H91"/>
  <c r="F88"/>
  <c r="H88" s="1"/>
  <c r="H89" s="1"/>
  <c r="F87"/>
  <c r="I87" s="1"/>
  <c r="H85"/>
  <c r="H84"/>
  <c r="H82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H64"/>
  <c r="F64"/>
  <c r="F62"/>
  <c r="H60"/>
  <c r="F59"/>
  <c r="I59" s="1"/>
  <c r="F58"/>
  <c r="H58" s="1"/>
  <c r="H55"/>
  <c r="F55"/>
  <c r="I55" s="1"/>
  <c r="F54"/>
  <c r="H54" s="1"/>
  <c r="I53"/>
  <c r="H53"/>
  <c r="H52"/>
  <c r="F52"/>
  <c r="I52" s="1"/>
  <c r="F51"/>
  <c r="H51" s="1"/>
  <c r="H50"/>
  <c r="F50"/>
  <c r="I50" s="1"/>
  <c r="F49"/>
  <c r="H49" s="1"/>
  <c r="H48"/>
  <c r="F48"/>
  <c r="H47"/>
  <c r="F47"/>
  <c r="H46"/>
  <c r="F46"/>
  <c r="H45"/>
  <c r="F45"/>
  <c r="H43"/>
  <c r="F42"/>
  <c r="H42" s="1"/>
  <c r="H41"/>
  <c r="F41"/>
  <c r="I41" s="1"/>
  <c r="I40"/>
  <c r="H40"/>
  <c r="F39"/>
  <c r="H39" s="1"/>
  <c r="H38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I16" s="1"/>
  <c r="I92" i="34"/>
  <c r="I43"/>
  <c r="I42"/>
  <c r="I43" i="33"/>
  <c r="I42"/>
  <c r="H16" i="36" l="1"/>
  <c r="H27"/>
  <c r="H88"/>
  <c r="H89" s="1"/>
  <c r="H83"/>
  <c r="H55"/>
  <c r="H52"/>
  <c r="H50"/>
  <c r="H31"/>
  <c r="H21"/>
  <c r="I17"/>
  <c r="I18"/>
  <c r="I26"/>
  <c r="I30"/>
  <c r="I32"/>
  <c r="I33"/>
  <c r="I39"/>
  <c r="I42"/>
  <c r="I51"/>
  <c r="I54"/>
  <c r="I58"/>
  <c r="H82"/>
  <c r="H87"/>
  <c r="H59" i="35"/>
  <c r="H83" s="1"/>
  <c r="H18"/>
  <c r="I18"/>
  <c r="H16"/>
  <c r="H21"/>
  <c r="I26"/>
  <c r="H27"/>
  <c r="I30"/>
  <c r="H31"/>
  <c r="I32"/>
  <c r="I33"/>
  <c r="I39"/>
  <c r="I51"/>
  <c r="I54"/>
  <c r="H87"/>
  <c r="I88"/>
  <c r="I98" i="36" l="1"/>
  <c r="I98" i="35"/>
  <c r="I93" i="34" l="1"/>
  <c r="I94"/>
  <c r="H94"/>
  <c r="H93"/>
  <c r="H92"/>
  <c r="I91"/>
  <c r="I95" s="1"/>
  <c r="H91"/>
  <c r="F88"/>
  <c r="H88" s="1"/>
  <c r="H89" s="1"/>
  <c r="F87"/>
  <c r="I87" s="1"/>
  <c r="H85"/>
  <c r="H84"/>
  <c r="H82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I60"/>
  <c r="H60"/>
  <c r="F59"/>
  <c r="I59" s="1"/>
  <c r="F58"/>
  <c r="H58" s="1"/>
  <c r="F55"/>
  <c r="I55" s="1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H17" s="1"/>
  <c r="F16"/>
  <c r="I16" s="1"/>
  <c r="I89" i="33"/>
  <c r="I98"/>
  <c r="I97"/>
  <c r="H97"/>
  <c r="I96"/>
  <c r="H96"/>
  <c r="I95"/>
  <c r="H95"/>
  <c r="I94"/>
  <c r="H94"/>
  <c r="I93"/>
  <c r="H93"/>
  <c r="I92"/>
  <c r="H92"/>
  <c r="I91"/>
  <c r="H91"/>
  <c r="I60"/>
  <c r="I55"/>
  <c r="I54"/>
  <c r="H88"/>
  <c r="H89" s="1"/>
  <c r="F88"/>
  <c r="I88" s="1"/>
  <c r="F87"/>
  <c r="H87" s="1"/>
  <c r="H85"/>
  <c r="H84"/>
  <c r="F82"/>
  <c r="H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0"/>
  <c r="F59"/>
  <c r="H59" s="1"/>
  <c r="H58"/>
  <c r="F58"/>
  <c r="F55"/>
  <c r="H55" s="1"/>
  <c r="F54"/>
  <c r="H54" s="1"/>
  <c r="I53"/>
  <c r="H53"/>
  <c r="F52"/>
  <c r="H52" s="1"/>
  <c r="H5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H42"/>
  <c r="F42"/>
  <c r="F41"/>
  <c r="H41" s="1"/>
  <c r="I40"/>
  <c r="H40"/>
  <c r="H39"/>
  <c r="F39"/>
  <c r="I39" s="1"/>
  <c r="F38"/>
  <c r="H38" s="1"/>
  <c r="I37"/>
  <c r="H37"/>
  <c r="H35"/>
  <c r="H34"/>
  <c r="H33"/>
  <c r="F33"/>
  <c r="I33" s="1"/>
  <c r="E33"/>
  <c r="H32"/>
  <c r="F32"/>
  <c r="I32" s="1"/>
  <c r="F31"/>
  <c r="H31" s="1"/>
  <c r="H30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H18" i="34" l="1"/>
  <c r="I18"/>
  <c r="H16"/>
  <c r="I17"/>
  <c r="H21"/>
  <c r="I26"/>
  <c r="H27"/>
  <c r="I30"/>
  <c r="H31"/>
  <c r="I32"/>
  <c r="I33"/>
  <c r="H38"/>
  <c r="I39"/>
  <c r="H41"/>
  <c r="H50"/>
  <c r="I51"/>
  <c r="H52"/>
  <c r="I54"/>
  <c r="H55"/>
  <c r="I58"/>
  <c r="H59"/>
  <c r="H83" s="1"/>
  <c r="H87"/>
  <c r="I88"/>
  <c r="H26" i="33"/>
  <c r="H83"/>
  <c r="I18"/>
  <c r="I100" s="1"/>
  <c r="H18"/>
  <c r="I16"/>
  <c r="I21"/>
  <c r="I27"/>
  <c r="I31"/>
  <c r="I38"/>
  <c r="I41"/>
  <c r="I50"/>
  <c r="I52"/>
  <c r="I59"/>
  <c r="I82"/>
  <c r="I87"/>
  <c r="I97" i="34" l="1"/>
  <c r="H92" i="32" l="1"/>
  <c r="F92"/>
  <c r="F88" l="1"/>
  <c r="H88" s="1"/>
  <c r="H89" s="1"/>
  <c r="F87"/>
  <c r="I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H60"/>
  <c r="F59"/>
  <c r="I59" s="1"/>
  <c r="H58"/>
  <c r="F58"/>
  <c r="I58" s="1"/>
  <c r="F55"/>
  <c r="H55" s="1"/>
  <c r="F54"/>
  <c r="H54" s="1"/>
  <c r="I53"/>
  <c r="H53"/>
  <c r="F52"/>
  <c r="I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I41" s="1"/>
  <c r="I89" s="1"/>
  <c r="I40"/>
  <c r="H40"/>
  <c r="F39"/>
  <c r="I39" s="1"/>
  <c r="H38"/>
  <c r="F38"/>
  <c r="I38" s="1"/>
  <c r="I37"/>
  <c r="H37"/>
  <c r="H35"/>
  <c r="H34"/>
  <c r="F33"/>
  <c r="I33" s="1"/>
  <c r="E33"/>
  <c r="F32"/>
  <c r="I32" s="1"/>
  <c r="F31"/>
  <c r="I31" s="1"/>
  <c r="F30"/>
  <c r="I30" s="1"/>
  <c r="F27"/>
  <c r="I27" s="1"/>
  <c r="F26"/>
  <c r="I26" s="1"/>
  <c r="F25"/>
  <c r="H25" s="1"/>
  <c r="F24"/>
  <c r="H24" s="1"/>
  <c r="F23"/>
  <c r="H23" s="1"/>
  <c r="F22"/>
  <c r="H22" s="1"/>
  <c r="F21"/>
  <c r="I21" s="1"/>
  <c r="H20"/>
  <c r="F20"/>
  <c r="H19"/>
  <c r="F19"/>
  <c r="F18"/>
  <c r="I18" s="1"/>
  <c r="E18"/>
  <c r="F17"/>
  <c r="I17" s="1"/>
  <c r="F16"/>
  <c r="I16" s="1"/>
  <c r="H94" i="31"/>
  <c r="F93"/>
  <c r="H93" s="1"/>
  <c r="H92"/>
  <c r="I64"/>
  <c r="I60"/>
  <c r="I40"/>
  <c r="I37"/>
  <c r="F88"/>
  <c r="I88" s="1"/>
  <c r="F87"/>
  <c r="I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H60"/>
  <c r="F59"/>
  <c r="H59" s="1"/>
  <c r="F58"/>
  <c r="H58" s="1"/>
  <c r="F55"/>
  <c r="H55" s="1"/>
  <c r="F54"/>
  <c r="H54" s="1"/>
  <c r="I53"/>
  <c r="H53"/>
  <c r="F52"/>
  <c r="I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H40"/>
  <c r="F39"/>
  <c r="H39" s="1"/>
  <c r="F38"/>
  <c r="H38" s="1"/>
  <c r="H37"/>
  <c r="H35"/>
  <c r="H34"/>
  <c r="F33"/>
  <c r="I33" s="1"/>
  <c r="E33"/>
  <c r="F32"/>
  <c r="I32" s="1"/>
  <c r="F31"/>
  <c r="I31" s="1"/>
  <c r="F30"/>
  <c r="I30" s="1"/>
  <c r="F27"/>
  <c r="I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27" i="32" l="1"/>
  <c r="H42" i="31"/>
  <c r="I42"/>
  <c r="I21"/>
  <c r="H83"/>
  <c r="H82" i="32"/>
  <c r="I50"/>
  <c r="H16"/>
  <c r="H31"/>
  <c r="H41"/>
  <c r="H51"/>
  <c r="H21"/>
  <c r="H17"/>
  <c r="H18"/>
  <c r="H26"/>
  <c r="H30"/>
  <c r="H32"/>
  <c r="H33"/>
  <c r="H39"/>
  <c r="H42"/>
  <c r="H52"/>
  <c r="H59"/>
  <c r="H83" s="1"/>
  <c r="H87"/>
  <c r="I88"/>
  <c r="H88" i="31"/>
  <c r="H89" s="1"/>
  <c r="H27"/>
  <c r="I38"/>
  <c r="I58"/>
  <c r="H17"/>
  <c r="I41"/>
  <c r="I39"/>
  <c r="I59"/>
  <c r="H52"/>
  <c r="H31"/>
  <c r="H18"/>
  <c r="I18"/>
  <c r="I16"/>
  <c r="H26"/>
  <c r="H30"/>
  <c r="H32"/>
  <c r="H33"/>
  <c r="H51"/>
  <c r="H82"/>
  <c r="H87"/>
  <c r="I89" l="1"/>
  <c r="I99"/>
  <c r="I100" i="32"/>
  <c r="H99" i="26" l="1"/>
  <c r="H98"/>
  <c r="H97"/>
  <c r="H96"/>
  <c r="H95"/>
  <c r="H94"/>
  <c r="H93"/>
  <c r="H92"/>
  <c r="H91"/>
  <c r="F88"/>
  <c r="I88" s="1"/>
  <c r="F87"/>
  <c r="H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0"/>
  <c r="F59"/>
  <c r="H59" s="1"/>
  <c r="F58"/>
  <c r="H58" s="1"/>
  <c r="F55"/>
  <c r="H55" s="1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16" l="1"/>
  <c r="H26"/>
  <c r="H88"/>
  <c r="I87"/>
  <c r="H83"/>
  <c r="H82"/>
  <c r="H51"/>
  <c r="I52"/>
  <c r="H30"/>
  <c r="I31"/>
  <c r="H32"/>
  <c r="H33"/>
  <c r="I17"/>
  <c r="I18"/>
  <c r="I27"/>
  <c r="H89" l="1"/>
  <c r="I102" l="1"/>
</calcChain>
</file>

<file path=xl/sharedStrings.xml><?xml version="1.0" encoding="utf-8"?>
<sst xmlns="http://schemas.openxmlformats.org/spreadsheetml/2006/main" count="2880" uniqueCount="263">
  <si>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</si>
  <si>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</si>
  <si>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</si>
  <si>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</si>
  <si>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</si>
  <si>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</si>
  <si>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</si>
  <si>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</si>
  <si>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</si>
  <si>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</si>
  <si>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</si>
  <si>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</si>
  <si>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</si>
  <si>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</si>
  <si>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</si>
  <si>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</si>
  <si>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</si>
  <si>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</si>
  <si>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</si>
  <si>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</si>
  <si>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</si>
  <si>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</si>
  <si>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</si>
  <si>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</si>
  <si>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</si>
  <si>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</si>
  <si>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</si>
  <si>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</si>
  <si>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</si>
  <si>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</si>
  <si>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</si>
  <si>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</si>
  <si>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</si>
  <si>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</si>
  <si>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</si>
  <si>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</si>
  <si>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</si>
  <si>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</si>
  <si>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</si>
  <si>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</si>
  <si>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</si>
  <si>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</si>
  <si>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</si>
  <si>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</si>
  <si>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</si>
  <si>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</si>
  <si>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</si>
  <si>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</si>
  <si>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</si>
  <si>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</si>
  <si>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</si>
  <si>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</si>
  <si>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</si>
  <si>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</si>
  <si>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</si>
  <si>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</si>
  <si>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</si>
  <si>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</si>
  <si>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</si>
  <si>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</si>
  <si>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</si>
  <si>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</si>
  <si>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</si>
  <si>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</si>
  <si>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</si>
  <si>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</si>
  <si>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</si>
  <si>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</si>
  <si>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</si>
  <si>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</si>
  <si>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</si>
  <si>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</si>
  <si>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</si>
  <si>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</si>
  <si>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</si>
  <si>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</si>
  <si>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</si>
  <si>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</si>
  <si>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</si>
  <si>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</si>
  <si>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</si>
  <si>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</si>
  <si>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</si>
  <si>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</si>
  <si>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</si>
  <si>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</si>
  <si>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</si>
  <si>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</si>
  <si>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</si>
  <si>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</si>
  <si>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</si>
  <si>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</si>
  <si>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</si>
  <si>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</si>
  <si>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</si>
  <si>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</si>
  <si>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Осмотр шиферной кровли</t>
  </si>
  <si>
    <t>шт</t>
  </si>
  <si>
    <t>100м3</t>
  </si>
  <si>
    <t>1000м3</t>
  </si>
  <si>
    <t>Вода для промывки СО</t>
  </si>
  <si>
    <t>Аварийно-диспетчерское обслуживание</t>
  </si>
  <si>
    <t xml:space="preserve">Проверка дымоходов </t>
  </si>
  <si>
    <t>Прочистка каналов</t>
  </si>
  <si>
    <t>30 раз за сезон</t>
  </si>
  <si>
    <t xml:space="preserve">Очистка края кровли от слежавшегося снега со сбрасыванием сосулек (10% от S кровли) 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</si>
  <si>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</si>
  <si>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</si>
  <si>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</si>
  <si>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</si>
  <si>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</si>
  <si>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</si>
  <si>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</si>
  <si>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</si>
  <si>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</si>
  <si>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2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</si>
  <si>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</si>
  <si>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</si>
  <si>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</si>
  <si>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</si>
  <si>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</si>
  <si>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>Вывоз снега с придомовой территории</t>
  </si>
  <si>
    <t xml:space="preserve">6 раз за сезон </t>
  </si>
  <si>
    <t xml:space="preserve">Смена светодиодных светильников </t>
  </si>
  <si>
    <t>Стоимость светодиодного светильника</t>
  </si>
  <si>
    <t>руб</t>
  </si>
  <si>
    <t>Смена плавкой вставки в электрощитке</t>
  </si>
  <si>
    <t>Внеплановй осмотр электросетей, армазуры и электрооборудования на лестничных клетках</t>
  </si>
  <si>
    <t>Работа автовышки</t>
  </si>
  <si>
    <t>маш/час</t>
  </si>
  <si>
    <t>Смена дверных приборов - пружины</t>
  </si>
  <si>
    <t xml:space="preserve">приемки оказанных услуг и выполненных работ по содержанию и текущему ремонту
общего имущества в многоквартирном доме №14 по ул.Советская пгт.Ярега
</t>
  </si>
  <si>
    <t>генеральный директор Куканов Ю.Л.</t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</si>
  <si>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</si>
  <si>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</si>
  <si>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</si>
  <si>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</si>
  <si>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</si>
  <si>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</si>
  <si>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</si>
  <si>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Спуск воды после промывки СО в канализацию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</si>
  <si>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</si>
  <si>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</si>
  <si>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</si>
  <si>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№10</t>
  </si>
  <si>
    <t>1 шт</t>
  </si>
  <si>
    <t>м</t>
  </si>
  <si>
    <t>Смена арматуры - вентилей и клапанов обратных муфтовых диаметром до 20 мм</t>
  </si>
  <si>
    <t>156 раз в год</t>
  </si>
  <si>
    <t>104 раза в год</t>
  </si>
  <si>
    <t xml:space="preserve">24 раза в год </t>
  </si>
  <si>
    <t>182 раза</t>
  </si>
  <si>
    <t>52 раза в сезон</t>
  </si>
  <si>
    <t>52 раза за сезон</t>
  </si>
  <si>
    <t>24 раза за сезон</t>
  </si>
  <si>
    <t>Смена светильника РКУ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</si>
  <si>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</si>
  <si>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</si>
  <si>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</si>
  <si>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</si>
  <si>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Обход и осмотр фасадного газопровода</t>
  </si>
  <si>
    <t>Техническое диагностирование ВДГО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</si>
  <si>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21.09.2017г.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</si>
  <si>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Итого затраты за месяц</t>
  </si>
  <si>
    <t>1 мЗ</t>
  </si>
  <si>
    <t>Установка заглушек диаметром трубопроводов до 100 мм</t>
  </si>
  <si>
    <t>заглушка</t>
  </si>
  <si>
    <t>за период с 01.01.2018 г. по 31.01.2018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</si>
  <si>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д.14</t>
    </r>
  </si>
  <si>
    <t>Дератизация</t>
  </si>
  <si>
    <t>м2</t>
  </si>
  <si>
    <t>Очистка канализационной сети внутренней</t>
  </si>
  <si>
    <t>1м</t>
  </si>
  <si>
    <t>Смена вентилей диаметром до 20 мм (без учёта материалов)</t>
  </si>
  <si>
    <t xml:space="preserve">Работа ротенбергера </t>
  </si>
  <si>
    <t>час</t>
  </si>
  <si>
    <t>Водосчетчик ВСКМ Ду32 в комплекте с присоед.узлом</t>
  </si>
  <si>
    <t>за период с 01.02.2018 г. по 28.02.2018 г.</t>
  </si>
  <si>
    <t>АКТ №3</t>
  </si>
  <si>
    <t>за период с 01.03.2018 г. по 31.03.2018 г.</t>
  </si>
  <si>
    <t>Монтаж общедомового узла учёта</t>
  </si>
  <si>
    <t>руб.</t>
  </si>
  <si>
    <t>Ремонт групповых щитков на лестничной клетке без ремонта автоматов</t>
  </si>
  <si>
    <t>АКТ №4</t>
  </si>
  <si>
    <t>за период с 01.04.2018 г. по 30.04.2018 г.</t>
  </si>
  <si>
    <t>65м2</t>
  </si>
  <si>
    <t>24 ч</t>
  </si>
  <si>
    <t>Ремонт отдельных мест покрытия из асбоцементных листов обыкновенного профиля</t>
  </si>
  <si>
    <t>10 м2</t>
  </si>
  <si>
    <t>35 листов</t>
  </si>
  <si>
    <t>Пена монтажная</t>
  </si>
  <si>
    <t>бал</t>
  </si>
  <si>
    <t>АКТ №5</t>
  </si>
  <si>
    <t>за период с 01.05.2018 г. по 31.05.2018 г.</t>
  </si>
  <si>
    <t>Внеплановый осмотр водопроводов, канализации, отопления в квартирах</t>
  </si>
  <si>
    <t>100 кв.</t>
  </si>
  <si>
    <t>Внеплановая проверка дымоходов</t>
  </si>
  <si>
    <t>Снятие показаний с контрольных точек</t>
  </si>
  <si>
    <t>2. Всего за период с 01.04.2018 по 30.04.2018 выполнено работ (оказано услуг) на общую сумму: 136 575,59 руб.</t>
  </si>
  <si>
    <t>(сто тридцать шесть тысяч пятьсот семьдесят пять рублей 59 копеек)</t>
  </si>
  <si>
    <t>2. Всего за период с 01.05.2018 по 31.05.2018 выполнено работ (оказано услуг) на общую сумму: 195 477,33 руб.</t>
  </si>
  <si>
    <t>(сто девяносто пять тысяч четыреста семьдесят семь рублей 33 копейки)</t>
  </si>
  <si>
    <t>за период с 01.06.2018 г. по 30.06.2018 г.</t>
  </si>
  <si>
    <t>АКТ №6</t>
  </si>
  <si>
    <t>Смена трубопроводов наполипропиленовые трубы PN25 Dу 20</t>
  </si>
  <si>
    <t>Колено 20-90</t>
  </si>
  <si>
    <t>Колено 20-45</t>
  </si>
  <si>
    <t>Муфта разъемная 20*1/2 НР</t>
  </si>
  <si>
    <t>Смена дверных приборов /замки навесные)</t>
  </si>
  <si>
    <t>Заделка слуховых окон фанерой</t>
  </si>
  <si>
    <t>(сорок пять тысяч восемьдесят пять рублей 63 копейки)</t>
  </si>
  <si>
    <t>ООО «Движение»</t>
  </si>
  <si>
    <t>АКТ №7</t>
  </si>
  <si>
    <t>за период с 01.07.2018 г. по 31.07.2018 г.</t>
  </si>
  <si>
    <t>Установка хомута диаметром до 50 мм</t>
  </si>
  <si>
    <t>место</t>
  </si>
  <si>
    <t>Внеплановая проверка ветканалов</t>
  </si>
  <si>
    <t>Вентиль (Ш) Ду 25 ПП</t>
  </si>
  <si>
    <t>2. Всего за период с 01.06.2018 по 30.06.2018 выполнено работ (оказано услуг) на общую сумму: 45085,63 руб.</t>
  </si>
  <si>
    <t>2. Всего за период с 01.07.2018 по 31.07.2018 выполнено работ (оказано услуг) на общую сумму: 43778,86 руб.</t>
  </si>
  <si>
    <t>(сорок три тысячи семьсот семьдесят восемь рублей 86 копеек)</t>
  </si>
  <si>
    <t>2. Всего за период с 01.01.2018 по 31.01.2018 выполнено работ (оказано услуг) на общую сумму: 90309,64 руб.</t>
  </si>
  <si>
    <t>(девяносто тысяч триста девять рублей 64 копейки)</t>
  </si>
  <si>
    <t>2. Всего за период с 01.02.2018 по 28.02.2018 выполнено работ (оказано услуг) на общую сумму: 60648,66 руб.</t>
  </si>
  <si>
    <t>(шестьдесят тысяч шестьсот сорок восемь рублей  66 копеек)</t>
  </si>
  <si>
    <t>2. Всего за период с 01.03.2018 по 31.03.2018 выполнено работ (оказано услуг) на общую сумму: 79685,54 руб.</t>
  </si>
  <si>
    <t>(семьдесят девять тысяч шестьсот восемьдесят пять рублей 54 копейки)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</si>
  <si>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21.09.2017г.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</si>
  <si>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№8</t>
  </si>
  <si>
    <t>за период с 01.08.2018 г. по 31.08.2018 г.</t>
  </si>
  <si>
    <t>Смена дверных приборов - ручки-скобы</t>
  </si>
  <si>
    <t>Валка сухостойных и больных деревьев  диаметром до 300 мм</t>
  </si>
  <si>
    <t>за период с 01.09.2018 г. по 30.09.2018 г.</t>
  </si>
  <si>
    <t>АКТ №9</t>
  </si>
  <si>
    <t>Смена трубопроводов наполипропиленовые трубы PN25 Dу 25</t>
  </si>
  <si>
    <t>Муфта разъемная 25*3/4 НР</t>
  </si>
  <si>
    <t>Муфта разъемная 20*1/2 ВР</t>
  </si>
  <si>
    <t>2. Всего за период с 01.09.2018 по 30.09.2018 выполнено работ (оказано услуг) на общую сумму: 88793,19 руб.</t>
  </si>
  <si>
    <t>( восемьдесят восемь тысяч семьсот девяносто три рубля 19 копеек)</t>
  </si>
  <si>
    <t>за период с 01.10.2018 г. по 31.10.2018 г.</t>
  </si>
  <si>
    <t>( Устройство лотков)Смена негодных листов кровли до 5 шт. в одном месте из листовой кровельной стали - черной</t>
  </si>
  <si>
    <t>1 лист</t>
  </si>
  <si>
    <t>Ремонт слухового окна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</si>
  <si>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</si>
  <si>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</si>
  <si>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Простая масляная окраска ранее окрашенных дверей с подготовкой и расчисткой старой краски до 10 %, помещений площадью менее 5 м2 ( под. №1)</t>
  </si>
  <si>
    <t>2. Всего за период с 01.10.2018 по 31.10.2018 выполнено работ (оказано услуг) на общую сумму: 55 088,26 руб.</t>
  </si>
  <si>
    <t>(пятьдесят пять тысяч восемьдесят восемь рублей 26 копеек)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</si>
  <si>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</si>
  <si>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</si>
  <si>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2. Всего за период с 01.11.2018 по 30.11.2018 выполнено работ (оказано услуг) на общую сумму: 45466,71 руб.</t>
  </si>
  <si>
    <t>(сорок пять тысяч четыреста шестьдесят шесть рублей 71 копейка)</t>
  </si>
  <si>
    <t>за период с 01.12.2018 г. по 31.12.2018 г.</t>
  </si>
  <si>
    <t>Снятие показаний эл.счетчика коммунального назначения</t>
  </si>
  <si>
    <t>Установка двери</t>
  </si>
  <si>
    <t>Укрепление оконных и дверных приборов - пружин, ручек, петель, шпингалетов</t>
  </si>
  <si>
    <t>Монтаж светодиодного светильника Н.О.(1 и 3 под.)</t>
  </si>
  <si>
    <t>*22</t>
  </si>
  <si>
    <t>*22-справочно</t>
  </si>
  <si>
    <t>2. Всего за период с 01.12.2018 по 31.12.2018 выполнено работ (оказано услуг) на общую сумму: 64880,22 руб.</t>
  </si>
  <si>
    <t>(шестьдесят четыре тысячи восемьсот восемьдесят рублей 22 копейки)</t>
  </si>
  <si>
    <t>2. Всего за период с 01.08.2018 по 31.08.2018 выполнено работ (оказано услуг) на общую сумму: 75930,85 руб.</t>
  </si>
  <si>
    <t>(семьдесят пять тысяч девятьсот тридцать рублей 85 копеек)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</si>
</sst>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3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15" xfId="0" applyNumberFormat="1" applyFont="1" applyFill="1" applyBorder="1" applyAlignment="1" applyProtection="1">
      <alignment horizontal="left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B113" sqref="B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63</v>
      </c>
    </row>
    <row r="3" spans="1:9" ht="15.75">
      <c r="A3" s="165" t="s">
        <v>138</v>
      </c>
      <c r="B3" s="165"/>
      <c r="C3" s="165"/>
      <c r="D3" s="165"/>
      <c r="E3" s="165"/>
      <c r="F3" s="165"/>
      <c r="G3" s="165"/>
      <c r="H3" s="165"/>
      <c r="I3" s="165"/>
    </row>
    <row r="4" spans="1:9" ht="31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167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06"/>
      <c r="C6" s="106"/>
      <c r="D6" s="106"/>
      <c r="E6" s="106"/>
      <c r="F6" s="106"/>
      <c r="G6" s="106"/>
      <c r="H6" s="106"/>
      <c r="I6" s="22">
        <v>43131</v>
      </c>
    </row>
    <row r="7" spans="1:9" ht="15.75">
      <c r="B7" s="105"/>
      <c r="C7" s="105"/>
      <c r="D7" s="105"/>
      <c r="E7" s="2"/>
      <c r="F7" s="2"/>
      <c r="G7" s="2"/>
      <c r="H7" s="2"/>
    </row>
    <row r="8" spans="1:9" ht="78.75" customHeight="1">
      <c r="A8" s="168" t="s">
        <v>162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57.7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 ht="15" customHeight="1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t="15.75" customHeight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t="15.75" hidden="1" customHeight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t="15.75" hidden="1" customHeight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t="15.75" hidden="1" customHeight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 ht="15.75" customHeight="1">
      <c r="A26" s="21">
        <v>5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 ht="15.75" customHeight="1">
      <c r="A27" s="21">
        <v>6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 ht="15.75" customHeight="1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hidden="1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5.75" hidden="1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t="15.75" hidden="1" customHeight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 t="shared" si="2"/>
        <v>82.327563500000011</v>
      </c>
    </row>
    <row r="33" spans="1:9" ht="15.75" hidden="1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t="15.75" hidden="1" customHeight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t="15.75" hidden="1" customHeight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t="15.75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15.75" customHeight="1">
      <c r="A37" s="21">
        <v>7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t="15.75" customHeight="1">
      <c r="A38" s="21">
        <v>8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t="15.75" customHeight="1">
      <c r="A39" s="21">
        <v>9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t="15.75" hidden="1" customHeight="1">
      <c r="A40" s="21">
        <v>10</v>
      </c>
      <c r="B40" s="56" t="s">
        <v>121</v>
      </c>
      <c r="C40" s="57" t="s">
        <v>55</v>
      </c>
      <c r="D40" s="56" t="s">
        <v>68</v>
      </c>
      <c r="E40" s="58"/>
      <c r="F40" s="59">
        <v>110</v>
      </c>
      <c r="G40" s="59">
        <v>314</v>
      </c>
      <c r="H40" s="60">
        <f t="shared" si="3"/>
        <v>34.54</v>
      </c>
      <c r="I40" s="10">
        <f t="shared" si="4"/>
        <v>5756.6666666666661</v>
      </c>
    </row>
    <row r="41" spans="1:9" ht="47.25" customHeight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t="15.75" customHeight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F42/7.5*G42</f>
        <v>46.905144</v>
      </c>
    </row>
    <row r="43" spans="1:9" ht="15.75" customHeight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F43/7.5*G43</f>
        <v>38.993200000000002</v>
      </c>
    </row>
    <row r="44" spans="1:9" ht="15.75" customHeight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hidden="1" customHeight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v>0</v>
      </c>
    </row>
    <row r="46" spans="1:9" ht="15.75" hidden="1" customHeight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v>0</v>
      </c>
    </row>
    <row r="47" spans="1:9" ht="15.75" hidden="1" customHeight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v>0</v>
      </c>
    </row>
    <row r="48" spans="1:9" ht="15.75" hidden="1" customHeight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v>0</v>
      </c>
    </row>
    <row r="49" spans="1:9" ht="15.75" hidden="1" customHeight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v>0</v>
      </c>
    </row>
    <row r="50" spans="1:9" ht="15.75" customHeight="1">
      <c r="A50" s="21">
        <v>13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31.5" hidden="1" customHeight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t="15.75" hidden="1" customHeight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t="15.75" customHeight="1">
      <c r="A54" s="21">
        <v>14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t="15.75" customHeight="1">
      <c r="A55" s="79">
        <v>15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 ht="15.75" customHeight="1">
      <c r="A56" s="175" t="s">
        <v>134</v>
      </c>
      <c r="B56" s="176"/>
      <c r="C56" s="176"/>
      <c r="D56" s="176"/>
      <c r="E56" s="176"/>
      <c r="F56" s="176"/>
      <c r="G56" s="176"/>
      <c r="H56" s="176"/>
      <c r="I56" s="177"/>
    </row>
    <row r="57" spans="1:9" ht="15.75" customHeight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1.5" customHeight="1">
      <c r="A58" s="21">
        <v>16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>G58*0.34</f>
        <v>689.96199999999999</v>
      </c>
    </row>
    <row r="59" spans="1:9" ht="31.5" customHeight="1">
      <c r="A59" s="21">
        <v>17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7">SUM(F59*G59/1000)</f>
        <v>2.4229841999999997</v>
      </c>
      <c r="I59" s="10">
        <f t="shared" ref="I59" si="8">F59/6*G59</f>
        <v>403.83069999999998</v>
      </c>
    </row>
    <row r="60" spans="1:9" ht="15.75" customHeight="1">
      <c r="A60" s="21">
        <v>18</v>
      </c>
      <c r="B60" s="66" t="s">
        <v>128</v>
      </c>
      <c r="C60" s="65" t="s">
        <v>129</v>
      </c>
      <c r="D60" s="66" t="s">
        <v>68</v>
      </c>
      <c r="E60" s="89"/>
      <c r="F60" s="68">
        <v>3</v>
      </c>
      <c r="G60" s="59">
        <v>1582.05</v>
      </c>
      <c r="H60" s="60">
        <f t="shared" si="7"/>
        <v>4.7461499999999992</v>
      </c>
      <c r="I60" s="10">
        <f>G60*(2)</f>
        <v>3164.1</v>
      </c>
    </row>
    <row r="61" spans="1:9" ht="15.75" hidden="1" customHeight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t="15.75" hidden="1" customHeight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5.75" hidden="1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15.75" hidden="1" customHeight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t="15.75" hidden="1" customHeight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t="15.75" hidden="1" customHeight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v>0</v>
      </c>
    </row>
    <row r="67" spans="1:9" ht="15.75" hidden="1" customHeight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v>0</v>
      </c>
    </row>
    <row r="68" spans="1:9" ht="15.75" hidden="1" customHeight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v>0</v>
      </c>
    </row>
    <row r="69" spans="1:9" ht="15.75" hidden="1" customHeight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v>0</v>
      </c>
    </row>
    <row r="70" spans="1:9" ht="15.75" hidden="1" customHeight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v>0</v>
      </c>
    </row>
    <row r="71" spans="1:9" ht="15.75" hidden="1" customHeight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t="15.75" hidden="1" customHeight="1">
      <c r="A72" s="21"/>
      <c r="B72" s="108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15.7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t="15.75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t="15.75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t="15.7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t="15.75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15.75" hidden="1" customHeight="1">
      <c r="A78" s="21">
        <v>16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f>G78</f>
        <v>53.42</v>
      </c>
    </row>
    <row r="79" spans="1:9" ht="15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15.7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15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5.75" customHeight="1">
      <c r="A82" s="21">
        <v>19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15.75" hidden="1" customHeight="1">
      <c r="A83" s="21"/>
      <c r="B83" s="108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5.75" hidden="1" customHeight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t="15.75" hidden="1" customHeight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 ht="15.75" customHeight="1">
      <c r="A86" s="172" t="s">
        <v>135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21">
        <v>20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1.5" customHeight="1">
      <c r="A88" s="21">
        <v>21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 ht="15.75" customHeight="1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I16+I17+I18+I21+I26+I27+I37+I38+I39+I41+I42+I43+I50+I54+I55+I58+I59+I60+I82+I87+I88</f>
        <v>74433.845749</v>
      </c>
    </row>
    <row r="90" spans="1:9" ht="15.75" customHeight="1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5.75" customHeight="1">
      <c r="A91" s="21">
        <v>22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 ht="15.75" customHeight="1">
      <c r="A92" s="21">
        <v>23</v>
      </c>
      <c r="B92" s="39" t="s">
        <v>171</v>
      </c>
      <c r="C92" s="40" t="s">
        <v>172</v>
      </c>
      <c r="D92" s="11"/>
      <c r="E92" s="15"/>
      <c r="F92" s="10">
        <v>140</v>
      </c>
      <c r="G92" s="10">
        <v>134.12</v>
      </c>
      <c r="H92" s="10">
        <f>G92*F92/1000</f>
        <v>18.776799999999998</v>
      </c>
      <c r="I92" s="10">
        <f>G92*(10+10+20+20+10)</f>
        <v>9388.4</v>
      </c>
    </row>
    <row r="93" spans="1:9" ht="31.5" customHeight="1">
      <c r="A93" s="21">
        <v>24</v>
      </c>
      <c r="B93" s="39" t="s">
        <v>173</v>
      </c>
      <c r="C93" s="40" t="s">
        <v>145</v>
      </c>
      <c r="D93" s="35"/>
      <c r="E93" s="10"/>
      <c r="F93" s="10">
        <v>1</v>
      </c>
      <c r="G93" s="10">
        <v>530.58000000000004</v>
      </c>
      <c r="H93" s="10">
        <f>G93*F93/1000</f>
        <v>0.53058000000000005</v>
      </c>
      <c r="I93" s="10">
        <f>G93</f>
        <v>530.58000000000004</v>
      </c>
    </row>
    <row r="94" spans="1:9" ht="15.75" customHeight="1">
      <c r="A94" s="21">
        <v>25</v>
      </c>
      <c r="B94" s="39" t="s">
        <v>174</v>
      </c>
      <c r="C94" s="40" t="s">
        <v>175</v>
      </c>
      <c r="D94" s="11"/>
      <c r="E94" s="15"/>
      <c r="F94" s="10">
        <v>3.1666666600000002</v>
      </c>
      <c r="G94" s="10">
        <v>208</v>
      </c>
      <c r="H94" s="10">
        <f>G94*F94/1000</f>
        <v>0.65866666528000006</v>
      </c>
      <c r="I94" s="10">
        <f>G94*1.33333333</f>
        <v>277.33333264000004</v>
      </c>
    </row>
    <row r="95" spans="1:9" ht="15.75" customHeight="1">
      <c r="A95" s="21">
        <v>26</v>
      </c>
      <c r="B95" s="39" t="s">
        <v>82</v>
      </c>
      <c r="C95" s="40" t="s">
        <v>97</v>
      </c>
      <c r="D95" s="11"/>
      <c r="E95" s="15"/>
      <c r="F95" s="10">
        <v>3</v>
      </c>
      <c r="G95" s="10">
        <v>197.48</v>
      </c>
      <c r="H95" s="10">
        <f t="shared" ref="H95" si="17">G95*F95/1000</f>
        <v>0.59243999999999997</v>
      </c>
      <c r="I95" s="10">
        <f>G95</f>
        <v>197.48</v>
      </c>
    </row>
    <row r="96" spans="1:9" ht="15.75" customHeight="1">
      <c r="A96" s="21">
        <v>27</v>
      </c>
      <c r="B96" s="54" t="s">
        <v>130</v>
      </c>
      <c r="C96" s="76" t="s">
        <v>97</v>
      </c>
      <c r="D96" s="35"/>
      <c r="E96" s="10"/>
      <c r="F96" s="10">
        <v>1</v>
      </c>
      <c r="G96" s="10">
        <v>324.01</v>
      </c>
      <c r="H96" s="15">
        <f>G96*F96/1000</f>
        <v>0.32400999999999996</v>
      </c>
      <c r="I96" s="10">
        <f>G96</f>
        <v>324.01</v>
      </c>
    </row>
    <row r="97" spans="1:9" ht="15.75" customHeight="1">
      <c r="A97" s="21">
        <v>28</v>
      </c>
      <c r="B97" s="53" t="s">
        <v>176</v>
      </c>
      <c r="C97" s="21" t="s">
        <v>97</v>
      </c>
      <c r="D97" s="11"/>
      <c r="E97" s="15"/>
      <c r="F97" s="10">
        <v>1</v>
      </c>
      <c r="G97" s="10">
        <v>5100.3900000000003</v>
      </c>
      <c r="H97" s="10">
        <f t="shared" ref="H97" si="18">G97*F97/1000</f>
        <v>5.10039</v>
      </c>
      <c r="I97" s="10">
        <f>G97</f>
        <v>5100.3900000000003</v>
      </c>
    </row>
    <row r="98" spans="1:9">
      <c r="A98" s="21"/>
      <c r="B98" s="33" t="s">
        <v>52</v>
      </c>
      <c r="C98" s="29"/>
      <c r="D98" s="36"/>
      <c r="E98" s="29">
        <v>1</v>
      </c>
      <c r="F98" s="29"/>
      <c r="G98" s="29"/>
      <c r="H98" s="29"/>
      <c r="I98" s="24">
        <f>SUM(I91:I97)</f>
        <v>15875.793332640002</v>
      </c>
    </row>
    <row r="99" spans="1:9" ht="15.75" customHeight="1">
      <c r="A99" s="21"/>
      <c r="B99" s="35" t="s">
        <v>79</v>
      </c>
      <c r="C99" s="12"/>
      <c r="D99" s="12"/>
      <c r="E99" s="30"/>
      <c r="F99" s="30"/>
      <c r="G99" s="31"/>
      <c r="H99" s="31"/>
      <c r="I99" s="14">
        <v>0</v>
      </c>
    </row>
    <row r="100" spans="1:9" ht="15.75" customHeight="1">
      <c r="A100" s="37"/>
      <c r="B100" s="34" t="s">
        <v>163</v>
      </c>
      <c r="C100" s="25"/>
      <c r="D100" s="25"/>
      <c r="E100" s="25"/>
      <c r="F100" s="25"/>
      <c r="G100" s="25"/>
      <c r="H100" s="25"/>
      <c r="I100" s="32">
        <f>I89+I98</f>
        <v>90309.639081639994</v>
      </c>
    </row>
    <row r="101" spans="1:9" ht="15.75" customHeight="1">
      <c r="A101" s="181" t="s">
        <v>221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 customHeight="1">
      <c r="A102" s="43"/>
      <c r="B102" s="182" t="s">
        <v>222</v>
      </c>
      <c r="C102" s="182"/>
      <c r="D102" s="182"/>
      <c r="E102" s="182"/>
      <c r="F102" s="182"/>
      <c r="G102" s="182"/>
      <c r="H102" s="52"/>
      <c r="I102" s="2"/>
    </row>
    <row r="103" spans="1:9" ht="15.75" customHeight="1">
      <c r="A103" s="109"/>
      <c r="B103" s="183" t="s">
        <v>6</v>
      </c>
      <c r="C103" s="183"/>
      <c r="D103" s="183"/>
      <c r="E103" s="183"/>
      <c r="F103" s="183"/>
      <c r="G103" s="183"/>
      <c r="H103" s="16"/>
      <c r="I103" s="4"/>
    </row>
    <row r="104" spans="1:9" ht="7.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184" t="s">
        <v>7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184" t="s">
        <v>8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170" t="s">
        <v>62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8.25" customHeight="1">
      <c r="A108" s="8"/>
    </row>
    <row r="109" spans="1:9" ht="15.75">
      <c r="A109" s="186" t="s">
        <v>9</v>
      </c>
      <c r="B109" s="186"/>
      <c r="C109" s="186"/>
      <c r="D109" s="186"/>
      <c r="E109" s="186"/>
      <c r="F109" s="186"/>
      <c r="G109" s="186"/>
      <c r="H109" s="186"/>
      <c r="I109" s="186"/>
    </row>
    <row r="110" spans="1:9" ht="15.75">
      <c r="A110" s="3"/>
    </row>
    <row r="111" spans="1:9" ht="15.75" customHeight="1">
      <c r="B111" s="105" t="s">
        <v>10</v>
      </c>
      <c r="C111" s="187" t="s">
        <v>132</v>
      </c>
      <c r="D111" s="187"/>
      <c r="E111" s="187"/>
      <c r="F111" s="50"/>
      <c r="I111" s="107"/>
    </row>
    <row r="112" spans="1:9" ht="15.75" customHeight="1">
      <c r="A112" s="109"/>
      <c r="C112" s="183" t="s">
        <v>11</v>
      </c>
      <c r="D112" s="183"/>
      <c r="E112" s="183"/>
      <c r="F112" s="16"/>
      <c r="I112" s="104" t="s">
        <v>12</v>
      </c>
    </row>
    <row r="113" spans="1:9" ht="15.75" customHeight="1">
      <c r="A113" s="17"/>
      <c r="C113" s="9"/>
      <c r="D113" s="9"/>
      <c r="G113" s="9"/>
      <c r="H113" s="9"/>
    </row>
    <row r="114" spans="1:9" ht="15.75" customHeight="1">
      <c r="B114" s="105" t="s">
        <v>13</v>
      </c>
      <c r="C114" s="188"/>
      <c r="D114" s="188"/>
      <c r="E114" s="188"/>
      <c r="F114" s="51"/>
      <c r="I114" s="107"/>
    </row>
    <row r="115" spans="1:9">
      <c r="A115" s="109"/>
      <c r="C115" s="189" t="s">
        <v>11</v>
      </c>
      <c r="D115" s="189"/>
      <c r="E115" s="189"/>
      <c r="F115" s="109"/>
      <c r="I115" s="104" t="s">
        <v>12</v>
      </c>
    </row>
    <row r="116" spans="1:9" ht="15.75">
      <c r="A116" s="3" t="s">
        <v>14</v>
      </c>
    </row>
    <row r="117" spans="1:9">
      <c r="A117" s="190" t="s">
        <v>15</v>
      </c>
      <c r="B117" s="190"/>
      <c r="C117" s="190"/>
      <c r="D117" s="190"/>
      <c r="E117" s="190"/>
      <c r="F117" s="190"/>
      <c r="G117" s="190"/>
      <c r="H117" s="190"/>
      <c r="I117" s="190"/>
    </row>
    <row r="118" spans="1:9" ht="45" customHeight="1">
      <c r="A118" s="185" t="s">
        <v>16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30" customHeight="1">
      <c r="A119" s="185" t="s">
        <v>17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30" customHeight="1">
      <c r="A120" s="185" t="s">
        <v>21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15" customHeight="1">
      <c r="A121" s="185" t="s">
        <v>20</v>
      </c>
      <c r="B121" s="185"/>
      <c r="C121" s="185"/>
      <c r="D121" s="185"/>
      <c r="E121" s="185"/>
      <c r="F121" s="185"/>
      <c r="G121" s="185"/>
      <c r="H121" s="185"/>
      <c r="I121" s="185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8:I28"/>
    <mergeCell ref="A44:I44"/>
    <mergeCell ref="A56:I56"/>
    <mergeCell ref="A86:I86"/>
    <mergeCell ref="A90:I90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3"/>
  <sheetViews>
    <sheetView topLeftCell="A101" workbookViewId="0">
      <selection activeCell="B91" sqref="B91: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211</v>
      </c>
      <c r="I1" s="18"/>
    </row>
    <row r="2" spans="1:9" ht="15.75">
      <c r="A2" s="20" t="s">
        <v>63</v>
      </c>
    </row>
    <row r="3" spans="1:9" ht="15.75">
      <c r="A3" s="165" t="s">
        <v>144</v>
      </c>
      <c r="B3" s="165"/>
      <c r="C3" s="165"/>
      <c r="D3" s="165"/>
      <c r="E3" s="165"/>
      <c r="F3" s="165"/>
      <c r="G3" s="165"/>
      <c r="H3" s="165"/>
      <c r="I3" s="165"/>
    </row>
    <row r="4" spans="1:9" ht="31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239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43404</v>
      </c>
    </row>
    <row r="7" spans="1:9" ht="15.75">
      <c r="B7" s="47"/>
      <c r="C7" s="47"/>
      <c r="D7" s="47"/>
      <c r="E7" s="2"/>
      <c r="F7" s="2"/>
      <c r="G7" s="2"/>
      <c r="H7" s="2"/>
    </row>
    <row r="8" spans="1:9" ht="78.75" customHeight="1">
      <c r="A8" s="168" t="s">
        <v>227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47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 ht="15" customHeight="1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5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t="15.75" hidden="1" customHeight="1">
      <c r="A21" s="21">
        <v>5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v>0</v>
      </c>
    </row>
    <row r="22" spans="1:9" ht="15.75" hidden="1" customHeight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t="15.75" hidden="1" customHeight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t="15.75" hidden="1" customHeight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t="15.75" hidden="1" customHeight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 ht="15.75" customHeight="1">
      <c r="A26" s="21">
        <v>4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ref="H26:H27" si="1">SUM(F26*G26/1000)</f>
        <v>4.8202700000000007</v>
      </c>
      <c r="I26" s="10">
        <f>F26/12*G26</f>
        <v>401.68916666666667</v>
      </c>
    </row>
    <row r="27" spans="1:9" ht="15.75" customHeight="1">
      <c r="A27" s="21">
        <v>5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1"/>
        <v>103.382352</v>
      </c>
      <c r="I27" s="10">
        <f>F27/12*G27</f>
        <v>8615.1959999999999</v>
      </c>
    </row>
    <row r="28" spans="1:9" ht="15.75" customHeight="1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5.75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2">SUM(F30*G30/1000)</f>
        <v>1.3260959712</v>
      </c>
      <c r="I30" s="10">
        <f>F30/6*G30</f>
        <v>221.01599519999996</v>
      </c>
    </row>
    <row r="31" spans="1:9" ht="31.5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2"/>
        <v>0.55386208799999992</v>
      </c>
      <c r="I31" s="10">
        <f t="shared" ref="I31:I33" si="3">F31/6*G31</f>
        <v>92.310347999999991</v>
      </c>
    </row>
    <row r="32" spans="1:9" ht="15.75" hidden="1" customHeight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2"/>
        <v>0.49396538100000004</v>
      </c>
      <c r="I32" s="10">
        <f t="shared" si="3"/>
        <v>82.327563500000011</v>
      </c>
    </row>
    <row r="33" spans="1:9" ht="15.75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2"/>
        <v>3.841416666666666</v>
      </c>
      <c r="I33" s="10">
        <f t="shared" si="3"/>
        <v>640.23611111111109</v>
      </c>
    </row>
    <row r="34" spans="1:9" ht="15.75" hidden="1" customHeight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2"/>
        <v>0.50183999999999995</v>
      </c>
      <c r="I34" s="10">
        <v>0</v>
      </c>
    </row>
    <row r="35" spans="1:9" ht="15.75" hidden="1" customHeight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2"/>
        <v>1.49031</v>
      </c>
      <c r="I35" s="10">
        <v>0</v>
      </c>
    </row>
    <row r="36" spans="1:9" ht="15.75" hidden="1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15.75" hidden="1" customHeight="1">
      <c r="A37" s="21">
        <v>8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v>0</v>
      </c>
    </row>
    <row r="38" spans="1:9" ht="15.75" hidden="1" customHeight="1">
      <c r="A38" s="21">
        <v>9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4">SUM(F38*G38/1000)</f>
        <v>2.1568597380000001</v>
      </c>
      <c r="I38" s="10">
        <v>0</v>
      </c>
    </row>
    <row r="39" spans="1:9" ht="15.75" hidden="1" customHeight="1">
      <c r="A39" s="21">
        <v>10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4"/>
        <v>2.23891734</v>
      </c>
      <c r="I39" s="10">
        <v>0</v>
      </c>
    </row>
    <row r="40" spans="1:9" ht="15.75" hidden="1" customHeight="1">
      <c r="A40" s="21"/>
      <c r="B40" s="56" t="s">
        <v>121</v>
      </c>
      <c r="C40" s="57" t="s">
        <v>55</v>
      </c>
      <c r="D40" s="56" t="s">
        <v>68</v>
      </c>
      <c r="E40" s="58"/>
      <c r="F40" s="59">
        <v>110</v>
      </c>
      <c r="G40" s="59">
        <v>314</v>
      </c>
      <c r="H40" s="60">
        <f t="shared" si="4"/>
        <v>34.54</v>
      </c>
      <c r="I40" s="10">
        <v>0</v>
      </c>
    </row>
    <row r="41" spans="1:9" ht="47.25" hidden="1" customHeight="1">
      <c r="A41" s="21">
        <v>11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4"/>
        <v>5.9526882360000002</v>
      </c>
      <c r="I41" s="10">
        <v>0</v>
      </c>
    </row>
    <row r="42" spans="1:9" ht="15.75" hidden="1" customHeight="1">
      <c r="A42" s="21">
        <v>12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4"/>
        <v>0.35178858000000002</v>
      </c>
      <c r="I42" s="10">
        <v>0</v>
      </c>
    </row>
    <row r="43" spans="1:9" ht="15.75" hidden="1" customHeight="1">
      <c r="A43" s="21">
        <v>13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4"/>
        <v>0.29244900000000001</v>
      </c>
      <c r="I43" s="10">
        <v>0</v>
      </c>
    </row>
    <row r="44" spans="1:9" ht="15.75" customHeight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hidden="1" customHeight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v>0</v>
      </c>
    </row>
    <row r="46" spans="1:9" ht="15.75" hidden="1" customHeight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v>0</v>
      </c>
    </row>
    <row r="47" spans="1:9" ht="15.75" hidden="1" customHeight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v>0</v>
      </c>
    </row>
    <row r="48" spans="1:9" ht="15.75" hidden="1" customHeight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v>0</v>
      </c>
    </row>
    <row r="49" spans="1:9" ht="15.75" hidden="1" customHeight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v>0</v>
      </c>
    </row>
    <row r="50" spans="1:9" ht="15.75" hidden="1" customHeight="1">
      <c r="A50" s="21">
        <v>14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v>0</v>
      </c>
    </row>
    <row r="51" spans="1:9" ht="31.5" customHeight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1.5" customHeight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t="15.75" customHeight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t="15.75" hidden="1" customHeight="1">
      <c r="A54" s="21">
        <v>15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v>0</v>
      </c>
    </row>
    <row r="55" spans="1:9" ht="15.75" hidden="1" customHeight="1">
      <c r="A55" s="79">
        <v>16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80">
        <v>0</v>
      </c>
    </row>
    <row r="56" spans="1:9" ht="15.75" customHeight="1">
      <c r="A56" s="175" t="s">
        <v>134</v>
      </c>
      <c r="B56" s="176"/>
      <c r="C56" s="176"/>
      <c r="D56" s="176"/>
      <c r="E56" s="176"/>
      <c r="F56" s="176"/>
      <c r="G56" s="176"/>
      <c r="H56" s="176"/>
      <c r="I56" s="177"/>
    </row>
    <row r="57" spans="1:9" ht="15.75" hidden="1" customHeight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1.5" hidden="1" customHeight="1">
      <c r="A58" s="21">
        <v>17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v>0</v>
      </c>
    </row>
    <row r="59" spans="1:9" ht="31.5" hidden="1" customHeight="1">
      <c r="A59" s="21">
        <v>18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7">SUM(F59*G59/1000)</f>
        <v>2.4229841999999997</v>
      </c>
      <c r="I59" s="10">
        <v>0</v>
      </c>
    </row>
    <row r="60" spans="1:9" ht="31.5" hidden="1" customHeight="1">
      <c r="A60" s="21">
        <v>19</v>
      </c>
      <c r="B60" s="66" t="s">
        <v>128</v>
      </c>
      <c r="C60" s="65" t="s">
        <v>129</v>
      </c>
      <c r="D60" s="66" t="s">
        <v>68</v>
      </c>
      <c r="E60" s="89"/>
      <c r="F60" s="68">
        <v>3</v>
      </c>
      <c r="G60" s="59">
        <v>1582.05</v>
      </c>
      <c r="H60" s="60">
        <f t="shared" si="7"/>
        <v>4.7461499999999992</v>
      </c>
      <c r="I60" s="10">
        <v>0</v>
      </c>
    </row>
    <row r="61" spans="1:9" ht="15.75" hidden="1" customHeight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t="15.75" hidden="1" customHeight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5.75" hidden="1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15.75" hidden="1" customHeight="1">
      <c r="A64" s="21">
        <v>12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8">SUM(F64*G64/1000)</f>
        <v>1.4584000000000001</v>
      </c>
      <c r="I64" s="10">
        <f>G64*5</f>
        <v>1458.4</v>
      </c>
    </row>
    <row r="65" spans="1:9" ht="15.75" hidden="1" customHeight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8"/>
        <v>0.20002</v>
      </c>
      <c r="I65" s="10">
        <v>0</v>
      </c>
    </row>
    <row r="66" spans="1:9" ht="15.75" hidden="1" customHeight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8"/>
        <v>37.042091200000002</v>
      </c>
      <c r="I66" s="10">
        <v>0</v>
      </c>
    </row>
    <row r="67" spans="1:9" ht="15.75" hidden="1" customHeight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8"/>
        <v>2.88466084</v>
      </c>
      <c r="I67" s="10">
        <v>0</v>
      </c>
    </row>
    <row r="68" spans="1:9" ht="15.75" hidden="1" customHeight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8"/>
        <v>59.425329599999998</v>
      </c>
      <c r="I68" s="10">
        <v>0</v>
      </c>
    </row>
    <row r="69" spans="1:9" ht="15.75" hidden="1" customHeight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8"/>
        <v>0.51984200000000003</v>
      </c>
      <c r="I69" s="10">
        <v>0</v>
      </c>
    </row>
    <row r="70" spans="1:9" ht="15.75" hidden="1" customHeight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8"/>
        <v>0.56168799999999997</v>
      </c>
      <c r="I70" s="10">
        <v>0</v>
      </c>
    </row>
    <row r="71" spans="1:9" ht="15.75" hidden="1" customHeight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8"/>
        <v>0.19625999999999999</v>
      </c>
      <c r="I71" s="10">
        <v>0</v>
      </c>
    </row>
    <row r="72" spans="1:9" ht="15.75" customHeight="1">
      <c r="A72" s="21"/>
      <c r="B72" s="91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15.7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9">SUM(F73*G73/1000)</f>
        <v>1.0291199999999998</v>
      </c>
      <c r="I73" s="10">
        <v>0</v>
      </c>
    </row>
    <row r="74" spans="1:9" ht="15.75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9"/>
        <v>0.73499999999999999</v>
      </c>
      <c r="I74" s="10">
        <v>0</v>
      </c>
    </row>
    <row r="75" spans="1:9" ht="15.75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9"/>
        <v>0.13157400000000002</v>
      </c>
      <c r="I75" s="10">
        <v>0</v>
      </c>
    </row>
    <row r="76" spans="1:9" ht="15.7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9"/>
        <v>1.1187199999999999</v>
      </c>
      <c r="I76" s="10">
        <v>0</v>
      </c>
    </row>
    <row r="77" spans="1:9" ht="15.75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15.75" customHeight="1">
      <c r="A78" s="21">
        <v>12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0">SUM(F78*G78/1000)</f>
        <v>0.64103999999999994</v>
      </c>
      <c r="I78" s="10">
        <f>G78</f>
        <v>53.42</v>
      </c>
    </row>
    <row r="79" spans="1:9" ht="15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15.7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1">SUM(F80*G80/1000)</f>
        <v>0.294985</v>
      </c>
      <c r="I80" s="10">
        <v>0</v>
      </c>
    </row>
    <row r="81" spans="1:9" ht="15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5.75" customHeight="1">
      <c r="A82" s="21">
        <v>13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2">SUM(F82*G82/1000)</f>
        <v>70.572384</v>
      </c>
      <c r="I82" s="10">
        <f>F82/12*G82</f>
        <v>5881.0320000000002</v>
      </c>
    </row>
    <row r="83" spans="1:9" ht="15.75" hidden="1" customHeight="1">
      <c r="A83" s="21"/>
      <c r="B83" s="91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5.75" hidden="1" customHeight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t="15.75" hidden="1" customHeight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3">G85*F85/1000</f>
        <v>43.4</v>
      </c>
      <c r="I85" s="10">
        <v>0</v>
      </c>
    </row>
    <row r="86" spans="1:9" ht="15.75" customHeight="1">
      <c r="A86" s="172" t="s">
        <v>135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21">
        <v>14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4">G87*F87/1000</f>
        <v>95.953680000000006</v>
      </c>
      <c r="I87" s="10">
        <f>F87/12*G87</f>
        <v>7996.14</v>
      </c>
    </row>
    <row r="88" spans="1:9" ht="31.5" customHeight="1">
      <c r="A88" s="21">
        <v>15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 ht="15.75" customHeight="1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I88+I87+I82+I78+I53+I52+I51+I33+I31+I30+I27+I26+I18+I17+I16</f>
        <v>45542.8083143111</v>
      </c>
    </row>
    <row r="90" spans="1:9" ht="15.75" customHeight="1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8.75" customHeight="1">
      <c r="A91" s="21">
        <v>16</v>
      </c>
      <c r="B91" s="162" t="s">
        <v>169</v>
      </c>
      <c r="C91" s="163" t="s">
        <v>170</v>
      </c>
      <c r="D91" s="35"/>
      <c r="E91" s="10"/>
      <c r="F91" s="10">
        <v>1</v>
      </c>
      <c r="G91" s="26">
        <v>1.2</v>
      </c>
      <c r="H91" s="55">
        <f t="shared" ref="H91:H99" si="15">G91*F91/1000</f>
        <v>1.1999999999999999E-3</v>
      </c>
      <c r="I91" s="10">
        <f>G91*48</f>
        <v>57.599999999999994</v>
      </c>
    </row>
    <row r="92" spans="1:9" ht="18" customHeight="1">
      <c r="A92" s="21">
        <v>17</v>
      </c>
      <c r="B92" s="96" t="s">
        <v>171</v>
      </c>
      <c r="C92" s="97" t="s">
        <v>172</v>
      </c>
      <c r="D92" s="35"/>
      <c r="E92" s="10"/>
      <c r="F92" s="10">
        <v>1</v>
      </c>
      <c r="G92" s="26">
        <v>134.12</v>
      </c>
      <c r="H92" s="55">
        <f t="shared" si="15"/>
        <v>0.13412000000000002</v>
      </c>
      <c r="I92" s="10">
        <f>G92*52</f>
        <v>6974.24</v>
      </c>
    </row>
    <row r="93" spans="1:9" ht="15.75" customHeight="1">
      <c r="A93" s="21">
        <v>18</v>
      </c>
      <c r="B93" s="160" t="s">
        <v>174</v>
      </c>
      <c r="C93" s="161" t="s">
        <v>175</v>
      </c>
      <c r="D93" s="11"/>
      <c r="E93" s="15"/>
      <c r="F93" s="10">
        <v>2</v>
      </c>
      <c r="G93" s="26">
        <v>208</v>
      </c>
      <c r="H93" s="55">
        <f t="shared" si="15"/>
        <v>0.41599999999999998</v>
      </c>
      <c r="I93" s="10">
        <f>G93*1</f>
        <v>208</v>
      </c>
    </row>
    <row r="94" spans="1:9" ht="30.75" customHeight="1">
      <c r="A94" s="21">
        <v>19</v>
      </c>
      <c r="B94" s="96" t="s">
        <v>240</v>
      </c>
      <c r="C94" s="97" t="s">
        <v>241</v>
      </c>
      <c r="D94" s="11"/>
      <c r="E94" s="15"/>
      <c r="F94" s="10">
        <v>2</v>
      </c>
      <c r="G94" s="26">
        <v>745.13</v>
      </c>
      <c r="H94" s="55">
        <f t="shared" si="15"/>
        <v>1.4902599999999999</v>
      </c>
      <c r="I94" s="10">
        <f>G94*1</f>
        <v>745.13</v>
      </c>
    </row>
    <row r="95" spans="1:9" ht="15.75" customHeight="1">
      <c r="A95" s="21">
        <v>20</v>
      </c>
      <c r="B95" s="110" t="s">
        <v>242</v>
      </c>
      <c r="C95" s="28" t="s">
        <v>111</v>
      </c>
      <c r="D95" s="35"/>
      <c r="E95" s="10"/>
      <c r="F95" s="10">
        <v>3</v>
      </c>
      <c r="G95" s="26">
        <v>3413.41</v>
      </c>
      <c r="H95" s="55">
        <f t="shared" si="15"/>
        <v>10.24023</v>
      </c>
      <c r="I95" s="10">
        <f>G95*0.06</f>
        <v>204.80459999999999</v>
      </c>
    </row>
    <row r="96" spans="1:9" ht="32.25" customHeight="1">
      <c r="A96" s="21">
        <v>21</v>
      </c>
      <c r="B96" s="96" t="s">
        <v>243</v>
      </c>
      <c r="C96" s="97" t="s">
        <v>244</v>
      </c>
      <c r="D96" s="35"/>
      <c r="E96" s="10"/>
      <c r="F96" s="10">
        <v>1</v>
      </c>
      <c r="G96" s="26">
        <v>56.34</v>
      </c>
      <c r="H96" s="55">
        <f t="shared" si="15"/>
        <v>5.6340000000000001E-2</v>
      </c>
      <c r="I96" s="10">
        <f>G96*1</f>
        <v>56.34</v>
      </c>
    </row>
    <row r="97" spans="1:9" ht="46.5" customHeight="1">
      <c r="A97" s="21">
        <v>22</v>
      </c>
      <c r="B97" s="96" t="s">
        <v>245</v>
      </c>
      <c r="C97" s="97" t="s">
        <v>188</v>
      </c>
      <c r="D97" s="11"/>
      <c r="E97" s="15"/>
      <c r="F97" s="10">
        <v>2</v>
      </c>
      <c r="G97" s="26">
        <v>2115.61</v>
      </c>
      <c r="H97" s="10">
        <f t="shared" si="15"/>
        <v>4.2312200000000004</v>
      </c>
      <c r="I97" s="10">
        <f>G97*0.4</f>
        <v>846.24400000000014</v>
      </c>
    </row>
    <row r="98" spans="1:9" ht="33.75" customHeight="1">
      <c r="A98" s="21">
        <v>23</v>
      </c>
      <c r="B98" s="96" t="s">
        <v>194</v>
      </c>
      <c r="C98" s="97" t="s">
        <v>195</v>
      </c>
      <c r="D98" s="11"/>
      <c r="E98" s="15"/>
      <c r="F98" s="10">
        <v>1</v>
      </c>
      <c r="G98" s="26">
        <v>24829.08</v>
      </c>
      <c r="H98" s="55">
        <f t="shared" si="15"/>
        <v>24.829080000000001</v>
      </c>
      <c r="I98" s="10">
        <f>G98*0.01</f>
        <v>248.29080000000002</v>
      </c>
    </row>
    <row r="99" spans="1:9" ht="18" customHeight="1">
      <c r="A99" s="21">
        <v>24</v>
      </c>
      <c r="B99" s="110" t="s">
        <v>209</v>
      </c>
      <c r="C99" s="28" t="s">
        <v>111</v>
      </c>
      <c r="D99" s="35"/>
      <c r="E99" s="10"/>
      <c r="F99" s="10">
        <v>1</v>
      </c>
      <c r="G99" s="26">
        <v>3413.41</v>
      </c>
      <c r="H99" s="55">
        <f t="shared" si="15"/>
        <v>3.4134099999999998</v>
      </c>
      <c r="I99" s="10">
        <f>G99*0.06</f>
        <v>204.80459999999999</v>
      </c>
    </row>
    <row r="100" spans="1:9">
      <c r="A100" s="21"/>
      <c r="B100" s="33" t="s">
        <v>52</v>
      </c>
      <c r="C100" s="29"/>
      <c r="D100" s="36"/>
      <c r="E100" s="29">
        <v>1</v>
      </c>
      <c r="F100" s="29"/>
      <c r="G100" s="29"/>
      <c r="H100" s="29"/>
      <c r="I100" s="24">
        <f>SUM(I91:I99)</f>
        <v>9545.4540000000015</v>
      </c>
    </row>
    <row r="101" spans="1:9" ht="15.75" customHeight="1">
      <c r="A101" s="21"/>
      <c r="B101" s="35" t="s">
        <v>79</v>
      </c>
      <c r="C101" s="12"/>
      <c r="D101" s="12"/>
      <c r="E101" s="30"/>
      <c r="F101" s="30"/>
      <c r="G101" s="31"/>
      <c r="H101" s="31"/>
      <c r="I101" s="14">
        <v>0</v>
      </c>
    </row>
    <row r="102" spans="1:9" ht="15.75" customHeight="1">
      <c r="A102" s="37"/>
      <c r="B102" s="34" t="s">
        <v>163</v>
      </c>
      <c r="C102" s="25"/>
      <c r="D102" s="25"/>
      <c r="E102" s="25"/>
      <c r="F102" s="25"/>
      <c r="G102" s="25"/>
      <c r="H102" s="25"/>
      <c r="I102" s="32">
        <f>I89+I100</f>
        <v>55088.262314311098</v>
      </c>
    </row>
    <row r="103" spans="1:9" ht="15.75" customHeight="1">
      <c r="A103" s="181" t="s">
        <v>246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 customHeight="1">
      <c r="A104" s="43"/>
      <c r="B104" s="182" t="s">
        <v>247</v>
      </c>
      <c r="C104" s="182"/>
      <c r="D104" s="182"/>
      <c r="E104" s="182"/>
      <c r="F104" s="182"/>
      <c r="G104" s="182"/>
      <c r="H104" s="52"/>
      <c r="I104" s="2"/>
    </row>
    <row r="105" spans="1:9" ht="15.75" customHeight="1">
      <c r="A105" s="44"/>
      <c r="B105" s="183" t="s">
        <v>6</v>
      </c>
      <c r="C105" s="183"/>
      <c r="D105" s="183"/>
      <c r="E105" s="183"/>
      <c r="F105" s="183"/>
      <c r="G105" s="183"/>
      <c r="H105" s="16"/>
      <c r="I105" s="4"/>
    </row>
    <row r="106" spans="1:9" ht="7.5" customHeight="1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.75" customHeight="1">
      <c r="A107" s="184" t="s">
        <v>7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184" t="s">
        <v>8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15.75">
      <c r="A109" s="170" t="s">
        <v>62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8.25" customHeight="1">
      <c r="A110" s="8"/>
    </row>
    <row r="111" spans="1:9" ht="15.75">
      <c r="A111" s="186" t="s">
        <v>9</v>
      </c>
      <c r="B111" s="186"/>
      <c r="C111" s="186"/>
      <c r="D111" s="186"/>
      <c r="E111" s="186"/>
      <c r="F111" s="186"/>
      <c r="G111" s="186"/>
      <c r="H111" s="186"/>
      <c r="I111" s="186"/>
    </row>
    <row r="112" spans="1:9" ht="15.75">
      <c r="A112" s="3"/>
    </row>
    <row r="113" spans="1:9" ht="15.75" customHeight="1">
      <c r="B113" s="47" t="s">
        <v>10</v>
      </c>
      <c r="C113" s="187" t="s">
        <v>132</v>
      </c>
      <c r="D113" s="187"/>
      <c r="E113" s="187"/>
      <c r="F113" s="50"/>
      <c r="I113" s="48"/>
    </row>
    <row r="114" spans="1:9" ht="15.75" customHeight="1">
      <c r="A114" s="44"/>
      <c r="C114" s="183" t="s">
        <v>11</v>
      </c>
      <c r="D114" s="183"/>
      <c r="E114" s="183"/>
      <c r="F114" s="16"/>
      <c r="I114" s="46" t="s">
        <v>12</v>
      </c>
    </row>
    <row r="115" spans="1:9" ht="15.75" customHeight="1">
      <c r="A115" s="17"/>
      <c r="C115" s="9"/>
      <c r="D115" s="9"/>
      <c r="G115" s="9"/>
      <c r="H115" s="9"/>
    </row>
    <row r="116" spans="1:9" ht="15.75" customHeight="1">
      <c r="B116" s="47" t="s">
        <v>13</v>
      </c>
      <c r="C116" s="188"/>
      <c r="D116" s="188"/>
      <c r="E116" s="188"/>
      <c r="F116" s="51"/>
      <c r="I116" s="48"/>
    </row>
    <row r="117" spans="1:9">
      <c r="A117" s="44"/>
      <c r="C117" s="189" t="s">
        <v>11</v>
      </c>
      <c r="D117" s="189"/>
      <c r="E117" s="189"/>
      <c r="F117" s="44"/>
      <c r="I117" s="46" t="s">
        <v>12</v>
      </c>
    </row>
    <row r="118" spans="1:9" ht="15.75">
      <c r="A118" s="3" t="s">
        <v>14</v>
      </c>
    </row>
    <row r="119" spans="1:9">
      <c r="A119" s="190" t="s">
        <v>15</v>
      </c>
      <c r="B119" s="190"/>
      <c r="C119" s="190"/>
      <c r="D119" s="190"/>
      <c r="E119" s="190"/>
      <c r="F119" s="190"/>
      <c r="G119" s="190"/>
      <c r="H119" s="190"/>
      <c r="I119" s="190"/>
    </row>
    <row r="120" spans="1:9" ht="45" customHeight="1">
      <c r="A120" s="185" t="s">
        <v>16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30" customHeight="1">
      <c r="A121" s="185" t="s">
        <v>17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30" customHeight="1">
      <c r="A122" s="185" t="s">
        <v>21</v>
      </c>
      <c r="B122" s="185"/>
      <c r="C122" s="185"/>
      <c r="D122" s="185"/>
      <c r="E122" s="185"/>
      <c r="F122" s="185"/>
      <c r="G122" s="185"/>
      <c r="H122" s="185"/>
      <c r="I122" s="185"/>
    </row>
    <row r="123" spans="1:9" ht="15" customHeight="1">
      <c r="A123" s="185" t="s">
        <v>20</v>
      </c>
      <c r="B123" s="185"/>
      <c r="C123" s="185"/>
      <c r="D123" s="185"/>
      <c r="E123" s="185"/>
      <c r="F123" s="185"/>
      <c r="G123" s="185"/>
      <c r="H123" s="185"/>
      <c r="I123" s="185"/>
    </row>
  </sheetData>
  <mergeCells count="28">
    <mergeCell ref="A121:I121"/>
    <mergeCell ref="A122:I122"/>
    <mergeCell ref="A123:I123"/>
    <mergeCell ref="C113:E113"/>
    <mergeCell ref="C114:E114"/>
    <mergeCell ref="C116:E116"/>
    <mergeCell ref="C117:E117"/>
    <mergeCell ref="A119:I119"/>
    <mergeCell ref="A120:I120"/>
    <mergeCell ref="A111:I111"/>
    <mergeCell ref="A15:I15"/>
    <mergeCell ref="A28:I28"/>
    <mergeCell ref="A44:I44"/>
    <mergeCell ref="A56:I56"/>
    <mergeCell ref="A86:I86"/>
    <mergeCell ref="A103:I103"/>
    <mergeCell ref="B104:G104"/>
    <mergeCell ref="B105:G105"/>
    <mergeCell ref="A107:I107"/>
    <mergeCell ref="A108:I108"/>
    <mergeCell ref="A109:I109"/>
    <mergeCell ref="A90:I90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0"/>
  <sheetViews>
    <sheetView topLeftCell="A86" workbookViewId="0">
      <selection activeCell="B93" sqref="B93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211</v>
      </c>
      <c r="I1" s="18"/>
    </row>
    <row r="2" spans="1:9" ht="15.75">
      <c r="A2" s="20" t="s">
        <v>63</v>
      </c>
    </row>
    <row r="3" spans="1:9" ht="15.75">
      <c r="A3" s="165" t="s">
        <v>86</v>
      </c>
      <c r="B3" s="165"/>
      <c r="C3" s="165"/>
      <c r="D3" s="165"/>
      <c r="E3" s="165"/>
      <c r="F3" s="165"/>
      <c r="G3" s="165"/>
      <c r="H3" s="165"/>
      <c r="I3" s="165"/>
    </row>
    <row r="4" spans="1:9" ht="31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248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00"/>
      <c r="C6" s="100"/>
      <c r="D6" s="100"/>
      <c r="E6" s="100"/>
      <c r="F6" s="100"/>
      <c r="G6" s="100"/>
      <c r="H6" s="100"/>
      <c r="I6" s="22">
        <v>43434</v>
      </c>
    </row>
    <row r="7" spans="1:9" ht="15.75">
      <c r="B7" s="99"/>
      <c r="C7" s="99"/>
      <c r="D7" s="99"/>
      <c r="E7" s="2"/>
      <c r="F7" s="2"/>
      <c r="G7" s="2"/>
      <c r="H7" s="2"/>
    </row>
    <row r="8" spans="1:9" ht="78.75" customHeight="1">
      <c r="A8" s="168" t="s">
        <v>227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47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 ht="15" customHeight="1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5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t="15.75" customHeight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t="15.75" hidden="1" customHeight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t="15.75" hidden="1" customHeight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t="15.75" hidden="1" customHeight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 ht="15.75" customHeight="1">
      <c r="A26" s="21">
        <v>5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ref="H26:H27" si="1">SUM(F26*G26/1000)</f>
        <v>4.8202700000000007</v>
      </c>
      <c r="I26" s="10">
        <f>F26/12*G26</f>
        <v>401.68916666666667</v>
      </c>
    </row>
    <row r="27" spans="1:9" ht="15.75" hidden="1" customHeight="1">
      <c r="A27" s="21">
        <v>6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1"/>
        <v>103.382352</v>
      </c>
      <c r="I27" s="10">
        <f>F27/12*G27</f>
        <v>8615.1959999999999</v>
      </c>
    </row>
    <row r="28" spans="1:9" ht="15.75" customHeight="1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hidden="1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5.75" hidden="1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2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2"/>
        <v>0.55386208799999992</v>
      </c>
      <c r="I31" s="10">
        <f t="shared" ref="I31:I33" si="3">F31/6*G31</f>
        <v>92.310347999999991</v>
      </c>
    </row>
    <row r="32" spans="1:9" ht="15.75" hidden="1" customHeight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2"/>
        <v>0.49396538100000004</v>
      </c>
      <c r="I32" s="10">
        <f t="shared" si="3"/>
        <v>82.327563500000011</v>
      </c>
    </row>
    <row r="33" spans="1:9" ht="15.75" hidden="1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2"/>
        <v>3.841416666666666</v>
      </c>
      <c r="I33" s="10">
        <f t="shared" si="3"/>
        <v>640.23611111111109</v>
      </c>
    </row>
    <row r="34" spans="1:9" ht="15.75" hidden="1" customHeight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2"/>
        <v>0.50183999999999995</v>
      </c>
      <c r="I34" s="10">
        <v>0</v>
      </c>
    </row>
    <row r="35" spans="1:9" ht="15.75" hidden="1" customHeight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2"/>
        <v>1.49031</v>
      </c>
      <c r="I35" s="10">
        <v>0</v>
      </c>
    </row>
    <row r="36" spans="1:9" ht="15.75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15.75" customHeight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t="15.75" customHeight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4">SUM(F38*G38/1000)</f>
        <v>2.1568597380000001</v>
      </c>
      <c r="I38" s="10">
        <f t="shared" ref="I38:I41" si="5">F38/6*G38</f>
        <v>359.47662300000002</v>
      </c>
    </row>
    <row r="39" spans="1:9" ht="15.75" customHeight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4"/>
        <v>2.23891734</v>
      </c>
      <c r="I39" s="10">
        <f t="shared" si="5"/>
        <v>373.15289000000001</v>
      </c>
    </row>
    <row r="40" spans="1:9" ht="15.75" hidden="1" customHeight="1">
      <c r="A40" s="21">
        <v>9</v>
      </c>
      <c r="B40" s="56" t="s">
        <v>121</v>
      </c>
      <c r="C40" s="57" t="s">
        <v>55</v>
      </c>
      <c r="D40" s="56" t="s">
        <v>68</v>
      </c>
      <c r="E40" s="58"/>
      <c r="F40" s="59">
        <v>110</v>
      </c>
      <c r="G40" s="59">
        <v>314</v>
      </c>
      <c r="H40" s="60">
        <f t="shared" si="4"/>
        <v>34.54</v>
      </c>
      <c r="I40" s="10">
        <f t="shared" si="5"/>
        <v>5756.6666666666661</v>
      </c>
    </row>
    <row r="41" spans="1:9" ht="47.25" customHeight="1">
      <c r="A41" s="21">
        <v>9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4"/>
        <v>5.9526882360000002</v>
      </c>
      <c r="I41" s="10">
        <f t="shared" si="5"/>
        <v>992.11470599999996</v>
      </c>
    </row>
    <row r="42" spans="1:9" ht="15.75" customHeight="1">
      <c r="A42" s="21">
        <v>10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4"/>
        <v>0.35178858000000002</v>
      </c>
      <c r="I42" s="10">
        <f>F42/7.5*G42</f>
        <v>46.905144</v>
      </c>
    </row>
    <row r="43" spans="1:9" ht="15.75" customHeight="1">
      <c r="A43" s="21">
        <v>11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4"/>
        <v>0.29244900000000001</v>
      </c>
      <c r="I43" s="10">
        <f>F43/7.5*G43</f>
        <v>38.993200000000002</v>
      </c>
    </row>
    <row r="44" spans="1:9" ht="15.75" hidden="1" customHeight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hidden="1" customHeight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6">SUM(F45*G45/1000)</f>
        <v>2.6013433080000006</v>
      </c>
      <c r="I45" s="10">
        <v>0</v>
      </c>
    </row>
    <row r="46" spans="1:9" ht="15.75" hidden="1" customHeight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6"/>
        <v>0.58331460000000002</v>
      </c>
      <c r="I46" s="10">
        <v>0</v>
      </c>
    </row>
    <row r="47" spans="1:9" ht="15.75" hidden="1" customHeight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6"/>
        <v>5.6393269695000008</v>
      </c>
      <c r="I47" s="10">
        <v>0</v>
      </c>
    </row>
    <row r="48" spans="1:9" ht="15.75" hidden="1" customHeight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6"/>
        <v>4.0277184559999997</v>
      </c>
      <c r="I48" s="10">
        <v>0</v>
      </c>
    </row>
    <row r="49" spans="1:9" ht="15.75" hidden="1" customHeight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6"/>
        <v>2.3224183680000001</v>
      </c>
      <c r="I49" s="10">
        <v>0</v>
      </c>
    </row>
    <row r="50" spans="1:9" ht="15.75" hidden="1" customHeight="1">
      <c r="A50" s="21">
        <v>14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6"/>
        <v>23.262189930000002</v>
      </c>
      <c r="I50" s="10">
        <v>0</v>
      </c>
    </row>
    <row r="51" spans="1:9" ht="31.5" hidden="1" customHeight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6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6"/>
        <v>1.6233280000000001</v>
      </c>
      <c r="I52" s="10">
        <f t="shared" ref="I52:I53" si="7">F52/2*G52</f>
        <v>811.6640000000001</v>
      </c>
    </row>
    <row r="53" spans="1:9" ht="15.75" hidden="1" customHeight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6"/>
        <v>0.14825839999999998</v>
      </c>
      <c r="I53" s="10">
        <f t="shared" si="7"/>
        <v>74.129199999999997</v>
      </c>
    </row>
    <row r="54" spans="1:9" ht="15.75" hidden="1" customHeight="1">
      <c r="A54" s="21">
        <v>15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6"/>
        <v>34.424880000000002</v>
      </c>
      <c r="I54" s="10">
        <v>0</v>
      </c>
    </row>
    <row r="55" spans="1:9" ht="15.75" hidden="1" customHeight="1">
      <c r="A55" s="79">
        <v>16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6"/>
        <v>32.047800000000002</v>
      </c>
      <c r="I55" s="80">
        <v>0</v>
      </c>
    </row>
    <row r="56" spans="1:9" ht="15.75" customHeight="1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 ht="15.75" customHeight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1.5" hidden="1" customHeight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8">F58/6*G58</f>
        <v>2575.9934199999998</v>
      </c>
    </row>
    <row r="59" spans="1:9" ht="31.5" customHeight="1">
      <c r="A59" s="21">
        <v>12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9">SUM(F59*G59/1000)</f>
        <v>2.4229841999999997</v>
      </c>
      <c r="I59" s="10">
        <f t="shared" si="8"/>
        <v>403.83069999999998</v>
      </c>
    </row>
    <row r="60" spans="1:9" ht="15.75" hidden="1" customHeight="1">
      <c r="A60" s="21">
        <v>15</v>
      </c>
      <c r="B60" s="66" t="s">
        <v>128</v>
      </c>
      <c r="C60" s="65" t="s">
        <v>129</v>
      </c>
      <c r="D60" s="66" t="s">
        <v>68</v>
      </c>
      <c r="E60" s="89"/>
      <c r="F60" s="68">
        <v>3</v>
      </c>
      <c r="G60" s="59">
        <v>1582.05</v>
      </c>
      <c r="H60" s="60">
        <f t="shared" si="9"/>
        <v>4.7461499999999992</v>
      </c>
      <c r="I60" s="10">
        <f>G60*(2+1+1.5)</f>
        <v>7119.2249999999995</v>
      </c>
    </row>
    <row r="61" spans="1:9" ht="15.75" hidden="1" customHeight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t="15.75" hidden="1" customHeight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5.75" hidden="1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15.75" hidden="1" customHeight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10">SUM(F64*G64/1000)</f>
        <v>1.4584000000000001</v>
      </c>
      <c r="I64" s="10">
        <f>G64</f>
        <v>291.68</v>
      </c>
    </row>
    <row r="65" spans="1:9" ht="15.75" hidden="1" customHeight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10"/>
        <v>0.20002</v>
      </c>
      <c r="I65" s="10">
        <v>0</v>
      </c>
    </row>
    <row r="66" spans="1:9" ht="15.75" hidden="1" customHeight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10"/>
        <v>37.042091200000002</v>
      </c>
      <c r="I66" s="10">
        <v>0</v>
      </c>
    </row>
    <row r="67" spans="1:9" ht="15.75" hidden="1" customHeight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10"/>
        <v>2.88466084</v>
      </c>
      <c r="I67" s="10">
        <v>0</v>
      </c>
    </row>
    <row r="68" spans="1:9" ht="15.75" hidden="1" customHeight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10"/>
        <v>59.425329599999998</v>
      </c>
      <c r="I68" s="10">
        <v>0</v>
      </c>
    </row>
    <row r="69" spans="1:9" ht="15.75" hidden="1" customHeight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10"/>
        <v>0.51984200000000003</v>
      </c>
      <c r="I69" s="10">
        <v>0</v>
      </c>
    </row>
    <row r="70" spans="1:9" ht="15.75" hidden="1" customHeight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10"/>
        <v>0.56168799999999997</v>
      </c>
      <c r="I70" s="10">
        <v>0</v>
      </c>
    </row>
    <row r="71" spans="1:9" ht="15.75" hidden="1" customHeight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10"/>
        <v>0.19625999999999999</v>
      </c>
      <c r="I71" s="10">
        <v>0</v>
      </c>
    </row>
    <row r="72" spans="1:9" ht="15.75" customHeight="1">
      <c r="A72" s="21"/>
      <c r="B72" s="102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15.7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1">SUM(F73*G73/1000)</f>
        <v>1.0291199999999998</v>
      </c>
      <c r="I73" s="10">
        <v>0</v>
      </c>
    </row>
    <row r="74" spans="1:9" ht="15.75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1"/>
        <v>0.73499999999999999</v>
      </c>
      <c r="I74" s="10">
        <v>0</v>
      </c>
    </row>
    <row r="75" spans="1:9" ht="15.75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1"/>
        <v>0.13157400000000002</v>
      </c>
      <c r="I75" s="10">
        <v>0</v>
      </c>
    </row>
    <row r="76" spans="1:9" ht="15.7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1"/>
        <v>1.1187199999999999</v>
      </c>
      <c r="I76" s="10">
        <v>0</v>
      </c>
    </row>
    <row r="77" spans="1:9" ht="15.75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15.75" customHeight="1">
      <c r="A78" s="21">
        <v>13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2">SUM(F78*G78/1000)</f>
        <v>0.64103999999999994</v>
      </c>
      <c r="I78" s="10">
        <f>G78</f>
        <v>53.42</v>
      </c>
    </row>
    <row r="79" spans="1:9" ht="15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15.7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3">SUM(F80*G80/1000)</f>
        <v>0.294985</v>
      </c>
      <c r="I80" s="10">
        <v>0</v>
      </c>
    </row>
    <row r="81" spans="1:9" ht="15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5.75" customHeight="1">
      <c r="A82" s="21">
        <v>14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4">SUM(F82*G82/1000)</f>
        <v>70.572384</v>
      </c>
      <c r="I82" s="10">
        <f>F82/12*G82</f>
        <v>5881.0320000000002</v>
      </c>
    </row>
    <row r="83" spans="1:9" ht="15.75" hidden="1" customHeight="1">
      <c r="A83" s="21"/>
      <c r="B83" s="102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5.75" hidden="1" customHeight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t="15.75" hidden="1" customHeight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5">G85*F85/1000</f>
        <v>43.4</v>
      </c>
      <c r="I85" s="10">
        <v>0</v>
      </c>
    </row>
    <row r="86" spans="1:9" ht="15.75" customHeight="1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21">
        <v>15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6">G87*F87/1000</f>
        <v>95.953680000000006</v>
      </c>
      <c r="I87" s="10">
        <f>F87/12*G87</f>
        <v>7996.14</v>
      </c>
    </row>
    <row r="88" spans="1:9" ht="31.5" customHeight="1">
      <c r="A88" s="21">
        <v>16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 ht="15.75" customHeight="1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I88+I87+I82+I78+I59+I43+I42+I41+I39+I38+I37+I26+I21+I18+I17+I16</f>
        <v>35208.009763000002</v>
      </c>
    </row>
    <row r="90" spans="1:9" ht="15.75" customHeight="1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5.75" customHeight="1">
      <c r="A91" s="21">
        <v>17</v>
      </c>
      <c r="B91" s="162" t="s">
        <v>169</v>
      </c>
      <c r="C91" s="163" t="s">
        <v>170</v>
      </c>
      <c r="D91" s="35"/>
      <c r="E91" s="10"/>
      <c r="F91" s="10">
        <v>1</v>
      </c>
      <c r="G91" s="26">
        <v>1.2</v>
      </c>
      <c r="H91" s="55">
        <f t="shared" ref="H91" si="17">G91*F91/1000</f>
        <v>1.1999999999999999E-3</v>
      </c>
      <c r="I91" s="10">
        <f>G91*48</f>
        <v>57.599999999999994</v>
      </c>
    </row>
    <row r="92" spans="1:9" ht="18.75" customHeight="1">
      <c r="A92" s="21">
        <v>18</v>
      </c>
      <c r="B92" s="96" t="s">
        <v>171</v>
      </c>
      <c r="C92" s="97" t="s">
        <v>172</v>
      </c>
      <c r="D92" s="95"/>
      <c r="E92" s="26"/>
      <c r="F92" s="26">
        <v>1</v>
      </c>
      <c r="G92" s="26">
        <v>134.12</v>
      </c>
      <c r="H92" s="55">
        <f>G92*F92/1000</f>
        <v>0.13412000000000002</v>
      </c>
      <c r="I92" s="10">
        <f>G92*66</f>
        <v>8851.92</v>
      </c>
    </row>
    <row r="93" spans="1:9" ht="30.75" customHeight="1">
      <c r="A93" s="21">
        <v>19</v>
      </c>
      <c r="B93" s="96" t="s">
        <v>249</v>
      </c>
      <c r="C93" s="97" t="s">
        <v>28</v>
      </c>
      <c r="D93" s="28"/>
      <c r="E93" s="14"/>
      <c r="F93" s="92">
        <f>(15+15+10)/3</f>
        <v>13.333333333333334</v>
      </c>
      <c r="G93" s="26">
        <v>18798.34</v>
      </c>
      <c r="H93" s="93">
        <f>G93*F93/1000</f>
        <v>250.64453333333336</v>
      </c>
      <c r="I93" s="10">
        <f>G93*0.599*5/1000</f>
        <v>56.301028299999999</v>
      </c>
    </row>
    <row r="94" spans="1:9" ht="16.5" customHeight="1">
      <c r="A94" s="21">
        <v>20</v>
      </c>
      <c r="B94" s="39" t="s">
        <v>82</v>
      </c>
      <c r="C94" s="40" t="s">
        <v>97</v>
      </c>
      <c r="D94" s="28"/>
      <c r="E94" s="14"/>
      <c r="F94" s="92">
        <v>1</v>
      </c>
      <c r="G94" s="26">
        <v>197.48</v>
      </c>
      <c r="H94" s="93">
        <f>G94*F94/1000</f>
        <v>0.19747999999999999</v>
      </c>
      <c r="I94" s="10">
        <f>G94*2</f>
        <v>394.96</v>
      </c>
    </row>
    <row r="95" spans="1:9" ht="16.5" customHeight="1">
      <c r="A95" s="21">
        <v>21</v>
      </c>
      <c r="B95" s="96" t="s">
        <v>165</v>
      </c>
      <c r="C95" s="97" t="s">
        <v>166</v>
      </c>
      <c r="D95" s="28"/>
      <c r="E95" s="14"/>
      <c r="F95" s="92"/>
      <c r="G95" s="26">
        <v>689.92</v>
      </c>
      <c r="H95" s="93"/>
      <c r="I95" s="10">
        <f>G95*1</f>
        <v>689.92</v>
      </c>
    </row>
    <row r="96" spans="1:9" ht="16.5" customHeight="1">
      <c r="A96" s="21">
        <v>22</v>
      </c>
      <c r="B96" s="160" t="s">
        <v>174</v>
      </c>
      <c r="C96" s="161" t="s">
        <v>175</v>
      </c>
      <c r="D96" s="28"/>
      <c r="E96" s="14"/>
      <c r="F96" s="92"/>
      <c r="G96" s="26">
        <v>208</v>
      </c>
      <c r="H96" s="93"/>
      <c r="I96" s="10">
        <f>G96*1</f>
        <v>208</v>
      </c>
    </row>
    <row r="97" spans="1:9">
      <c r="A97" s="21"/>
      <c r="B97" s="33" t="s">
        <v>52</v>
      </c>
      <c r="C97" s="29"/>
      <c r="D97" s="36"/>
      <c r="E97" s="29">
        <v>1</v>
      </c>
      <c r="F97" s="29"/>
      <c r="G97" s="29"/>
      <c r="H97" s="29"/>
      <c r="I97" s="24">
        <f>SUM(I91:I96)</f>
        <v>10258.7010283</v>
      </c>
    </row>
    <row r="98" spans="1:9" ht="15.75" customHeight="1">
      <c r="A98" s="21"/>
      <c r="B98" s="35" t="s">
        <v>79</v>
      </c>
      <c r="C98" s="12"/>
      <c r="D98" s="12"/>
      <c r="E98" s="30"/>
      <c r="F98" s="30"/>
      <c r="G98" s="31"/>
      <c r="H98" s="31"/>
      <c r="I98" s="14">
        <v>0</v>
      </c>
    </row>
    <row r="99" spans="1:9" ht="15.75" customHeight="1">
      <c r="A99" s="37"/>
      <c r="B99" s="34" t="s">
        <v>163</v>
      </c>
      <c r="C99" s="25"/>
      <c r="D99" s="25"/>
      <c r="E99" s="25"/>
      <c r="F99" s="25"/>
      <c r="G99" s="25"/>
      <c r="H99" s="25"/>
      <c r="I99" s="32">
        <f>I89+I97</f>
        <v>45466.7107913</v>
      </c>
    </row>
    <row r="100" spans="1:9" ht="15.75" customHeight="1">
      <c r="A100" s="181" t="s">
        <v>250</v>
      </c>
      <c r="B100" s="181"/>
      <c r="C100" s="181"/>
      <c r="D100" s="181"/>
      <c r="E100" s="181"/>
      <c r="F100" s="181"/>
      <c r="G100" s="181"/>
      <c r="H100" s="181"/>
      <c r="I100" s="181"/>
    </row>
    <row r="101" spans="1:9" ht="15.75" customHeight="1">
      <c r="A101" s="43"/>
      <c r="B101" s="182" t="s">
        <v>251</v>
      </c>
      <c r="C101" s="182"/>
      <c r="D101" s="182"/>
      <c r="E101" s="182"/>
      <c r="F101" s="182"/>
      <c r="G101" s="182"/>
      <c r="H101" s="52"/>
      <c r="I101" s="2"/>
    </row>
    <row r="102" spans="1:9" ht="15.75" customHeight="1">
      <c r="A102" s="103"/>
      <c r="B102" s="183" t="s">
        <v>6</v>
      </c>
      <c r="C102" s="183"/>
      <c r="D102" s="183"/>
      <c r="E102" s="183"/>
      <c r="F102" s="183"/>
      <c r="G102" s="183"/>
      <c r="H102" s="16"/>
      <c r="I102" s="4"/>
    </row>
    <row r="103" spans="1:9" ht="7.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184" t="s">
        <v>7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184" t="s">
        <v>8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170" t="s">
        <v>62</v>
      </c>
      <c r="B106" s="170"/>
      <c r="C106" s="170"/>
      <c r="D106" s="170"/>
      <c r="E106" s="170"/>
      <c r="F106" s="170"/>
      <c r="G106" s="170"/>
      <c r="H106" s="170"/>
      <c r="I106" s="170"/>
    </row>
    <row r="107" spans="1:9" ht="8.25" customHeight="1">
      <c r="A107" s="8"/>
    </row>
    <row r="108" spans="1:9" ht="15.75">
      <c r="A108" s="186" t="s">
        <v>9</v>
      </c>
      <c r="B108" s="186"/>
      <c r="C108" s="186"/>
      <c r="D108" s="186"/>
      <c r="E108" s="186"/>
      <c r="F108" s="186"/>
      <c r="G108" s="186"/>
      <c r="H108" s="186"/>
      <c r="I108" s="186"/>
    </row>
    <row r="109" spans="1:9" ht="15.75">
      <c r="A109" s="3"/>
    </row>
    <row r="110" spans="1:9" ht="15.75" customHeight="1">
      <c r="B110" s="99" t="s">
        <v>10</v>
      </c>
      <c r="C110" s="187" t="s">
        <v>132</v>
      </c>
      <c r="D110" s="187"/>
      <c r="E110" s="187"/>
      <c r="F110" s="50"/>
      <c r="I110" s="101"/>
    </row>
    <row r="111" spans="1:9" ht="15.75" customHeight="1">
      <c r="A111" s="103"/>
      <c r="C111" s="183" t="s">
        <v>11</v>
      </c>
      <c r="D111" s="183"/>
      <c r="E111" s="183"/>
      <c r="F111" s="16"/>
      <c r="I111" s="98" t="s">
        <v>12</v>
      </c>
    </row>
    <row r="112" spans="1:9" ht="15.75" customHeight="1">
      <c r="A112" s="17"/>
      <c r="C112" s="9"/>
      <c r="D112" s="9"/>
      <c r="G112" s="9"/>
      <c r="H112" s="9"/>
    </row>
    <row r="113" spans="1:9" ht="15.75" customHeight="1">
      <c r="B113" s="99" t="s">
        <v>13</v>
      </c>
      <c r="C113" s="188"/>
      <c r="D113" s="188"/>
      <c r="E113" s="188"/>
      <c r="F113" s="51"/>
      <c r="I113" s="101"/>
    </row>
    <row r="114" spans="1:9">
      <c r="A114" s="103"/>
      <c r="C114" s="189" t="s">
        <v>11</v>
      </c>
      <c r="D114" s="189"/>
      <c r="E114" s="189"/>
      <c r="F114" s="103"/>
      <c r="I114" s="98" t="s">
        <v>12</v>
      </c>
    </row>
    <row r="115" spans="1:9" ht="15.75">
      <c r="A115" s="3" t="s">
        <v>14</v>
      </c>
    </row>
    <row r="116" spans="1:9">
      <c r="A116" s="190" t="s">
        <v>15</v>
      </c>
      <c r="B116" s="190"/>
      <c r="C116" s="190"/>
      <c r="D116" s="190"/>
      <c r="E116" s="190"/>
      <c r="F116" s="190"/>
      <c r="G116" s="190"/>
      <c r="H116" s="190"/>
      <c r="I116" s="190"/>
    </row>
    <row r="117" spans="1:9" ht="45" customHeight="1">
      <c r="A117" s="185" t="s">
        <v>16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17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30" customHeight="1">
      <c r="A119" s="185" t="s">
        <v>21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15" customHeight="1">
      <c r="A120" s="185" t="s">
        <v>20</v>
      </c>
      <c r="B120" s="185"/>
      <c r="C120" s="185"/>
      <c r="D120" s="185"/>
      <c r="E120" s="185"/>
      <c r="F120" s="185"/>
      <c r="G120" s="185"/>
      <c r="H120" s="185"/>
      <c r="I120" s="185"/>
    </row>
  </sheetData>
  <mergeCells count="28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8:I28"/>
    <mergeCell ref="A44:I44"/>
    <mergeCell ref="A56:I56"/>
    <mergeCell ref="A86:I86"/>
    <mergeCell ref="A90:I90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2"/>
  <sheetViews>
    <sheetView tabSelected="1" view="pageBreakPreview" topLeftCell="A93" zoomScale="60" workbookViewId="0">
      <selection activeCell="J106" sqref="J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211</v>
      </c>
      <c r="I1" s="18"/>
    </row>
    <row r="2" spans="1:9" ht="15.75">
      <c r="A2" s="20" t="s">
        <v>63</v>
      </c>
    </row>
    <row r="3" spans="1:9" ht="15.75">
      <c r="A3" s="165" t="s">
        <v>106</v>
      </c>
      <c r="B3" s="165"/>
      <c r="C3" s="165"/>
      <c r="D3" s="165"/>
      <c r="E3" s="165"/>
      <c r="F3" s="165"/>
      <c r="G3" s="165"/>
      <c r="H3" s="165"/>
      <c r="I3" s="165"/>
    </row>
    <row r="4" spans="1:9" ht="31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252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00"/>
      <c r="C6" s="100"/>
      <c r="D6" s="100"/>
      <c r="E6" s="100"/>
      <c r="F6" s="100"/>
      <c r="G6" s="100"/>
      <c r="H6" s="100"/>
      <c r="I6" s="22">
        <v>43465</v>
      </c>
    </row>
    <row r="7" spans="1:9" ht="15.75">
      <c r="B7" s="99"/>
      <c r="C7" s="99"/>
      <c r="D7" s="99"/>
      <c r="E7" s="2"/>
      <c r="F7" s="2"/>
      <c r="G7" s="2"/>
      <c r="H7" s="2"/>
    </row>
    <row r="8" spans="1:9" ht="78.75" customHeight="1">
      <c r="A8" s="168" t="s">
        <v>227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47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 ht="15" customHeight="1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5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t="15.75" hidden="1" customHeight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t="15.75" hidden="1" customHeight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t="15.75" hidden="1" customHeight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t="15.75" hidden="1" customHeight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 ht="15.75" customHeight="1">
      <c r="A26" s="21">
        <v>4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ref="H26:H27" si="1">SUM(F26*G26/1000)</f>
        <v>4.8202700000000007</v>
      </c>
      <c r="I26" s="10">
        <f>F26/12*G26</f>
        <v>401.68916666666667</v>
      </c>
    </row>
    <row r="27" spans="1:9" ht="15.75" hidden="1" customHeight="1">
      <c r="A27" s="21">
        <v>5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1"/>
        <v>103.382352</v>
      </c>
      <c r="I27" s="10">
        <f>F27/12*G27</f>
        <v>8615.1959999999999</v>
      </c>
    </row>
    <row r="28" spans="1:9" ht="15.75" customHeight="1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hidden="1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5.75" hidden="1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2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2"/>
        <v>0.55386208799999992</v>
      </c>
      <c r="I31" s="10">
        <f t="shared" ref="I31:I33" si="3">F31/6*G31</f>
        <v>92.310347999999991</v>
      </c>
    </row>
    <row r="32" spans="1:9" ht="15.75" hidden="1" customHeight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2"/>
        <v>0.49396538100000004</v>
      </c>
      <c r="I32" s="10">
        <f t="shared" si="3"/>
        <v>82.327563500000011</v>
      </c>
    </row>
    <row r="33" spans="1:9" ht="15.75" hidden="1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2"/>
        <v>3.841416666666666</v>
      </c>
      <c r="I33" s="10">
        <f t="shared" si="3"/>
        <v>640.23611111111109</v>
      </c>
    </row>
    <row r="34" spans="1:9" ht="15.75" hidden="1" customHeight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2"/>
        <v>0.50183999999999995</v>
      </c>
      <c r="I34" s="10">
        <v>0</v>
      </c>
    </row>
    <row r="35" spans="1:9" ht="15.75" hidden="1" customHeight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2"/>
        <v>1.49031</v>
      </c>
      <c r="I35" s="10">
        <v>0</v>
      </c>
    </row>
    <row r="36" spans="1:9" ht="15.75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15.75" customHeight="1">
      <c r="A37" s="21">
        <v>5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t="15.75" customHeight="1">
      <c r="A38" s="21">
        <v>6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4">SUM(F38*G38/1000)</f>
        <v>2.1568597380000001</v>
      </c>
      <c r="I38" s="10">
        <f t="shared" ref="I38:I41" si="5">F38/6*G38</f>
        <v>359.47662300000002</v>
      </c>
    </row>
    <row r="39" spans="1:9" ht="15.75" customHeight="1">
      <c r="A39" s="21">
        <v>7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4"/>
        <v>2.23891734</v>
      </c>
      <c r="I39" s="10">
        <f t="shared" si="5"/>
        <v>373.15289000000001</v>
      </c>
    </row>
    <row r="40" spans="1:9" ht="15.75" hidden="1" customHeight="1">
      <c r="A40" s="21">
        <v>9</v>
      </c>
      <c r="B40" s="56" t="s">
        <v>121</v>
      </c>
      <c r="C40" s="57" t="s">
        <v>55</v>
      </c>
      <c r="D40" s="56" t="s">
        <v>68</v>
      </c>
      <c r="E40" s="58"/>
      <c r="F40" s="59">
        <v>110</v>
      </c>
      <c r="G40" s="59">
        <v>314</v>
      </c>
      <c r="H40" s="60">
        <f t="shared" si="4"/>
        <v>34.54</v>
      </c>
      <c r="I40" s="10">
        <f t="shared" si="5"/>
        <v>5756.6666666666661</v>
      </c>
    </row>
    <row r="41" spans="1:9" ht="47.25" customHeight="1">
      <c r="A41" s="21">
        <v>8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4"/>
        <v>5.9526882360000002</v>
      </c>
      <c r="I41" s="10">
        <f t="shared" si="5"/>
        <v>992.11470599999996</v>
      </c>
    </row>
    <row r="42" spans="1:9" ht="15.75" customHeight="1">
      <c r="A42" s="21">
        <v>9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4"/>
        <v>0.35178858000000002</v>
      </c>
      <c r="I42" s="10">
        <f>F42/7.5*1.5*G42</f>
        <v>70.357715999999996</v>
      </c>
    </row>
    <row r="43" spans="1:9" ht="15.75" customHeight="1">
      <c r="A43" s="21">
        <v>10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4"/>
        <v>0.29244900000000001</v>
      </c>
      <c r="I43" s="10">
        <f>F43/7.5*1.5*G43</f>
        <v>58.489800000000002</v>
      </c>
    </row>
    <row r="44" spans="1:9" ht="15.75" customHeight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hidden="1" customHeight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6">SUM(F45*G45/1000)</f>
        <v>2.6013433080000006</v>
      </c>
      <c r="I45" s="10">
        <v>0</v>
      </c>
    </row>
    <row r="46" spans="1:9" ht="15.75" hidden="1" customHeight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6"/>
        <v>0.58331460000000002</v>
      </c>
      <c r="I46" s="10">
        <v>0</v>
      </c>
    </row>
    <row r="47" spans="1:9" ht="15.75" hidden="1" customHeight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6"/>
        <v>5.6393269695000008</v>
      </c>
      <c r="I47" s="10">
        <v>0</v>
      </c>
    </row>
    <row r="48" spans="1:9" ht="15.75" hidden="1" customHeight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6"/>
        <v>4.0277184559999997</v>
      </c>
      <c r="I48" s="10">
        <v>0</v>
      </c>
    </row>
    <row r="49" spans="1:9" ht="15.75" hidden="1" customHeight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6"/>
        <v>2.3224183680000001</v>
      </c>
      <c r="I49" s="10">
        <v>0</v>
      </c>
    </row>
    <row r="50" spans="1:9" ht="15.75" customHeight="1">
      <c r="A50" s="21">
        <v>11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6"/>
        <v>23.262189930000002</v>
      </c>
      <c r="I50" s="10">
        <f>F50/5*G50</f>
        <v>4652.4379860000008</v>
      </c>
    </row>
    <row r="51" spans="1:9" ht="31.5" hidden="1" customHeight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6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6"/>
        <v>1.6233280000000001</v>
      </c>
      <c r="I52" s="10">
        <f t="shared" ref="I52:I53" si="7">F52/2*G52</f>
        <v>811.6640000000001</v>
      </c>
    </row>
    <row r="53" spans="1:9" ht="15.75" hidden="1" customHeight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6"/>
        <v>0.14825839999999998</v>
      </c>
      <c r="I53" s="10">
        <f t="shared" si="7"/>
        <v>74.129199999999997</v>
      </c>
    </row>
    <row r="54" spans="1:9" ht="15.75" hidden="1" customHeight="1">
      <c r="A54" s="21">
        <v>15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6"/>
        <v>34.424880000000002</v>
      </c>
      <c r="I54" s="10">
        <v>0</v>
      </c>
    </row>
    <row r="55" spans="1:9" ht="15.75" hidden="1" customHeight="1">
      <c r="A55" s="79">
        <v>16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6"/>
        <v>32.047800000000002</v>
      </c>
      <c r="I55" s="80">
        <v>0</v>
      </c>
    </row>
    <row r="56" spans="1:9" ht="15.75" customHeight="1">
      <c r="A56" s="175" t="s">
        <v>134</v>
      </c>
      <c r="B56" s="176"/>
      <c r="C56" s="176"/>
      <c r="D56" s="176"/>
      <c r="E56" s="176"/>
      <c r="F56" s="176"/>
      <c r="G56" s="176"/>
      <c r="H56" s="176"/>
      <c r="I56" s="177"/>
    </row>
    <row r="57" spans="1:9" ht="15.75" customHeight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1.5" customHeight="1">
      <c r="A58" s="21">
        <v>12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8">F58/6*G58</f>
        <v>2575.9934199999998</v>
      </c>
    </row>
    <row r="59" spans="1:9" ht="31.5" customHeight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9">SUM(F59*G59/1000)</f>
        <v>2.4229841999999997</v>
      </c>
      <c r="I59" s="10">
        <f t="shared" si="8"/>
        <v>403.83069999999998</v>
      </c>
    </row>
    <row r="60" spans="1:9" ht="16.5" customHeight="1">
      <c r="A60" s="21">
        <v>14</v>
      </c>
      <c r="B60" s="66" t="s">
        <v>128</v>
      </c>
      <c r="C60" s="65" t="s">
        <v>129</v>
      </c>
      <c r="D60" s="66" t="s">
        <v>68</v>
      </c>
      <c r="E60" s="89"/>
      <c r="F60" s="68">
        <v>3</v>
      </c>
      <c r="G60" s="59">
        <v>1582.05</v>
      </c>
      <c r="H60" s="60">
        <f t="shared" si="9"/>
        <v>4.7461499999999992</v>
      </c>
      <c r="I60" s="10">
        <f>G60*2.5</f>
        <v>3955.125</v>
      </c>
    </row>
    <row r="61" spans="1:9" ht="13.5" hidden="1" customHeight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t="16.5" hidden="1" customHeight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7.25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17.25" customHeight="1">
      <c r="A64" s="21">
        <v>15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10">SUM(F64*G64/1000)</f>
        <v>1.4584000000000001</v>
      </c>
      <c r="I64" s="10">
        <f>G64*2</f>
        <v>583.36</v>
      </c>
    </row>
    <row r="65" spans="1:9" ht="15.75" hidden="1" customHeight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10"/>
        <v>0.20002</v>
      </c>
      <c r="I65" s="10">
        <v>0</v>
      </c>
    </row>
    <row r="66" spans="1:9" ht="18" hidden="1" customHeight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10"/>
        <v>37.042091200000002</v>
      </c>
      <c r="I66" s="10">
        <v>0</v>
      </c>
    </row>
    <row r="67" spans="1:9" ht="18" hidden="1" customHeight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10"/>
        <v>2.88466084</v>
      </c>
      <c r="I67" s="10">
        <v>0</v>
      </c>
    </row>
    <row r="68" spans="1:9" ht="23.25" hidden="1" customHeight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10"/>
        <v>59.425329599999998</v>
      </c>
      <c r="I68" s="10">
        <v>0</v>
      </c>
    </row>
    <row r="69" spans="1:9" ht="23.25" hidden="1" customHeight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10"/>
        <v>0.51984200000000003</v>
      </c>
      <c r="I69" s="10">
        <v>0</v>
      </c>
    </row>
    <row r="70" spans="1:9" ht="13.5" hidden="1" customHeight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10"/>
        <v>0.56168799999999997</v>
      </c>
      <c r="I70" s="10">
        <v>0</v>
      </c>
    </row>
    <row r="71" spans="1:9" ht="18.75" hidden="1" customHeight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10"/>
        <v>0.19625999999999999</v>
      </c>
      <c r="I71" s="10">
        <v>0</v>
      </c>
    </row>
    <row r="72" spans="1:9" ht="15.75" customHeight="1">
      <c r="A72" s="21"/>
      <c r="B72" s="102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15.7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1">SUM(F73*G73/1000)</f>
        <v>1.0291199999999998</v>
      </c>
      <c r="I73" s="10">
        <v>0</v>
      </c>
    </row>
    <row r="74" spans="1:9" ht="15.75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1"/>
        <v>0.73499999999999999</v>
      </c>
      <c r="I74" s="10">
        <v>0</v>
      </c>
    </row>
    <row r="75" spans="1:9" ht="15.75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1"/>
        <v>0.13157400000000002</v>
      </c>
      <c r="I75" s="10">
        <v>0</v>
      </c>
    </row>
    <row r="76" spans="1:9" ht="15.7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1"/>
        <v>1.1187199999999999</v>
      </c>
      <c r="I76" s="10">
        <v>0</v>
      </c>
    </row>
    <row r="77" spans="1:9" ht="15.75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15.75" customHeight="1">
      <c r="A78" s="21">
        <v>16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2">SUM(F78*G78/1000)</f>
        <v>0.64103999999999994</v>
      </c>
      <c r="I78" s="10">
        <f>G78</f>
        <v>53.42</v>
      </c>
    </row>
    <row r="79" spans="1:9" ht="15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15.7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3">SUM(F80*G80/1000)</f>
        <v>0.294985</v>
      </c>
      <c r="I80" s="10">
        <v>0</v>
      </c>
    </row>
    <row r="81" spans="1:9" ht="15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5.75" customHeight="1">
      <c r="A82" s="21">
        <v>17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4">SUM(F82*G82/1000)</f>
        <v>70.572384</v>
      </c>
      <c r="I82" s="10">
        <f>F82/12*G82</f>
        <v>5881.0320000000002</v>
      </c>
    </row>
    <row r="83" spans="1:9" ht="23.25" customHeight="1">
      <c r="A83" s="21"/>
      <c r="B83" s="102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4.25" customHeight="1">
      <c r="A84" s="21">
        <v>18</v>
      </c>
      <c r="B84" s="11" t="s">
        <v>160</v>
      </c>
      <c r="C84" s="13"/>
      <c r="D84" s="11"/>
      <c r="E84" s="11"/>
      <c r="F84" s="10">
        <v>1</v>
      </c>
      <c r="G84" s="10">
        <v>6296</v>
      </c>
      <c r="H84" s="55">
        <f>G84*F84/1000</f>
        <v>6.2960000000000003</v>
      </c>
      <c r="I84" s="10">
        <f>G84*1</f>
        <v>6296</v>
      </c>
    </row>
    <row r="85" spans="1:9" ht="18" hidden="1" customHeight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5">G85*F85/1000</f>
        <v>43.4</v>
      </c>
      <c r="I85" s="10">
        <v>0</v>
      </c>
    </row>
    <row r="86" spans="1:9" ht="15.75" customHeight="1">
      <c r="A86" s="172" t="s">
        <v>135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21">
        <v>19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6">G87*F87/1000</f>
        <v>95.953680000000006</v>
      </c>
      <c r="I87" s="10">
        <f>F87/12*G87</f>
        <v>7996.14</v>
      </c>
    </row>
    <row r="88" spans="1:9" ht="31.5" customHeight="1">
      <c r="A88" s="21">
        <v>20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 ht="15.75" customHeight="1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I88+I87+I82+I78+I64+I60+I59+I58+I50+I43+I42+I41+I39+I38+I37+I18+I26+I17+I16+I84</f>
        <v>53306.22246099999</v>
      </c>
    </row>
    <row r="90" spans="1:9" ht="15.75" customHeight="1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5.75" customHeight="1">
      <c r="A91" s="21">
        <v>21</v>
      </c>
      <c r="B91" s="162" t="s">
        <v>169</v>
      </c>
      <c r="C91" s="163" t="s">
        <v>170</v>
      </c>
      <c r="D91" s="35"/>
      <c r="E91" s="10"/>
      <c r="F91" s="10">
        <v>1</v>
      </c>
      <c r="G91" s="26">
        <v>1.2</v>
      </c>
      <c r="H91" s="55">
        <f t="shared" ref="H91" si="17">G91*F91/1000</f>
        <v>1.1999999999999999E-3</v>
      </c>
      <c r="I91" s="10">
        <f>G91*48</f>
        <v>57.599999999999994</v>
      </c>
    </row>
    <row r="92" spans="1:9" ht="15.75" customHeight="1">
      <c r="A92" s="21" t="s">
        <v>257</v>
      </c>
      <c r="B92" s="96" t="s">
        <v>253</v>
      </c>
      <c r="C92" s="97" t="s">
        <v>97</v>
      </c>
      <c r="D92" s="95"/>
      <c r="E92" s="26"/>
      <c r="F92" s="26">
        <f>0.05</f>
        <v>0.05</v>
      </c>
      <c r="G92" s="26">
        <v>55.55</v>
      </c>
      <c r="H92" s="94">
        <f>G92*F92/1000</f>
        <v>2.7775E-3</v>
      </c>
      <c r="I92" s="10">
        <f>G92*1</f>
        <v>55.55</v>
      </c>
    </row>
    <row r="93" spans="1:9" ht="35.25" customHeight="1">
      <c r="A93" s="21">
        <v>23</v>
      </c>
      <c r="B93" s="96" t="s">
        <v>194</v>
      </c>
      <c r="C93" s="97" t="s">
        <v>195</v>
      </c>
      <c r="D93" s="95"/>
      <c r="E93" s="26"/>
      <c r="F93" s="26"/>
      <c r="G93" s="26">
        <v>24829.08</v>
      </c>
      <c r="H93" s="94"/>
      <c r="I93" s="10">
        <f>G93*0.01</f>
        <v>248.29080000000002</v>
      </c>
    </row>
    <row r="94" spans="1:9" ht="15.75" customHeight="1">
      <c r="A94" s="21">
        <v>24</v>
      </c>
      <c r="B94" s="96" t="s">
        <v>254</v>
      </c>
      <c r="C94" s="97" t="s">
        <v>97</v>
      </c>
      <c r="D94" s="95"/>
      <c r="E94" s="26"/>
      <c r="F94" s="26"/>
      <c r="G94" s="26">
        <v>1318.98</v>
      </c>
      <c r="H94" s="94"/>
      <c r="I94" s="10">
        <f>G94*1</f>
        <v>1318.98</v>
      </c>
    </row>
    <row r="95" spans="1:9" ht="30" customHeight="1">
      <c r="A95" s="21">
        <v>25</v>
      </c>
      <c r="B95" s="96" t="s">
        <v>255</v>
      </c>
      <c r="C95" s="97" t="s">
        <v>97</v>
      </c>
      <c r="D95" s="95"/>
      <c r="E95" s="26"/>
      <c r="F95" s="26"/>
      <c r="G95" s="26">
        <v>201.36</v>
      </c>
      <c r="H95" s="94"/>
      <c r="I95" s="10">
        <f>G95*5</f>
        <v>1006.8000000000001</v>
      </c>
    </row>
    <row r="96" spans="1:9" ht="15.75" customHeight="1">
      <c r="A96" s="21">
        <v>26</v>
      </c>
      <c r="B96" s="96" t="s">
        <v>256</v>
      </c>
      <c r="C96" s="97" t="s">
        <v>97</v>
      </c>
      <c r="D96" s="95"/>
      <c r="E96" s="26"/>
      <c r="F96" s="26"/>
      <c r="G96" s="26">
        <v>4414.8599999999997</v>
      </c>
      <c r="H96" s="94"/>
      <c r="I96" s="10">
        <f>G96*2</f>
        <v>8829.7199999999993</v>
      </c>
    </row>
    <row r="97" spans="1:9" ht="30.75" customHeight="1">
      <c r="A97" s="21">
        <v>27</v>
      </c>
      <c r="B97" s="96" t="s">
        <v>249</v>
      </c>
      <c r="C97" s="97" t="s">
        <v>28</v>
      </c>
      <c r="D97" s="28"/>
      <c r="E97" s="14"/>
      <c r="F97" s="92">
        <f>(15+15+10)/3</f>
        <v>13.333333333333334</v>
      </c>
      <c r="G97" s="26">
        <v>18798.34</v>
      </c>
      <c r="H97" s="93">
        <f>G97*F97/1000</f>
        <v>250.64453333333336</v>
      </c>
      <c r="I97" s="10">
        <f>G97*0.599*10/1000</f>
        <v>112.6020566</v>
      </c>
    </row>
    <row r="98" spans="1:9">
      <c r="A98" s="21"/>
      <c r="B98" s="33" t="s">
        <v>52</v>
      </c>
      <c r="C98" s="29"/>
      <c r="D98" s="36"/>
      <c r="E98" s="29">
        <v>1</v>
      </c>
      <c r="F98" s="29"/>
      <c r="G98" s="29"/>
      <c r="H98" s="29"/>
      <c r="I98" s="24">
        <f>SUM(I91:I97)-I92</f>
        <v>11573.992856600002</v>
      </c>
    </row>
    <row r="99" spans="1:9" ht="15.75" customHeight="1">
      <c r="A99" s="21"/>
      <c r="B99" s="35" t="s">
        <v>79</v>
      </c>
      <c r="C99" s="12"/>
      <c r="D99" s="12"/>
      <c r="E99" s="30"/>
      <c r="F99" s="30"/>
      <c r="G99" s="31"/>
      <c r="H99" s="31"/>
      <c r="I99" s="14">
        <v>0</v>
      </c>
    </row>
    <row r="100" spans="1:9" ht="15.75" customHeight="1">
      <c r="A100" s="37"/>
      <c r="B100" s="34" t="s">
        <v>163</v>
      </c>
      <c r="C100" s="25"/>
      <c r="D100" s="25"/>
      <c r="E100" s="25"/>
      <c r="F100" s="25"/>
      <c r="G100" s="25"/>
      <c r="H100" s="25"/>
      <c r="I100" s="32">
        <f>I89+I98</f>
        <v>64880.215317599992</v>
      </c>
    </row>
    <row r="101" spans="1:9" ht="15.75" customHeight="1">
      <c r="A101" s="191" t="s">
        <v>258</v>
      </c>
      <c r="B101" s="192"/>
      <c r="C101" s="192"/>
      <c r="D101" s="192"/>
      <c r="E101" s="192"/>
      <c r="F101" s="192"/>
      <c r="G101" s="192"/>
      <c r="H101" s="192"/>
      <c r="I101" s="192"/>
    </row>
    <row r="102" spans="1:9" ht="15.75" customHeight="1">
      <c r="A102" s="181" t="s">
        <v>259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 customHeight="1">
      <c r="A103" s="43"/>
      <c r="B103" s="182" t="s">
        <v>260</v>
      </c>
      <c r="C103" s="182"/>
      <c r="D103" s="182"/>
      <c r="E103" s="182"/>
      <c r="F103" s="182"/>
      <c r="G103" s="182"/>
      <c r="H103" s="52"/>
      <c r="I103" s="2"/>
    </row>
    <row r="104" spans="1:9" ht="15.75" customHeight="1">
      <c r="A104" s="103"/>
      <c r="B104" s="183" t="s">
        <v>6</v>
      </c>
      <c r="C104" s="183"/>
      <c r="D104" s="183"/>
      <c r="E104" s="183"/>
      <c r="F104" s="183"/>
      <c r="G104" s="183"/>
      <c r="H104" s="16"/>
      <c r="I104" s="4"/>
    </row>
    <row r="105" spans="1:9" ht="7.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 customHeight="1">
      <c r="A106" s="184" t="s">
        <v>7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184" t="s">
        <v>8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170" t="s">
        <v>62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8.25" customHeight="1">
      <c r="A109" s="8"/>
    </row>
    <row r="110" spans="1:9" ht="15.75">
      <c r="A110" s="186" t="s">
        <v>9</v>
      </c>
      <c r="B110" s="186"/>
      <c r="C110" s="186"/>
      <c r="D110" s="186"/>
      <c r="E110" s="186"/>
      <c r="F110" s="186"/>
      <c r="G110" s="186"/>
      <c r="H110" s="186"/>
      <c r="I110" s="186"/>
    </row>
    <row r="111" spans="1:9" ht="15.75">
      <c r="A111" s="3"/>
    </row>
    <row r="112" spans="1:9" ht="15.75" customHeight="1">
      <c r="B112" s="99" t="s">
        <v>10</v>
      </c>
      <c r="C112" s="187" t="s">
        <v>132</v>
      </c>
      <c r="D112" s="187"/>
      <c r="E112" s="187"/>
      <c r="F112" s="50"/>
      <c r="I112" s="101"/>
    </row>
    <row r="113" spans="1:9" ht="15.75" customHeight="1">
      <c r="A113" s="103"/>
      <c r="C113" s="183" t="s">
        <v>11</v>
      </c>
      <c r="D113" s="183"/>
      <c r="E113" s="183"/>
      <c r="F113" s="16"/>
      <c r="I113" s="98" t="s">
        <v>12</v>
      </c>
    </row>
    <row r="114" spans="1:9" ht="15.75" customHeight="1">
      <c r="A114" s="17"/>
      <c r="C114" s="9"/>
      <c r="D114" s="9"/>
      <c r="G114" s="9"/>
      <c r="H114" s="9"/>
    </row>
    <row r="115" spans="1:9" ht="15.75" customHeight="1">
      <c r="B115" s="99" t="s">
        <v>13</v>
      </c>
      <c r="C115" s="188"/>
      <c r="D115" s="188"/>
      <c r="E115" s="188"/>
      <c r="F115" s="51"/>
      <c r="I115" s="101"/>
    </row>
    <row r="116" spans="1:9">
      <c r="A116" s="103"/>
      <c r="C116" s="189" t="s">
        <v>11</v>
      </c>
      <c r="D116" s="189"/>
      <c r="E116" s="189"/>
      <c r="F116" s="103"/>
      <c r="I116" s="98" t="s">
        <v>12</v>
      </c>
    </row>
    <row r="117" spans="1:9" ht="15.75">
      <c r="A117" s="3" t="s">
        <v>14</v>
      </c>
    </row>
    <row r="118" spans="1:9">
      <c r="A118" s="190" t="s">
        <v>15</v>
      </c>
      <c r="B118" s="190"/>
      <c r="C118" s="190"/>
      <c r="D118" s="190"/>
      <c r="E118" s="190"/>
      <c r="F118" s="190"/>
      <c r="G118" s="190"/>
      <c r="H118" s="190"/>
      <c r="I118" s="190"/>
    </row>
    <row r="119" spans="1:9" ht="45" customHeight="1">
      <c r="A119" s="185" t="s">
        <v>16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30" customHeight="1">
      <c r="A120" s="185" t="s">
        <v>17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30" customHeight="1">
      <c r="A121" s="185" t="s">
        <v>21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15" customHeight="1">
      <c r="A122" s="185" t="s">
        <v>20</v>
      </c>
      <c r="B122" s="185"/>
      <c r="C122" s="185"/>
      <c r="D122" s="185"/>
      <c r="E122" s="185"/>
      <c r="F122" s="185"/>
      <c r="G122" s="185"/>
      <c r="H122" s="185"/>
      <c r="I122" s="185"/>
    </row>
  </sheetData>
  <mergeCells count="29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8:I28"/>
    <mergeCell ref="A44:I44"/>
    <mergeCell ref="A56:I56"/>
    <mergeCell ref="A86:I86"/>
    <mergeCell ref="A90:I90"/>
    <mergeCell ref="A102:I102"/>
    <mergeCell ref="B103:G103"/>
    <mergeCell ref="B104:G104"/>
    <mergeCell ref="A106:I106"/>
    <mergeCell ref="A107:I107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8" orientation="portrait" horizontalDpi="0" verticalDpi="0" r:id="rId1"/>
  <rowBreaks count="1" manualBreakCount="1">
    <brk id="1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B99" sqref="B99:G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63</v>
      </c>
    </row>
    <row r="3" spans="1:9" ht="15.75">
      <c r="A3" s="165" t="s">
        <v>143</v>
      </c>
      <c r="B3" s="165"/>
      <c r="C3" s="165"/>
      <c r="D3" s="165"/>
      <c r="E3" s="165"/>
      <c r="F3" s="165"/>
      <c r="G3" s="165"/>
      <c r="H3" s="165"/>
      <c r="I3" s="165"/>
    </row>
    <row r="4" spans="1:9" ht="31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177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06"/>
      <c r="C6" s="106"/>
      <c r="D6" s="106"/>
      <c r="E6" s="106"/>
      <c r="F6" s="106"/>
      <c r="G6" s="106"/>
      <c r="H6" s="106"/>
      <c r="I6" s="22">
        <v>43159</v>
      </c>
    </row>
    <row r="7" spans="1:9" ht="15.75">
      <c r="B7" s="105"/>
      <c r="C7" s="105"/>
      <c r="D7" s="105"/>
      <c r="E7" s="2"/>
      <c r="F7" s="2"/>
      <c r="G7" s="2"/>
      <c r="H7" s="2"/>
    </row>
    <row r="8" spans="1:9" ht="78.75" customHeight="1">
      <c r="A8" s="168" t="s">
        <v>162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47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 ht="15" customHeight="1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t="15.75" hidden="1" customHeight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t="15.75" hidden="1" customHeight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t="15.75" hidden="1" customHeight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t="15.75" hidden="1" customHeight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 ht="15.75" customHeight="1">
      <c r="A26" s="21">
        <v>4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 ht="15.75" customHeight="1">
      <c r="A27" s="21">
        <v>5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 ht="15.75" customHeight="1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hidden="1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5.75" hidden="1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t="15.75" hidden="1" customHeight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 t="shared" si="2"/>
        <v>82.327563500000011</v>
      </c>
    </row>
    <row r="33" spans="1:9" ht="15.75" hidden="1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t="15.75" hidden="1" customHeight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t="15.75" hidden="1" customHeight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t="15.75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15.75" customHeight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t="15.75" customHeight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t="15.75" customHeight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t="15.75" hidden="1" customHeight="1">
      <c r="A40" s="21">
        <v>10</v>
      </c>
      <c r="B40" s="56" t="s">
        <v>121</v>
      </c>
      <c r="C40" s="57" t="s">
        <v>55</v>
      </c>
      <c r="D40" s="56" t="s">
        <v>68</v>
      </c>
      <c r="E40" s="58"/>
      <c r="F40" s="59">
        <v>110</v>
      </c>
      <c r="G40" s="59">
        <v>314</v>
      </c>
      <c r="H40" s="60">
        <f t="shared" si="3"/>
        <v>34.54</v>
      </c>
      <c r="I40" s="10">
        <f t="shared" si="4"/>
        <v>5756.6666666666661</v>
      </c>
    </row>
    <row r="41" spans="1:9" ht="47.25" customHeight="1">
      <c r="A41" s="21">
        <v>9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t="15.75" customHeight="1">
      <c r="A42" s="21">
        <v>10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F42/7.5*G42</f>
        <v>46.905144</v>
      </c>
    </row>
    <row r="43" spans="1:9" ht="15.75" customHeight="1">
      <c r="A43" s="21">
        <v>11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F43/7.5*G43</f>
        <v>38.993200000000002</v>
      </c>
    </row>
    <row r="44" spans="1:9" ht="15.75" customHeight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hidden="1" customHeight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v>0</v>
      </c>
    </row>
    <row r="46" spans="1:9" ht="15.75" hidden="1" customHeight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v>0</v>
      </c>
    </row>
    <row r="47" spans="1:9" ht="15.75" hidden="1" customHeight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v>0</v>
      </c>
    </row>
    <row r="48" spans="1:9" ht="15.75" hidden="1" customHeight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v>0</v>
      </c>
    </row>
    <row r="49" spans="1:9" ht="15.75" hidden="1" customHeight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v>0</v>
      </c>
    </row>
    <row r="50" spans="1:9" ht="15.75" customHeight="1">
      <c r="A50" s="21">
        <v>12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31.5" hidden="1" customHeight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t="15.75" hidden="1" customHeight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t="15.75" hidden="1" customHeight="1">
      <c r="A54" s="21">
        <v>14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t="15.75" hidden="1" customHeight="1">
      <c r="A55" s="79">
        <v>15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 ht="15.75" customHeight="1">
      <c r="A56" s="175" t="s">
        <v>134</v>
      </c>
      <c r="B56" s="176"/>
      <c r="C56" s="176"/>
      <c r="D56" s="176"/>
      <c r="E56" s="176"/>
      <c r="F56" s="176"/>
      <c r="G56" s="176"/>
      <c r="H56" s="176"/>
      <c r="I56" s="177"/>
    </row>
    <row r="57" spans="1:9" ht="15.75" customHeight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1.5" hidden="1" customHeight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31.5" customHeight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 ht="15.75" hidden="1" customHeight="1">
      <c r="A60" s="21">
        <v>18</v>
      </c>
      <c r="B60" s="66" t="s">
        <v>128</v>
      </c>
      <c r="C60" s="65" t="s">
        <v>129</v>
      </c>
      <c r="D60" s="66" t="s">
        <v>68</v>
      </c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G60*(2)</f>
        <v>3164.1</v>
      </c>
    </row>
    <row r="61" spans="1:9" ht="15.75" hidden="1" customHeight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t="15.75" hidden="1" customHeight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5.75" hidden="1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15.75" hidden="1" customHeight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t="15.75" hidden="1" customHeight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t="15.75" hidden="1" customHeight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v>0</v>
      </c>
    </row>
    <row r="67" spans="1:9" ht="15.75" hidden="1" customHeight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v>0</v>
      </c>
    </row>
    <row r="68" spans="1:9" ht="15.75" hidden="1" customHeight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v>0</v>
      </c>
    </row>
    <row r="69" spans="1:9" ht="15.75" hidden="1" customHeight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v>0</v>
      </c>
    </row>
    <row r="70" spans="1:9" ht="15.75" hidden="1" customHeight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v>0</v>
      </c>
    </row>
    <row r="71" spans="1:9" ht="15.75" hidden="1" customHeight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t="15.75" hidden="1" customHeight="1">
      <c r="A72" s="21"/>
      <c r="B72" s="108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15.7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t="15.75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t="15.75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t="15.7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t="15.75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15.75" hidden="1" customHeight="1">
      <c r="A78" s="21">
        <v>16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f>G78</f>
        <v>53.42</v>
      </c>
    </row>
    <row r="79" spans="1:9" ht="15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15.7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15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5.75" customHeight="1">
      <c r="A82" s="21">
        <v>14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15.75" hidden="1" customHeight="1">
      <c r="A83" s="21"/>
      <c r="B83" s="108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5.75" hidden="1" customHeight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t="15.75" hidden="1" customHeight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 ht="15.75" customHeight="1">
      <c r="A86" s="172" t="s">
        <v>135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21">
        <v>15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1.5" customHeight="1">
      <c r="A88" s="21">
        <v>16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 ht="15.75" customHeight="1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I88+I87+I82+I59+I50+I43+I42+I41+I39+I38+I37+I27+I26+I18+I17+I16</f>
        <v>48414.570868999996</v>
      </c>
    </row>
    <row r="90" spans="1:9" ht="15.75" customHeight="1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5.75" customHeight="1">
      <c r="A91" s="21">
        <v>17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 ht="15.75" customHeight="1">
      <c r="A92" s="21">
        <v>18</v>
      </c>
      <c r="B92" s="39" t="s">
        <v>171</v>
      </c>
      <c r="C92" s="40" t="s">
        <v>172</v>
      </c>
      <c r="D92" s="11"/>
      <c r="E92" s="15"/>
      <c r="F92" s="10">
        <v>140</v>
      </c>
      <c r="G92" s="10">
        <v>134.12</v>
      </c>
      <c r="H92" s="10">
        <f>G92*F92/1000</f>
        <v>18.776799999999998</v>
      </c>
      <c r="I92" s="10">
        <f>G92*(10+20+25+15+15)</f>
        <v>11400.2</v>
      </c>
    </row>
    <row r="93" spans="1:9" ht="15.75" customHeight="1">
      <c r="A93" s="21">
        <v>19</v>
      </c>
      <c r="B93" s="39" t="s">
        <v>174</v>
      </c>
      <c r="C93" s="40" t="s">
        <v>175</v>
      </c>
      <c r="D93" s="11"/>
      <c r="E93" s="15"/>
      <c r="F93" s="10">
        <v>3.1666666600000002</v>
      </c>
      <c r="G93" s="10">
        <v>208</v>
      </c>
      <c r="H93" s="10">
        <f>G93*F93/1000</f>
        <v>0.65866666528000006</v>
      </c>
      <c r="I93" s="10">
        <f>G93*(1+0.83333333)</f>
        <v>381.33333263999998</v>
      </c>
    </row>
    <row r="94" spans="1:9" ht="15.75" customHeight="1">
      <c r="A94" s="21">
        <v>20</v>
      </c>
      <c r="B94" s="39" t="s">
        <v>82</v>
      </c>
      <c r="C94" s="40" t="s">
        <v>97</v>
      </c>
      <c r="D94" s="11"/>
      <c r="E94" s="15"/>
      <c r="F94" s="10">
        <v>3</v>
      </c>
      <c r="G94" s="10">
        <v>197.48</v>
      </c>
      <c r="H94" s="10">
        <f t="shared" ref="H94" si="17">G94*F94/1000</f>
        <v>0.59243999999999997</v>
      </c>
      <c r="I94" s="10">
        <f>G94*2</f>
        <v>394.96</v>
      </c>
    </row>
    <row r="95" spans="1:9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SUM(I91:I94)</f>
        <v>12234.093332640001</v>
      </c>
    </row>
    <row r="96" spans="1:9" ht="15.75" customHeight="1">
      <c r="A96" s="21"/>
      <c r="B96" s="35" t="s">
        <v>79</v>
      </c>
      <c r="C96" s="12"/>
      <c r="D96" s="12"/>
      <c r="E96" s="30"/>
      <c r="F96" s="30"/>
      <c r="G96" s="31"/>
      <c r="H96" s="31"/>
      <c r="I96" s="14">
        <v>0</v>
      </c>
    </row>
    <row r="97" spans="1:9" ht="15.75" customHeight="1">
      <c r="A97" s="37"/>
      <c r="B97" s="34" t="s">
        <v>163</v>
      </c>
      <c r="C97" s="25"/>
      <c r="D97" s="25"/>
      <c r="E97" s="25"/>
      <c r="F97" s="25"/>
      <c r="G97" s="25"/>
      <c r="H97" s="25"/>
      <c r="I97" s="32">
        <f>I89+I95</f>
        <v>60648.66420164</v>
      </c>
    </row>
    <row r="98" spans="1:9" ht="15.75" customHeight="1">
      <c r="A98" s="181" t="s">
        <v>223</v>
      </c>
      <c r="B98" s="181"/>
      <c r="C98" s="181"/>
      <c r="D98" s="181"/>
      <c r="E98" s="181"/>
      <c r="F98" s="181"/>
      <c r="G98" s="181"/>
      <c r="H98" s="181"/>
      <c r="I98" s="181"/>
    </row>
    <row r="99" spans="1:9" ht="15.75" customHeight="1">
      <c r="A99" s="43"/>
      <c r="B99" s="182" t="s">
        <v>224</v>
      </c>
      <c r="C99" s="182"/>
      <c r="D99" s="182"/>
      <c r="E99" s="182"/>
      <c r="F99" s="182"/>
      <c r="G99" s="182"/>
      <c r="H99" s="52"/>
      <c r="I99" s="2"/>
    </row>
    <row r="100" spans="1:9" ht="15.75" customHeight="1">
      <c r="A100" s="109"/>
      <c r="B100" s="183" t="s">
        <v>6</v>
      </c>
      <c r="C100" s="183"/>
      <c r="D100" s="183"/>
      <c r="E100" s="183"/>
      <c r="F100" s="183"/>
      <c r="G100" s="183"/>
      <c r="H100" s="16"/>
      <c r="I100" s="4"/>
    </row>
    <row r="101" spans="1:9" ht="7.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 customHeight="1">
      <c r="A102" s="184" t="s">
        <v>7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84" t="s">
        <v>8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>
      <c r="A104" s="170" t="s">
        <v>62</v>
      </c>
      <c r="B104" s="170"/>
      <c r="C104" s="170"/>
      <c r="D104" s="170"/>
      <c r="E104" s="170"/>
      <c r="F104" s="170"/>
      <c r="G104" s="170"/>
      <c r="H104" s="170"/>
      <c r="I104" s="170"/>
    </row>
    <row r="105" spans="1:9" ht="8.25" customHeight="1">
      <c r="A105" s="8"/>
    </row>
    <row r="106" spans="1:9" ht="15.75">
      <c r="A106" s="186" t="s">
        <v>9</v>
      </c>
      <c r="B106" s="186"/>
      <c r="C106" s="186"/>
      <c r="D106" s="186"/>
      <c r="E106" s="186"/>
      <c r="F106" s="186"/>
      <c r="G106" s="186"/>
      <c r="H106" s="186"/>
      <c r="I106" s="186"/>
    </row>
    <row r="107" spans="1:9" ht="15.75">
      <c r="A107" s="3"/>
    </row>
    <row r="108" spans="1:9" ht="15.75" customHeight="1">
      <c r="B108" s="105" t="s">
        <v>10</v>
      </c>
      <c r="C108" s="187" t="s">
        <v>132</v>
      </c>
      <c r="D108" s="187"/>
      <c r="E108" s="187"/>
      <c r="F108" s="50"/>
      <c r="I108" s="107"/>
    </row>
    <row r="109" spans="1:9" ht="15.75" customHeight="1">
      <c r="A109" s="109"/>
      <c r="C109" s="183" t="s">
        <v>11</v>
      </c>
      <c r="D109" s="183"/>
      <c r="E109" s="183"/>
      <c r="F109" s="16"/>
      <c r="I109" s="104" t="s">
        <v>12</v>
      </c>
    </row>
    <row r="110" spans="1:9" ht="15.75" customHeight="1">
      <c r="A110" s="17"/>
      <c r="C110" s="9"/>
      <c r="D110" s="9"/>
      <c r="G110" s="9"/>
      <c r="H110" s="9"/>
    </row>
    <row r="111" spans="1:9" ht="15.75" customHeight="1">
      <c r="B111" s="105" t="s">
        <v>13</v>
      </c>
      <c r="C111" s="188"/>
      <c r="D111" s="188"/>
      <c r="E111" s="188"/>
      <c r="F111" s="51"/>
      <c r="I111" s="107"/>
    </row>
    <row r="112" spans="1:9">
      <c r="A112" s="109"/>
      <c r="C112" s="189" t="s">
        <v>11</v>
      </c>
      <c r="D112" s="189"/>
      <c r="E112" s="189"/>
      <c r="F112" s="109"/>
      <c r="I112" s="104" t="s">
        <v>12</v>
      </c>
    </row>
    <row r="113" spans="1:9" ht="15.75">
      <c r="A113" s="3" t="s">
        <v>14</v>
      </c>
    </row>
    <row r="114" spans="1:9">
      <c r="A114" s="190" t="s">
        <v>15</v>
      </c>
      <c r="B114" s="190"/>
      <c r="C114" s="190"/>
      <c r="D114" s="190"/>
      <c r="E114" s="190"/>
      <c r="F114" s="190"/>
      <c r="G114" s="190"/>
      <c r="H114" s="190"/>
      <c r="I114" s="190"/>
    </row>
    <row r="115" spans="1:9" ht="45" customHeight="1">
      <c r="A115" s="185" t="s">
        <v>16</v>
      </c>
      <c r="B115" s="185"/>
      <c r="C115" s="185"/>
      <c r="D115" s="185"/>
      <c r="E115" s="185"/>
      <c r="F115" s="185"/>
      <c r="G115" s="185"/>
      <c r="H115" s="185"/>
      <c r="I115" s="185"/>
    </row>
    <row r="116" spans="1:9" ht="30" customHeight="1">
      <c r="A116" s="185" t="s">
        <v>17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0" customHeight="1">
      <c r="A117" s="185" t="s">
        <v>21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15" customHeight="1">
      <c r="A118" s="185" t="s">
        <v>20</v>
      </c>
      <c r="B118" s="185"/>
      <c r="C118" s="185"/>
      <c r="D118" s="185"/>
      <c r="E118" s="185"/>
      <c r="F118" s="185"/>
      <c r="G118" s="185"/>
      <c r="H118" s="185"/>
      <c r="I118" s="185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8:I28"/>
    <mergeCell ref="A44:I44"/>
    <mergeCell ref="A56:I56"/>
    <mergeCell ref="A86:I86"/>
    <mergeCell ref="A90:I90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B100" sqref="B100: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63</v>
      </c>
    </row>
    <row r="3" spans="1:9" ht="15.75">
      <c r="A3" s="165" t="s">
        <v>178</v>
      </c>
      <c r="B3" s="165"/>
      <c r="C3" s="165"/>
      <c r="D3" s="165"/>
      <c r="E3" s="165"/>
      <c r="F3" s="165"/>
      <c r="G3" s="165"/>
      <c r="H3" s="165"/>
      <c r="I3" s="165"/>
    </row>
    <row r="4" spans="1:9" ht="31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179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11"/>
      <c r="C6" s="111"/>
      <c r="D6" s="111"/>
      <c r="E6" s="111"/>
      <c r="F6" s="111"/>
      <c r="G6" s="111"/>
      <c r="H6" s="111"/>
      <c r="I6" s="22">
        <v>43190</v>
      </c>
    </row>
    <row r="7" spans="1:9" ht="15.75">
      <c r="B7" s="112"/>
      <c r="C7" s="112"/>
      <c r="D7" s="112"/>
      <c r="E7" s="2"/>
      <c r="F7" s="2"/>
      <c r="G7" s="2"/>
      <c r="H7" s="2"/>
    </row>
    <row r="8" spans="1:9" ht="78.75" customHeight="1">
      <c r="A8" s="168" t="s">
        <v>162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47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 ht="15" customHeight="1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5.75" hidden="1" customHeight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t="15.75" hidden="1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t="15.75" customHeight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t="15.75" hidden="1" customHeight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t="15.75" hidden="1" customHeight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t="15.75" hidden="1" customHeight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t="15.75" hidden="1" customHeight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 ht="15.75" customHeight="1">
      <c r="A26" s="21">
        <v>5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 ht="15.75" customHeight="1">
      <c r="A27" s="21">
        <v>6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 ht="15.75" customHeight="1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hidden="1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5.75" hidden="1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t="15.75" hidden="1" customHeight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 t="shared" si="2"/>
        <v>82.327563500000011</v>
      </c>
    </row>
    <row r="33" spans="1:9" ht="15.75" hidden="1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t="15.75" hidden="1" customHeight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t="15.75" hidden="1" customHeight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t="15.75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15.75" customHeight="1">
      <c r="A37" s="21">
        <v>7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t="15.75" customHeight="1">
      <c r="A38" s="21">
        <v>8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t="15.75" customHeight="1">
      <c r="A39" s="21">
        <v>9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t="15.75" hidden="1" customHeight="1">
      <c r="A40" s="21">
        <v>10</v>
      </c>
      <c r="B40" s="56" t="s">
        <v>121</v>
      </c>
      <c r="C40" s="57" t="s">
        <v>55</v>
      </c>
      <c r="D40" s="56" t="s">
        <v>68</v>
      </c>
      <c r="E40" s="58"/>
      <c r="F40" s="59">
        <v>110</v>
      </c>
      <c r="G40" s="59">
        <v>314</v>
      </c>
      <c r="H40" s="60">
        <f t="shared" si="3"/>
        <v>34.54</v>
      </c>
      <c r="I40" s="10">
        <f t="shared" si="4"/>
        <v>5756.6666666666661</v>
      </c>
    </row>
    <row r="41" spans="1:9" ht="47.25" customHeight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t="15.75" customHeight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 ht="15.75" customHeight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v>58.49</v>
      </c>
    </row>
    <row r="44" spans="1:9" ht="15.75" hidden="1" customHeight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hidden="1" customHeight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v>0</v>
      </c>
    </row>
    <row r="46" spans="1:9" ht="15.75" hidden="1" customHeight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v>0</v>
      </c>
    </row>
    <row r="47" spans="1:9" ht="15.75" hidden="1" customHeight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v>0</v>
      </c>
    </row>
    <row r="48" spans="1:9" ht="15.75" hidden="1" customHeight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v>0</v>
      </c>
    </row>
    <row r="49" spans="1:9" ht="15.75" hidden="1" customHeight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v>0</v>
      </c>
    </row>
    <row r="50" spans="1:9" ht="15.75" hidden="1" customHeight="1">
      <c r="A50" s="21">
        <v>12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31.5" hidden="1" customHeight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t="15.75" hidden="1" customHeight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t="15.75" hidden="1" customHeight="1">
      <c r="A54" s="21">
        <v>14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t="15.75" hidden="1" customHeight="1">
      <c r="A55" s="79">
        <v>15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 ht="15.75" customHeight="1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 ht="15.75" customHeight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1.5" customHeight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>G58*0.32</f>
        <v>649.37599999999998</v>
      </c>
    </row>
    <row r="59" spans="1:9" ht="31.5" customHeight="1">
      <c r="A59" s="21">
        <v>14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7">SUM(F59*G59/1000)</f>
        <v>2.4229841999999997</v>
      </c>
      <c r="I59" s="10">
        <f t="shared" ref="I59" si="8">F59/6*G59</f>
        <v>403.83069999999998</v>
      </c>
    </row>
    <row r="60" spans="1:9" ht="15.75" customHeight="1">
      <c r="A60" s="21">
        <v>15</v>
      </c>
      <c r="B60" s="66" t="s">
        <v>128</v>
      </c>
      <c r="C60" s="65" t="s">
        <v>129</v>
      </c>
      <c r="D60" s="66" t="s">
        <v>68</v>
      </c>
      <c r="E60" s="89"/>
      <c r="F60" s="68">
        <v>3</v>
      </c>
      <c r="G60" s="59">
        <v>1582.05</v>
      </c>
      <c r="H60" s="60">
        <f t="shared" si="7"/>
        <v>4.7461499999999992</v>
      </c>
      <c r="I60" s="10">
        <f>G60*(2)</f>
        <v>3164.1</v>
      </c>
    </row>
    <row r="61" spans="1:9" ht="15.75" hidden="1" customHeight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t="15.75" hidden="1" customHeight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5.75" hidden="1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15.75" hidden="1" customHeight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t="15.75" hidden="1" customHeight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t="15.75" hidden="1" customHeight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v>0</v>
      </c>
    </row>
    <row r="67" spans="1:9" ht="15.75" hidden="1" customHeight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v>0</v>
      </c>
    </row>
    <row r="68" spans="1:9" ht="15.75" hidden="1" customHeight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v>0</v>
      </c>
    </row>
    <row r="69" spans="1:9" ht="15.75" hidden="1" customHeight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v>0</v>
      </c>
    </row>
    <row r="70" spans="1:9" ht="15.75" hidden="1" customHeight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v>0</v>
      </c>
    </row>
    <row r="71" spans="1:9" ht="15.75" hidden="1" customHeight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t="15.75" hidden="1" customHeight="1">
      <c r="A72" s="21"/>
      <c r="B72" s="116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15.7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t="15.75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t="15.75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t="15.7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t="15.75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15.75" hidden="1" customHeight="1">
      <c r="A78" s="21">
        <v>16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f>G78</f>
        <v>53.42</v>
      </c>
    </row>
    <row r="79" spans="1:9" ht="15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15.7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15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5.75" customHeight="1">
      <c r="A82" s="21">
        <v>16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15.75" hidden="1" customHeight="1">
      <c r="A83" s="21"/>
      <c r="B83" s="116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5.75" hidden="1" customHeight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t="15.75" hidden="1" customHeight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 ht="15.75" customHeight="1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21">
        <v>17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1.5" customHeight="1">
      <c r="A88" s="21">
        <v>18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 ht="15.75" customHeight="1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I16+I17+I18+I21+I26+I27+I37+I38+I39+I41+I42+I43+I58+I59+I60+I82+I87+I88</f>
        <v>47626.211134999998</v>
      </c>
    </row>
    <row r="90" spans="1:9" ht="15.75" customHeight="1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5.75" customHeight="1">
      <c r="A91" s="21">
        <v>19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 ht="15.75" customHeight="1">
      <c r="A92" s="21">
        <v>20</v>
      </c>
      <c r="B92" s="39" t="s">
        <v>171</v>
      </c>
      <c r="C92" s="40" t="s">
        <v>172</v>
      </c>
      <c r="D92" s="11"/>
      <c r="E92" s="15"/>
      <c r="F92" s="10">
        <v>140</v>
      </c>
      <c r="G92" s="10">
        <v>134.12</v>
      </c>
      <c r="H92" s="10">
        <f>G92*F92/1000</f>
        <v>18.776799999999998</v>
      </c>
      <c r="I92" s="10">
        <f>G92*15</f>
        <v>2011.8000000000002</v>
      </c>
    </row>
    <row r="93" spans="1:9" ht="15.75" customHeight="1">
      <c r="A93" s="21">
        <v>21</v>
      </c>
      <c r="B93" s="53" t="s">
        <v>180</v>
      </c>
      <c r="C93" s="21" t="s">
        <v>181</v>
      </c>
      <c r="D93" s="123"/>
      <c r="E93" s="14"/>
      <c r="F93" s="124">
        <v>1</v>
      </c>
      <c r="G93" s="26">
        <v>29866</v>
      </c>
      <c r="H93" s="94">
        <f t="shared" ref="H93:H95" si="17">G93*F93/1000</f>
        <v>29.866</v>
      </c>
      <c r="I93" s="10">
        <f>G93</f>
        <v>29866</v>
      </c>
    </row>
    <row r="94" spans="1:9" ht="31.5" customHeight="1">
      <c r="A94" s="21">
        <v>22</v>
      </c>
      <c r="B94" s="39" t="s">
        <v>127</v>
      </c>
      <c r="C94" s="40" t="s">
        <v>38</v>
      </c>
      <c r="D94" s="95"/>
      <c r="E94" s="26"/>
      <c r="F94" s="26">
        <v>0.01</v>
      </c>
      <c r="G94" s="26">
        <v>3724.37</v>
      </c>
      <c r="H94" s="94">
        <f t="shared" si="17"/>
        <v>3.7243699999999998E-2</v>
      </c>
      <c r="I94" s="10">
        <f>G94*0.01</f>
        <v>37.243699999999997</v>
      </c>
    </row>
    <row r="95" spans="1:9" ht="31.5" customHeight="1">
      <c r="A95" s="21">
        <v>23</v>
      </c>
      <c r="B95" s="39" t="s">
        <v>182</v>
      </c>
      <c r="C95" s="40" t="s">
        <v>97</v>
      </c>
      <c r="D95" s="95"/>
      <c r="E95" s="26"/>
      <c r="F95" s="26">
        <v>1</v>
      </c>
      <c r="G95" s="26">
        <v>86.69</v>
      </c>
      <c r="H95" s="94">
        <f t="shared" si="17"/>
        <v>8.6690000000000003E-2</v>
      </c>
      <c r="I95" s="10">
        <f t="shared" ref="I95" si="18">G95</f>
        <v>86.69</v>
      </c>
    </row>
    <row r="96" spans="1:9">
      <c r="A96" s="21"/>
      <c r="B96" s="33" t="s">
        <v>52</v>
      </c>
      <c r="C96" s="29"/>
      <c r="D96" s="36"/>
      <c r="E96" s="29">
        <v>1</v>
      </c>
      <c r="F96" s="29"/>
      <c r="G96" s="29"/>
      <c r="H96" s="29"/>
      <c r="I96" s="24">
        <f>SUM(I91:I95)</f>
        <v>32059.333699999999</v>
      </c>
    </row>
    <row r="97" spans="1:9" ht="15.75" customHeight="1">
      <c r="A97" s="21"/>
      <c r="B97" s="35" t="s">
        <v>79</v>
      </c>
      <c r="C97" s="12"/>
      <c r="D97" s="12"/>
      <c r="E97" s="30"/>
      <c r="F97" s="30"/>
      <c r="G97" s="31"/>
      <c r="H97" s="31"/>
      <c r="I97" s="14">
        <v>0</v>
      </c>
    </row>
    <row r="98" spans="1:9" ht="15.75" customHeight="1">
      <c r="A98" s="37"/>
      <c r="B98" s="34" t="s">
        <v>163</v>
      </c>
      <c r="C98" s="25"/>
      <c r="D98" s="25"/>
      <c r="E98" s="25"/>
      <c r="F98" s="25"/>
      <c r="G98" s="25"/>
      <c r="H98" s="25"/>
      <c r="I98" s="32">
        <f>I89+I96</f>
        <v>79685.544834999993</v>
      </c>
    </row>
    <row r="99" spans="1:9" ht="15.75" customHeight="1">
      <c r="A99" s="181" t="s">
        <v>225</v>
      </c>
      <c r="B99" s="181"/>
      <c r="C99" s="181"/>
      <c r="D99" s="181"/>
      <c r="E99" s="181"/>
      <c r="F99" s="181"/>
      <c r="G99" s="181"/>
      <c r="H99" s="181"/>
      <c r="I99" s="181"/>
    </row>
    <row r="100" spans="1:9" ht="15.75" customHeight="1">
      <c r="A100" s="43"/>
      <c r="B100" s="182" t="s">
        <v>226</v>
      </c>
      <c r="C100" s="182"/>
      <c r="D100" s="182"/>
      <c r="E100" s="182"/>
      <c r="F100" s="182"/>
      <c r="G100" s="182"/>
      <c r="H100" s="52"/>
      <c r="I100" s="2"/>
    </row>
    <row r="101" spans="1:9" ht="15.75" customHeight="1">
      <c r="A101" s="115"/>
      <c r="B101" s="183" t="s">
        <v>6</v>
      </c>
      <c r="C101" s="183"/>
      <c r="D101" s="183"/>
      <c r="E101" s="183"/>
      <c r="F101" s="183"/>
      <c r="G101" s="183"/>
      <c r="H101" s="16"/>
      <c r="I101" s="4"/>
    </row>
    <row r="102" spans="1:9" ht="7.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184" t="s">
        <v>7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>
      <c r="A104" s="184" t="s">
        <v>8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170" t="s">
        <v>62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8.25" customHeight="1">
      <c r="A106" s="8"/>
    </row>
    <row r="107" spans="1:9" ht="15.75">
      <c r="A107" s="186" t="s">
        <v>9</v>
      </c>
      <c r="B107" s="186"/>
      <c r="C107" s="186"/>
      <c r="D107" s="186"/>
      <c r="E107" s="186"/>
      <c r="F107" s="186"/>
      <c r="G107" s="186"/>
      <c r="H107" s="186"/>
      <c r="I107" s="186"/>
    </row>
    <row r="108" spans="1:9" ht="15.75">
      <c r="A108" s="3"/>
    </row>
    <row r="109" spans="1:9" ht="15.75" customHeight="1">
      <c r="B109" s="112" t="s">
        <v>10</v>
      </c>
      <c r="C109" s="187" t="s">
        <v>132</v>
      </c>
      <c r="D109" s="187"/>
      <c r="E109" s="187"/>
      <c r="F109" s="50"/>
      <c r="I109" s="113"/>
    </row>
    <row r="110" spans="1:9" ht="15.75" customHeight="1">
      <c r="A110" s="115"/>
      <c r="C110" s="183" t="s">
        <v>11</v>
      </c>
      <c r="D110" s="183"/>
      <c r="E110" s="183"/>
      <c r="F110" s="16"/>
      <c r="I110" s="114" t="s">
        <v>12</v>
      </c>
    </row>
    <row r="111" spans="1:9" ht="15.75" customHeight="1">
      <c r="A111" s="17"/>
      <c r="C111" s="9"/>
      <c r="D111" s="9"/>
      <c r="G111" s="9"/>
      <c r="H111" s="9"/>
    </row>
    <row r="112" spans="1:9" ht="15.75" customHeight="1">
      <c r="B112" s="112" t="s">
        <v>13</v>
      </c>
      <c r="C112" s="188"/>
      <c r="D112" s="188"/>
      <c r="E112" s="188"/>
      <c r="F112" s="51"/>
      <c r="I112" s="113"/>
    </row>
    <row r="113" spans="1:9">
      <c r="A113" s="115"/>
      <c r="C113" s="189" t="s">
        <v>11</v>
      </c>
      <c r="D113" s="189"/>
      <c r="E113" s="189"/>
      <c r="F113" s="115"/>
      <c r="I113" s="114" t="s">
        <v>12</v>
      </c>
    </row>
    <row r="114" spans="1:9" ht="15.75">
      <c r="A114" s="3" t="s">
        <v>14</v>
      </c>
    </row>
    <row r="115" spans="1:9">
      <c r="A115" s="190" t="s">
        <v>15</v>
      </c>
      <c r="B115" s="190"/>
      <c r="C115" s="190"/>
      <c r="D115" s="190"/>
      <c r="E115" s="190"/>
      <c r="F115" s="190"/>
      <c r="G115" s="190"/>
      <c r="H115" s="190"/>
      <c r="I115" s="190"/>
    </row>
    <row r="116" spans="1:9" ht="45" customHeight="1">
      <c r="A116" s="185" t="s">
        <v>16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0" customHeight="1">
      <c r="A117" s="185" t="s">
        <v>17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21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" customHeight="1">
      <c r="A119" s="185" t="s">
        <v>20</v>
      </c>
      <c r="B119" s="185"/>
      <c r="C119" s="185"/>
      <c r="D119" s="185"/>
      <c r="E119" s="185"/>
      <c r="F119" s="185"/>
      <c r="G119" s="185"/>
      <c r="H119" s="185"/>
      <c r="I119" s="185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8:I28"/>
    <mergeCell ref="A44:I44"/>
    <mergeCell ref="A56:I56"/>
    <mergeCell ref="A86:I86"/>
    <mergeCell ref="A90:I90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27559055118110237" bottom="0.27559055118110237" header="0.31496062992125984" footer="0.31496062992125984"/>
  <pageSetup paperSize="9" scale="5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81" zoomScale="60" workbookViewId="0">
      <selection activeCell="K96" sqref="K96"/>
    </sheetView>
  </sheetViews>
  <sheetFormatPr defaultRowHeight="15"/>
  <cols>
    <col min="2" max="2" width="53.85546875" customWidth="1"/>
    <col min="3" max="3" width="18.85546875" customWidth="1"/>
    <col min="4" max="4" width="18.7109375" customWidth="1"/>
    <col min="5" max="6" width="0" hidden="1" customWidth="1"/>
    <col min="7" max="7" width="17.5703125" customWidth="1"/>
    <col min="8" max="8" width="0" hidden="1" customWidth="1"/>
    <col min="9" max="9" width="18.140625" customWidth="1"/>
  </cols>
  <sheetData>
    <row r="1" spans="1:9" ht="15.75">
      <c r="A1" s="19" t="s">
        <v>85</v>
      </c>
      <c r="I1" s="18"/>
    </row>
    <row r="2" spans="1:9" ht="15.75">
      <c r="A2" s="20" t="s">
        <v>63</v>
      </c>
    </row>
    <row r="3" spans="1:9" ht="15.75">
      <c r="A3" s="165" t="s">
        <v>183</v>
      </c>
      <c r="B3" s="165"/>
      <c r="C3" s="165"/>
      <c r="D3" s="165"/>
      <c r="E3" s="165"/>
      <c r="F3" s="165"/>
      <c r="G3" s="165"/>
      <c r="H3" s="165"/>
      <c r="I3" s="165"/>
    </row>
    <row r="4" spans="1:9" ht="36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184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21"/>
      <c r="C6" s="121"/>
      <c r="D6" s="121"/>
      <c r="E6" s="121"/>
      <c r="F6" s="121"/>
      <c r="G6" s="121"/>
      <c r="H6" s="121"/>
      <c r="I6" s="22">
        <v>43220</v>
      </c>
    </row>
    <row r="7" spans="1:9" ht="15.75">
      <c r="B7" s="120"/>
      <c r="C7" s="120"/>
      <c r="D7" s="120"/>
      <c r="E7" s="2"/>
      <c r="F7" s="2"/>
      <c r="G7" s="2"/>
      <c r="H7" s="2"/>
    </row>
    <row r="8" spans="1:9" ht="84.75" customHeight="1">
      <c r="A8" s="168" t="s">
        <v>162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52.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63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idden="1">
      <c r="A19" s="21"/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v>0</v>
      </c>
    </row>
    <row r="20" spans="1:9" hidden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v>0</v>
      </c>
    </row>
    <row r="21" spans="1:9" hidden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idden="1">
      <c r="A22" s="21"/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v>0</v>
      </c>
    </row>
    <row r="23" spans="1:9" hidden="1">
      <c r="A23" s="21"/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v>0</v>
      </c>
    </row>
    <row r="24" spans="1:9" hidden="1">
      <c r="A24" s="21"/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v>0</v>
      </c>
    </row>
    <row r="25" spans="1:9" hidden="1">
      <c r="A25" s="21"/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v>0</v>
      </c>
    </row>
    <row r="26" spans="1:9">
      <c r="A26" s="21">
        <v>4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>
      <c r="A27" s="21">
        <v>5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idden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idden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45" hidden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idden="1">
      <c r="A32" s="21"/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 t="shared" si="2"/>
        <v>82.327563500000011</v>
      </c>
    </row>
    <row r="33" spans="1:9" hidden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idden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idden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>
      <c r="A40" s="21">
        <v>9</v>
      </c>
      <c r="B40" s="56" t="s">
        <v>121</v>
      </c>
      <c r="C40" s="57" t="s">
        <v>55</v>
      </c>
      <c r="D40" s="131" t="s">
        <v>185</v>
      </c>
      <c r="E40" s="58"/>
      <c r="F40" s="59">
        <v>110</v>
      </c>
      <c r="G40" s="59">
        <v>314</v>
      </c>
      <c r="H40" s="60">
        <f t="shared" si="3"/>
        <v>34.54</v>
      </c>
      <c r="I40" s="10">
        <f>G40*65</f>
        <v>20410</v>
      </c>
    </row>
    <row r="41" spans="1:9" ht="45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(F43/7.5*1.5)*G43</f>
        <v>58.489800000000002</v>
      </c>
    </row>
    <row r="44" spans="1:9" hidden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idden="1">
      <c r="A45" s="21"/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v>0</v>
      </c>
    </row>
    <row r="46" spans="1:9" hidden="1">
      <c r="A46" s="21"/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v>0</v>
      </c>
    </row>
    <row r="47" spans="1:9" hidden="1">
      <c r="A47" s="21"/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v>0</v>
      </c>
    </row>
    <row r="48" spans="1:9" hidden="1">
      <c r="A48" s="21"/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v>0</v>
      </c>
    </row>
    <row r="49" spans="1:9" hidden="1">
      <c r="A49" s="21"/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v>0</v>
      </c>
    </row>
    <row r="50" spans="1:9" hidden="1">
      <c r="A50" s="21">
        <v>12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30" hidden="1">
      <c r="A51" s="21">
        <v>9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0" hidden="1">
      <c r="A52" s="21">
        <v>10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idden="1">
      <c r="A53" s="21">
        <v>11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idden="1">
      <c r="A54" s="21">
        <v>14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idden="1">
      <c r="A55" s="79">
        <v>15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0" hidden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30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>
      <c r="A60" s="21">
        <v>14</v>
      </c>
      <c r="B60" s="66" t="s">
        <v>128</v>
      </c>
      <c r="C60" s="65" t="s">
        <v>129</v>
      </c>
      <c r="D60" s="132" t="s">
        <v>186</v>
      </c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G60*24</f>
        <v>37969.199999999997</v>
      </c>
    </row>
    <row r="61" spans="1:9" hidden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idden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idden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idden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idden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idden="1">
      <c r="A66" s="21"/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v>0</v>
      </c>
    </row>
    <row r="67" spans="1:9" hidden="1">
      <c r="A67" s="21"/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v>0</v>
      </c>
    </row>
    <row r="68" spans="1:9" hidden="1">
      <c r="A68" s="21"/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v>0</v>
      </c>
    </row>
    <row r="69" spans="1:9" hidden="1">
      <c r="A69" s="21"/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v>0</v>
      </c>
    </row>
    <row r="70" spans="1:9" hidden="1">
      <c r="A70" s="21"/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v>0</v>
      </c>
    </row>
    <row r="71" spans="1:9" hidden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idden="1">
      <c r="A72" s="21"/>
      <c r="B72" s="122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idden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idden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idden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idden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idden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30" hidden="1">
      <c r="A78" s="21">
        <v>16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f>G78</f>
        <v>53.42</v>
      </c>
    </row>
    <row r="79" spans="1:9" hidden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idden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>
      <c r="A82" s="21">
        <v>15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28.5" hidden="1">
      <c r="A83" s="21"/>
      <c r="B83" s="122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idden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idden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>
      <c r="A87" s="21">
        <v>16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0">
      <c r="A88" s="21">
        <v>17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I88+I87+I82+I60+I59+I43+I42+I41+I40+I39+I38+I37+I27+I26+I18+I17+I16</f>
        <v>102184.28205499999</v>
      </c>
    </row>
    <row r="90" spans="1:9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>
      <c r="A91" s="21">
        <v>18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 ht="39" customHeight="1">
      <c r="A92" s="21">
        <v>19</v>
      </c>
      <c r="B92" s="96" t="s">
        <v>187</v>
      </c>
      <c r="C92" s="97" t="s">
        <v>188</v>
      </c>
      <c r="D92" s="21" t="s">
        <v>189</v>
      </c>
      <c r="E92" s="15"/>
      <c r="F92" s="10">
        <v>140</v>
      </c>
      <c r="G92" s="26">
        <v>4717.3999999999996</v>
      </c>
      <c r="H92" s="10">
        <f>G92*F92/1000</f>
        <v>660.43600000000004</v>
      </c>
      <c r="I92" s="10">
        <f>G92*6.921</f>
        <v>32649.125399999997</v>
      </c>
    </row>
    <row r="93" spans="1:9" ht="20.25" customHeight="1">
      <c r="A93" s="21">
        <v>20</v>
      </c>
      <c r="B93" s="96" t="s">
        <v>197</v>
      </c>
      <c r="C93" s="97" t="s">
        <v>145</v>
      </c>
      <c r="D93" s="139"/>
      <c r="E93" s="15"/>
      <c r="F93" s="140"/>
      <c r="G93" s="26">
        <v>147.34</v>
      </c>
      <c r="H93" s="55"/>
      <c r="I93" s="10">
        <f>G93</f>
        <v>147.34</v>
      </c>
    </row>
    <row r="94" spans="1:9">
      <c r="A94" s="21">
        <v>21</v>
      </c>
      <c r="B94" s="96" t="s">
        <v>190</v>
      </c>
      <c r="C94" s="97" t="s">
        <v>191</v>
      </c>
      <c r="D94" s="123"/>
      <c r="E94" s="14"/>
      <c r="F94" s="124">
        <v>1</v>
      </c>
      <c r="G94" s="26">
        <v>250</v>
      </c>
      <c r="H94" s="94">
        <f t="shared" ref="H94:H95" si="17">G94*F94/1000</f>
        <v>0.25</v>
      </c>
      <c r="I94" s="10">
        <f>G94*6</f>
        <v>1500</v>
      </c>
    </row>
    <row r="95" spans="1:9" ht="30">
      <c r="A95" s="21">
        <v>22</v>
      </c>
      <c r="B95" s="39" t="s">
        <v>127</v>
      </c>
      <c r="C95" s="40" t="s">
        <v>38</v>
      </c>
      <c r="D95" s="95"/>
      <c r="E95" s="26"/>
      <c r="F95" s="26">
        <v>0.01</v>
      </c>
      <c r="G95" s="26">
        <v>3724.37</v>
      </c>
      <c r="H95" s="94">
        <f t="shared" si="17"/>
        <v>3.7243699999999998E-2</v>
      </c>
      <c r="I95" s="10">
        <f>G95*0.01</f>
        <v>37.243699999999997</v>
      </c>
    </row>
    <row r="96" spans="1:9">
      <c r="A96" s="21"/>
      <c r="B96" s="33" t="s">
        <v>52</v>
      </c>
      <c r="C96" s="29"/>
      <c r="D96" s="36"/>
      <c r="E96" s="29">
        <v>1</v>
      </c>
      <c r="F96" s="29"/>
      <c r="G96" s="29"/>
      <c r="H96" s="29"/>
      <c r="I96" s="24">
        <f>SUM(I91:I95)</f>
        <v>34391.309099999991</v>
      </c>
    </row>
    <row r="97" spans="1:9">
      <c r="A97" s="21"/>
      <c r="B97" s="35" t="s">
        <v>79</v>
      </c>
      <c r="C97" s="12"/>
      <c r="D97" s="12"/>
      <c r="E97" s="30"/>
      <c r="F97" s="30"/>
      <c r="G97" s="31"/>
      <c r="H97" s="31"/>
      <c r="I97" s="14">
        <v>0</v>
      </c>
    </row>
    <row r="98" spans="1:9">
      <c r="A98" s="37"/>
      <c r="B98" s="34" t="s">
        <v>163</v>
      </c>
      <c r="C98" s="25"/>
      <c r="D98" s="25"/>
      <c r="E98" s="25"/>
      <c r="F98" s="25"/>
      <c r="G98" s="25"/>
      <c r="H98" s="25"/>
      <c r="I98" s="32">
        <f>I89+I96</f>
        <v>136575.59115499997</v>
      </c>
    </row>
    <row r="99" spans="1:9" ht="15.75">
      <c r="A99" s="181" t="s">
        <v>198</v>
      </c>
      <c r="B99" s="181"/>
      <c r="C99" s="181"/>
      <c r="D99" s="181"/>
      <c r="E99" s="181"/>
      <c r="F99" s="181"/>
      <c r="G99" s="181"/>
      <c r="H99" s="181"/>
      <c r="I99" s="181"/>
    </row>
    <row r="100" spans="1:9" ht="15.75">
      <c r="A100" s="43"/>
      <c r="B100" s="182" t="s">
        <v>199</v>
      </c>
      <c r="C100" s="182"/>
      <c r="D100" s="182"/>
      <c r="E100" s="182"/>
      <c r="F100" s="182"/>
      <c r="G100" s="182"/>
      <c r="H100" s="52"/>
      <c r="I100" s="2"/>
    </row>
    <row r="101" spans="1:9">
      <c r="A101" s="119"/>
      <c r="B101" s="183" t="s">
        <v>6</v>
      </c>
      <c r="C101" s="183"/>
      <c r="D101" s="183"/>
      <c r="E101" s="183"/>
      <c r="F101" s="183"/>
      <c r="G101" s="183"/>
      <c r="H101" s="16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>
      <c r="A103" s="184" t="s">
        <v>7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>
      <c r="A104" s="184" t="s">
        <v>8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170" t="s">
        <v>62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15.75">
      <c r="A106" s="8"/>
    </row>
    <row r="107" spans="1:9" ht="15.75">
      <c r="A107" s="186" t="s">
        <v>9</v>
      </c>
      <c r="B107" s="186"/>
      <c r="C107" s="186"/>
      <c r="D107" s="186"/>
      <c r="E107" s="186"/>
      <c r="F107" s="186"/>
      <c r="G107" s="186"/>
      <c r="H107" s="186"/>
      <c r="I107" s="186"/>
    </row>
    <row r="108" spans="1:9" ht="15.75">
      <c r="A108" s="3"/>
    </row>
    <row r="109" spans="1:9" ht="15.75">
      <c r="B109" s="120" t="s">
        <v>10</v>
      </c>
      <c r="C109" s="187" t="s">
        <v>132</v>
      </c>
      <c r="D109" s="187"/>
      <c r="E109" s="187"/>
      <c r="F109" s="50"/>
      <c r="I109" s="118"/>
    </row>
    <row r="110" spans="1:9">
      <c r="A110" s="119"/>
      <c r="C110" s="183" t="s">
        <v>11</v>
      </c>
      <c r="D110" s="183"/>
      <c r="E110" s="183"/>
      <c r="F110" s="16"/>
      <c r="I110" s="117" t="s">
        <v>12</v>
      </c>
    </row>
    <row r="111" spans="1:9" ht="15.75">
      <c r="A111" s="17"/>
      <c r="C111" s="9"/>
      <c r="D111" s="9"/>
      <c r="G111" s="9"/>
      <c r="H111" s="9"/>
    </row>
    <row r="112" spans="1:9" ht="15.75">
      <c r="B112" s="120" t="s">
        <v>13</v>
      </c>
      <c r="C112" s="188"/>
      <c r="D112" s="188"/>
      <c r="E112" s="188"/>
      <c r="F112" s="51"/>
      <c r="I112" s="118"/>
    </row>
    <row r="113" spans="1:9">
      <c r="A113" s="119"/>
      <c r="C113" s="189" t="s">
        <v>11</v>
      </c>
      <c r="D113" s="189"/>
      <c r="E113" s="189"/>
      <c r="F113" s="119"/>
      <c r="I113" s="117" t="s">
        <v>12</v>
      </c>
    </row>
    <row r="114" spans="1:9" ht="15.75">
      <c r="A114" s="3" t="s">
        <v>14</v>
      </c>
    </row>
    <row r="115" spans="1:9">
      <c r="A115" s="190" t="s">
        <v>15</v>
      </c>
      <c r="B115" s="190"/>
      <c r="C115" s="190"/>
      <c r="D115" s="190"/>
      <c r="E115" s="190"/>
      <c r="F115" s="190"/>
      <c r="G115" s="190"/>
      <c r="H115" s="190"/>
      <c r="I115" s="190"/>
    </row>
    <row r="116" spans="1:9" ht="50.25" customHeight="1">
      <c r="A116" s="185" t="s">
        <v>16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4.5" customHeight="1">
      <c r="A117" s="185" t="s">
        <v>17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2.25" customHeight="1">
      <c r="A118" s="185" t="s">
        <v>21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.75">
      <c r="A119" s="185" t="s">
        <v>20</v>
      </c>
      <c r="B119" s="185"/>
      <c r="C119" s="185"/>
      <c r="D119" s="185"/>
      <c r="E119" s="185"/>
      <c r="F119" s="185"/>
      <c r="G119" s="185"/>
      <c r="H119" s="185"/>
      <c r="I119" s="185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4:I44"/>
    <mergeCell ref="A56:I56"/>
    <mergeCell ref="A86:I86"/>
    <mergeCell ref="A90:I90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0" orientation="portrait" horizontalDpi="0" verticalDpi="0" r:id="rId1"/>
  <rowBreaks count="1" manualBreakCount="1">
    <brk id="1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topLeftCell="A82" workbookViewId="0">
      <selection activeCell="K106" sqref="K106"/>
    </sheetView>
  </sheetViews>
  <sheetFormatPr defaultRowHeight="15"/>
  <cols>
    <col min="1" max="1" width="12.5703125" customWidth="1"/>
    <col min="2" max="2" width="51.28515625" customWidth="1"/>
    <col min="3" max="3" width="18.140625" customWidth="1"/>
    <col min="4" max="4" width="18.28515625" customWidth="1"/>
    <col min="5" max="6" width="0" hidden="1" customWidth="1"/>
    <col min="7" max="7" width="17.42578125" customWidth="1"/>
    <col min="8" max="8" width="0" hidden="1" customWidth="1"/>
    <col min="9" max="9" width="18.5703125" customWidth="1"/>
  </cols>
  <sheetData>
    <row r="1" spans="1:9" ht="15.75">
      <c r="A1" s="19" t="s">
        <v>85</v>
      </c>
      <c r="I1" s="18"/>
    </row>
    <row r="2" spans="1:9" ht="15.75">
      <c r="A2" s="20" t="s">
        <v>63</v>
      </c>
    </row>
    <row r="3" spans="1:9" ht="15.75">
      <c r="A3" s="165" t="s">
        <v>192</v>
      </c>
      <c r="B3" s="165"/>
      <c r="C3" s="165"/>
      <c r="D3" s="165"/>
      <c r="E3" s="165"/>
      <c r="F3" s="165"/>
      <c r="G3" s="165"/>
      <c r="H3" s="165"/>
      <c r="I3" s="165"/>
    </row>
    <row r="4" spans="1:9" ht="39.7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193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26"/>
      <c r="C6" s="126"/>
      <c r="D6" s="126"/>
      <c r="E6" s="126"/>
      <c r="F6" s="126"/>
      <c r="G6" s="126"/>
      <c r="H6" s="126"/>
      <c r="I6" s="22">
        <v>43251</v>
      </c>
    </row>
    <row r="7" spans="1:9" ht="15.75">
      <c r="B7" s="127"/>
      <c r="C7" s="127"/>
      <c r="D7" s="127"/>
      <c r="E7" s="2"/>
      <c r="F7" s="2"/>
      <c r="G7" s="2"/>
      <c r="H7" s="2"/>
    </row>
    <row r="8" spans="1:9" ht="81" customHeight="1">
      <c r="A8" s="168" t="s">
        <v>162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65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78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>
      <c r="A19" s="21">
        <v>4</v>
      </c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f>4*G19</f>
        <v>892.68</v>
      </c>
    </row>
    <row r="20" spans="1:9">
      <c r="A20" s="21">
        <v>5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f>0.21/2*G20</f>
        <v>30.004799999999999</v>
      </c>
    </row>
    <row r="21" spans="1:9">
      <c r="A21" s="21">
        <v>6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>
      <c r="A22" s="21">
        <v>7</v>
      </c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f>3.57*G22</f>
        <v>1260.7097999999999</v>
      </c>
    </row>
    <row r="23" spans="1:9">
      <c r="A23" s="21">
        <v>8</v>
      </c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f>0.3864*G23</f>
        <v>22.442112000000002</v>
      </c>
    </row>
    <row r="24" spans="1:9">
      <c r="A24" s="21">
        <v>9</v>
      </c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f>0.15*G24</f>
        <v>76.667999999999992</v>
      </c>
    </row>
    <row r="25" spans="1:9">
      <c r="A25" s="21">
        <v>10</v>
      </c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f>0.0638*G25</f>
        <v>43.578589999999991</v>
      </c>
    </row>
    <row r="26" spans="1:9">
      <c r="A26" s="21">
        <v>11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>
      <c r="A27" s="21">
        <v>12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>
      <c r="A30" s="21">
        <v>13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45">
      <c r="A31" s="21">
        <v>14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>
      <c r="A32" s="21">
        <v>15</v>
      </c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>0.1247*G32</f>
        <v>493.96538100000004</v>
      </c>
    </row>
    <row r="33" spans="1:9">
      <c r="A33" s="21">
        <v>16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idden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idden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idden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idden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idden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t="30" hidden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idden="1">
      <c r="A40" s="21">
        <v>9</v>
      </c>
      <c r="B40" s="56" t="s">
        <v>121</v>
      </c>
      <c r="C40" s="57" t="s">
        <v>55</v>
      </c>
      <c r="D40" s="131" t="s">
        <v>185</v>
      </c>
      <c r="E40" s="58"/>
      <c r="F40" s="59">
        <v>110</v>
      </c>
      <c r="G40" s="59">
        <v>314</v>
      </c>
      <c r="H40" s="60">
        <f t="shared" si="3"/>
        <v>34.54</v>
      </c>
      <c r="I40" s="10">
        <f>G40*65</f>
        <v>20410</v>
      </c>
    </row>
    <row r="41" spans="1:9" ht="60" hidden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idden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 hidden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(F43/7.5*1.5)*G43</f>
        <v>58.489800000000002</v>
      </c>
    </row>
    <row r="44" spans="1:9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>
      <c r="A45" s="21">
        <v>17</v>
      </c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f>1.1094*G45</f>
        <v>1300.671654</v>
      </c>
    </row>
    <row r="46" spans="1:9">
      <c r="A46" s="21">
        <v>18</v>
      </c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f>0.066*G46</f>
        <v>291.65730000000002</v>
      </c>
    </row>
    <row r="47" spans="1:9">
      <c r="A47" s="21">
        <v>19</v>
      </c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f>3.12655/2*G47</f>
        <v>2819.66348475</v>
      </c>
    </row>
    <row r="48" spans="1:9">
      <c r="A48" s="21">
        <v>20</v>
      </c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f>3.2392/2*G48</f>
        <v>2013.859228</v>
      </c>
    </row>
    <row r="49" spans="1:9">
      <c r="A49" s="21">
        <v>21</v>
      </c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f>1.7168/2*G49</f>
        <v>1161.2091840000001</v>
      </c>
    </row>
    <row r="50" spans="1:9">
      <c r="A50" s="21">
        <v>22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33.75" customHeight="1">
      <c r="A51" s="21">
        <v>23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0">
      <c r="A52" s="21">
        <v>24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>
      <c r="A53" s="21">
        <v>25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>
      <c r="A54" s="21">
        <v>26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>
      <c r="A55" s="79">
        <v>27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 hidden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0" hidden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45" hidden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 hidden="1">
      <c r="A60" s="21">
        <v>14</v>
      </c>
      <c r="B60" s="66" t="s">
        <v>128</v>
      </c>
      <c r="C60" s="65" t="s">
        <v>129</v>
      </c>
      <c r="D60" s="132" t="s">
        <v>186</v>
      </c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G60*24</f>
        <v>37969.199999999997</v>
      </c>
    </row>
    <row r="61" spans="1:9" hidden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idden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idden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idden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>
      <c r="A66" s="21">
        <v>28</v>
      </c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f>133.13*G66</f>
        <v>37042.091200000003</v>
      </c>
    </row>
    <row r="67" spans="1:9">
      <c r="A67" s="21">
        <v>29</v>
      </c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f>13.313*G67</f>
        <v>2884.66084</v>
      </c>
    </row>
    <row r="68" spans="1:9">
      <c r="A68" s="21">
        <v>30</v>
      </c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f>21.84*G68</f>
        <v>59425.329599999997</v>
      </c>
    </row>
    <row r="69" spans="1:9">
      <c r="A69" s="21">
        <v>31</v>
      </c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f>12.2*G69</f>
        <v>519.84199999999998</v>
      </c>
    </row>
    <row r="70" spans="1:9">
      <c r="A70" s="21">
        <v>32</v>
      </c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f>12.2*G70</f>
        <v>561.68799999999999</v>
      </c>
    </row>
    <row r="71" spans="1:9" hidden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t="24.75" customHeight="1">
      <c r="A72" s="21"/>
      <c r="B72" s="125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22.5" hidden="1" customHeight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t="30" hidden="1" customHeight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t="36" hidden="1" customHeight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t="32.25" hidden="1" customHeight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t="33" hidden="1" customHeight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31.5" customHeight="1">
      <c r="A78" s="21">
        <v>33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v>0</v>
      </c>
    </row>
    <row r="79" spans="1:9" ht="27.75" hidden="1" customHeight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t="23.25" hidden="1" customHeight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>
      <c r="A82" s="21">
        <v>34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28.5" hidden="1">
      <c r="A83" s="21"/>
      <c r="B83" s="125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idden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idden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>
      <c r="A87" s="21">
        <v>35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0">
      <c r="A88" s="21">
        <v>36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I88+I87+I82+I78+I70+I69+I68+I67+I66+I55+I54+I53+I52+I51+I50+I49+I48+I47+I46+I45+I33+I32+I31+I30+I27+I26+I25+I24+I23+I22+I21+I20+I19+I18+I17+I16</f>
        <v>183147.76035406109</v>
      </c>
    </row>
    <row r="90" spans="1:9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>
      <c r="A91" s="21">
        <v>37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>
      <c r="A92" s="21">
        <v>38</v>
      </c>
      <c r="B92" s="96" t="s">
        <v>171</v>
      </c>
      <c r="C92" s="97" t="s">
        <v>172</v>
      </c>
      <c r="D92" s="21"/>
      <c r="E92" s="15"/>
      <c r="F92" s="10">
        <v>140</v>
      </c>
      <c r="G92" s="26">
        <v>134.12</v>
      </c>
      <c r="H92" s="10">
        <f>G92*F92/1000</f>
        <v>18.776799999999998</v>
      </c>
      <c r="I92" s="10">
        <f>G92*16</f>
        <v>2145.92</v>
      </c>
    </row>
    <row r="93" spans="1:9" ht="30">
      <c r="A93" s="21">
        <v>39</v>
      </c>
      <c r="B93" s="96" t="s">
        <v>187</v>
      </c>
      <c r="C93" s="97" t="s">
        <v>188</v>
      </c>
      <c r="D93" s="139"/>
      <c r="E93" s="15"/>
      <c r="F93" s="140"/>
      <c r="G93" s="26">
        <v>4717.3999999999996</v>
      </c>
      <c r="H93" s="55"/>
      <c r="I93" s="10">
        <f>G93*1.98</f>
        <v>9340.4519999999993</v>
      </c>
    </row>
    <row r="94" spans="1:9">
      <c r="A94" s="21">
        <v>40</v>
      </c>
      <c r="B94" s="39" t="s">
        <v>82</v>
      </c>
      <c r="C94" s="40" t="s">
        <v>97</v>
      </c>
      <c r="D94" s="95"/>
      <c r="E94" s="26"/>
      <c r="F94" s="26">
        <v>0.01</v>
      </c>
      <c r="G94" s="26">
        <v>197.48</v>
      </c>
      <c r="H94" s="94">
        <f t="shared" ref="H94" si="17">G94*F94/1000</f>
        <v>1.9748000000000001E-3</v>
      </c>
      <c r="I94" s="10">
        <f>G94*1</f>
        <v>197.48</v>
      </c>
    </row>
    <row r="95" spans="1:9">
      <c r="A95" s="21"/>
      <c r="B95" s="96" t="s">
        <v>197</v>
      </c>
      <c r="C95" s="97" t="s">
        <v>145</v>
      </c>
      <c r="D95" s="139"/>
      <c r="E95" s="15"/>
      <c r="F95" s="140"/>
      <c r="G95" s="26">
        <v>147.34</v>
      </c>
      <c r="H95" s="55"/>
      <c r="I95" s="10">
        <f>G95</f>
        <v>147.34</v>
      </c>
    </row>
    <row r="96" spans="1:9" ht="30">
      <c r="A96" s="21">
        <v>41</v>
      </c>
      <c r="B96" s="96" t="s">
        <v>194</v>
      </c>
      <c r="C96" s="97" t="s">
        <v>195</v>
      </c>
      <c r="D96" s="95"/>
      <c r="E96" s="26"/>
      <c r="F96" s="26"/>
      <c r="G96" s="26">
        <v>24829.08</v>
      </c>
      <c r="H96" s="94"/>
      <c r="I96" s="10">
        <f>G96*0.01</f>
        <v>248.29080000000002</v>
      </c>
    </row>
    <row r="97" spans="1:9">
      <c r="A97" s="21">
        <v>42</v>
      </c>
      <c r="B97" s="53" t="s">
        <v>196</v>
      </c>
      <c r="C97" s="21" t="s">
        <v>97</v>
      </c>
      <c r="D97" s="95"/>
      <c r="E97" s="26"/>
      <c r="F97" s="26"/>
      <c r="G97" s="26">
        <v>192.49</v>
      </c>
      <c r="H97" s="94"/>
      <c r="I97" s="10">
        <f>G97*1</f>
        <v>192.49</v>
      </c>
    </row>
    <row r="98" spans="1:9">
      <c r="A98" s="21"/>
      <c r="B98" s="33" t="s">
        <v>52</v>
      </c>
      <c r="C98" s="29"/>
      <c r="D98" s="36"/>
      <c r="E98" s="29">
        <v>1</v>
      </c>
      <c r="F98" s="29"/>
      <c r="G98" s="29"/>
      <c r="H98" s="29"/>
      <c r="I98" s="24">
        <f>I97+I96+I95+I94+I93+I92+I91</f>
        <v>12329.5728</v>
      </c>
    </row>
    <row r="99" spans="1:9">
      <c r="A99" s="21"/>
      <c r="B99" s="35" t="s">
        <v>79</v>
      </c>
      <c r="C99" s="12"/>
      <c r="D99" s="12"/>
      <c r="E99" s="30"/>
      <c r="F99" s="30"/>
      <c r="G99" s="31"/>
      <c r="H99" s="31"/>
      <c r="I99" s="14">
        <v>0</v>
      </c>
    </row>
    <row r="100" spans="1:9">
      <c r="A100" s="37"/>
      <c r="B100" s="34" t="s">
        <v>163</v>
      </c>
      <c r="C100" s="25"/>
      <c r="D100" s="25"/>
      <c r="E100" s="25"/>
      <c r="F100" s="25"/>
      <c r="G100" s="25"/>
      <c r="H100" s="25"/>
      <c r="I100" s="32">
        <f>I89+I98</f>
        <v>195477.33315406108</v>
      </c>
    </row>
    <row r="101" spans="1:9" ht="15.75">
      <c r="A101" s="181" t="s">
        <v>200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>
      <c r="A102" s="43"/>
      <c r="B102" s="182" t="s">
        <v>201</v>
      </c>
      <c r="C102" s="182"/>
      <c r="D102" s="182"/>
      <c r="E102" s="182"/>
      <c r="F102" s="182"/>
      <c r="G102" s="182"/>
      <c r="H102" s="52"/>
      <c r="I102" s="2"/>
    </row>
    <row r="103" spans="1:9">
      <c r="A103" s="130"/>
      <c r="B103" s="183" t="s">
        <v>6</v>
      </c>
      <c r="C103" s="183"/>
      <c r="D103" s="183"/>
      <c r="E103" s="183"/>
      <c r="F103" s="183"/>
      <c r="G103" s="183"/>
      <c r="H103" s="16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>
      <c r="A105" s="184" t="s">
        <v>7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184" t="s">
        <v>8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170" t="s">
        <v>62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15.75">
      <c r="A108" s="8"/>
    </row>
    <row r="109" spans="1:9" ht="15.75">
      <c r="A109" s="186" t="s">
        <v>9</v>
      </c>
      <c r="B109" s="186"/>
      <c r="C109" s="186"/>
      <c r="D109" s="186"/>
      <c r="E109" s="186"/>
      <c r="F109" s="186"/>
      <c r="G109" s="186"/>
      <c r="H109" s="186"/>
      <c r="I109" s="186"/>
    </row>
    <row r="110" spans="1:9" ht="15.75">
      <c r="A110" s="3"/>
    </row>
    <row r="111" spans="1:9" ht="15.75">
      <c r="B111" s="127" t="s">
        <v>10</v>
      </c>
      <c r="C111" s="187" t="s">
        <v>132</v>
      </c>
      <c r="D111" s="187"/>
      <c r="E111" s="187"/>
      <c r="F111" s="50"/>
      <c r="I111" s="129"/>
    </row>
    <row r="112" spans="1:9">
      <c r="A112" s="130"/>
      <c r="C112" s="183" t="s">
        <v>11</v>
      </c>
      <c r="D112" s="183"/>
      <c r="E112" s="183"/>
      <c r="F112" s="16"/>
      <c r="I112" s="128" t="s">
        <v>12</v>
      </c>
    </row>
    <row r="113" spans="1:9" ht="15.75">
      <c r="A113" s="17"/>
      <c r="C113" s="9"/>
      <c r="D113" s="9"/>
      <c r="G113" s="9"/>
      <c r="H113" s="9"/>
    </row>
    <row r="114" spans="1:9" ht="15.75">
      <c r="B114" s="127" t="s">
        <v>13</v>
      </c>
      <c r="C114" s="188"/>
      <c r="D114" s="188"/>
      <c r="E114" s="188"/>
      <c r="F114" s="51"/>
      <c r="I114" s="129"/>
    </row>
    <row r="115" spans="1:9">
      <c r="A115" s="130"/>
      <c r="C115" s="189" t="s">
        <v>11</v>
      </c>
      <c r="D115" s="189"/>
      <c r="E115" s="189"/>
      <c r="F115" s="130"/>
      <c r="I115" s="128" t="s">
        <v>12</v>
      </c>
    </row>
    <row r="116" spans="1:9" ht="15.75">
      <c r="A116" s="3" t="s">
        <v>14</v>
      </c>
    </row>
    <row r="117" spans="1:9">
      <c r="A117" s="190" t="s">
        <v>15</v>
      </c>
      <c r="B117" s="190"/>
      <c r="C117" s="190"/>
      <c r="D117" s="190"/>
      <c r="E117" s="190"/>
      <c r="F117" s="190"/>
      <c r="G117" s="190"/>
      <c r="H117" s="190"/>
      <c r="I117" s="190"/>
    </row>
    <row r="118" spans="1:9" ht="52.5" customHeight="1">
      <c r="A118" s="185" t="s">
        <v>16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41.25" customHeight="1">
      <c r="A119" s="185" t="s">
        <v>17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41.25" customHeight="1">
      <c r="A120" s="185" t="s">
        <v>21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15.75">
      <c r="A121" s="185" t="s">
        <v>20</v>
      </c>
      <c r="B121" s="185"/>
      <c r="C121" s="185"/>
      <c r="D121" s="185"/>
      <c r="E121" s="185"/>
      <c r="F121" s="185"/>
      <c r="G121" s="185"/>
      <c r="H121" s="185"/>
      <c r="I121" s="185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4:I44"/>
    <mergeCell ref="A56:I56"/>
    <mergeCell ref="A86:I86"/>
    <mergeCell ref="A90:I90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" right="0.7" top="0.75" bottom="0.75" header="0.3" footer="0.3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2"/>
  <sheetViews>
    <sheetView topLeftCell="A89" workbookViewId="0">
      <selection activeCell="A110" sqref="A110:I110"/>
    </sheetView>
  </sheetViews>
  <sheetFormatPr defaultRowHeight="15"/>
  <cols>
    <col min="1" max="1" width="11.140625" customWidth="1"/>
    <col min="2" max="2" width="51.5703125" customWidth="1"/>
    <col min="3" max="3" width="18.5703125" customWidth="1"/>
    <col min="4" max="4" width="18.42578125" customWidth="1"/>
    <col min="5" max="6" width="0" hidden="1" customWidth="1"/>
    <col min="7" max="7" width="17.85546875" customWidth="1"/>
    <col min="8" max="8" width="0" hidden="1" customWidth="1"/>
    <col min="9" max="9" width="18.28515625" customWidth="1"/>
  </cols>
  <sheetData>
    <row r="1" spans="1:9" ht="15.75">
      <c r="A1" s="19" t="s">
        <v>85</v>
      </c>
      <c r="I1" s="18"/>
    </row>
    <row r="2" spans="1:9" ht="15.75">
      <c r="A2" s="20" t="s">
        <v>63</v>
      </c>
    </row>
    <row r="3" spans="1:9" ht="15.75">
      <c r="A3" s="165" t="s">
        <v>203</v>
      </c>
      <c r="B3" s="165"/>
      <c r="C3" s="165"/>
      <c r="D3" s="165"/>
      <c r="E3" s="165"/>
      <c r="F3" s="165"/>
      <c r="G3" s="165"/>
      <c r="H3" s="165"/>
      <c r="I3" s="165"/>
    </row>
    <row r="4" spans="1:9" ht="36.7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202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34"/>
      <c r="C6" s="134"/>
      <c r="D6" s="134"/>
      <c r="E6" s="134"/>
      <c r="F6" s="134"/>
      <c r="G6" s="134"/>
      <c r="H6" s="134"/>
      <c r="I6" s="22">
        <v>43281</v>
      </c>
    </row>
    <row r="7" spans="1:9" ht="15.75">
      <c r="B7" s="135"/>
      <c r="C7" s="135"/>
      <c r="D7" s="135"/>
      <c r="E7" s="2"/>
      <c r="F7" s="2"/>
      <c r="G7" s="2"/>
      <c r="H7" s="2"/>
    </row>
    <row r="8" spans="1:9" ht="65.25" customHeight="1">
      <c r="A8" s="168" t="s">
        <v>162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57.7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58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9.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18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idden="1">
      <c r="A19" s="21">
        <v>4</v>
      </c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f>4*G19</f>
        <v>892.68</v>
      </c>
    </row>
    <row r="20" spans="1:9" hidden="1">
      <c r="A20" s="21">
        <v>5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f>0.21/2*G20</f>
        <v>30.004799999999999</v>
      </c>
    </row>
    <row r="21" spans="1:9" hidden="1">
      <c r="A21" s="21">
        <v>6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idden="1">
      <c r="A22" s="21">
        <v>7</v>
      </c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f>3.57*G22</f>
        <v>1260.7097999999999</v>
      </c>
    </row>
    <row r="23" spans="1:9" hidden="1">
      <c r="A23" s="21">
        <v>8</v>
      </c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f>0.3864*G23</f>
        <v>22.442112000000002</v>
      </c>
    </row>
    <row r="24" spans="1:9" hidden="1">
      <c r="A24" s="21">
        <v>9</v>
      </c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f>0.15*G24</f>
        <v>76.667999999999992</v>
      </c>
    </row>
    <row r="25" spans="1:9" hidden="1">
      <c r="A25" s="21">
        <v>10</v>
      </c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f>0.0638*G25</f>
        <v>43.578589999999991</v>
      </c>
    </row>
    <row r="26" spans="1:9" ht="15.75" customHeight="1">
      <c r="A26" s="21">
        <v>4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>
      <c r="A27" s="21">
        <v>5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20.25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45.75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idden="1">
      <c r="A32" s="21">
        <v>15</v>
      </c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>0.1247*G32</f>
        <v>493.96538100000004</v>
      </c>
    </row>
    <row r="33" spans="1:9" ht="16.5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idden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idden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t="20.25" hidden="1" customHeight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idden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idden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idden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idden="1">
      <c r="A40" s="21">
        <v>9</v>
      </c>
      <c r="B40" s="56" t="s">
        <v>121</v>
      </c>
      <c r="C40" s="57" t="s">
        <v>55</v>
      </c>
      <c r="D40" s="131" t="s">
        <v>185</v>
      </c>
      <c r="E40" s="58"/>
      <c r="F40" s="59">
        <v>110</v>
      </c>
      <c r="G40" s="59">
        <v>314</v>
      </c>
      <c r="H40" s="60">
        <f t="shared" si="3"/>
        <v>34.54</v>
      </c>
      <c r="I40" s="10">
        <f>G40*65</f>
        <v>20410</v>
      </c>
    </row>
    <row r="41" spans="1:9" ht="60" hidden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idden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 hidden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(F43/7.5*1.5)*G43</f>
        <v>58.489800000000002</v>
      </c>
    </row>
    <row r="44" spans="1:9" hidden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idden="1">
      <c r="A45" s="21">
        <v>17</v>
      </c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f>1.1094*G45</f>
        <v>1300.671654</v>
      </c>
    </row>
    <row r="46" spans="1:9" hidden="1">
      <c r="A46" s="21">
        <v>18</v>
      </c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f>0.066*G46</f>
        <v>291.65730000000002</v>
      </c>
    </row>
    <row r="47" spans="1:9" hidden="1">
      <c r="A47" s="21">
        <v>19</v>
      </c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f>3.12655/2*G47</f>
        <v>2819.66348475</v>
      </c>
    </row>
    <row r="48" spans="1:9" hidden="1">
      <c r="A48" s="21">
        <v>20</v>
      </c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f>3.2392/2*G48</f>
        <v>2013.859228</v>
      </c>
    </row>
    <row r="49" spans="1:9" hidden="1">
      <c r="A49" s="21">
        <v>21</v>
      </c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f>1.7168/2*G49</f>
        <v>1161.2091840000001</v>
      </c>
    </row>
    <row r="50" spans="1:9" hidden="1">
      <c r="A50" s="21">
        <v>22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45" hidden="1">
      <c r="A51" s="21">
        <v>23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0" hidden="1">
      <c r="A52" s="21">
        <v>24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idden="1">
      <c r="A53" s="21">
        <v>25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idden="1">
      <c r="A54" s="21">
        <v>26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idden="1">
      <c r="A55" s="79">
        <v>27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 hidden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0" hidden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45" hidden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 hidden="1">
      <c r="A60" s="21">
        <v>14</v>
      </c>
      <c r="B60" s="66" t="s">
        <v>128</v>
      </c>
      <c r="C60" s="65" t="s">
        <v>129</v>
      </c>
      <c r="D60" s="132" t="s">
        <v>186</v>
      </c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G60*24</f>
        <v>37969.199999999997</v>
      </c>
    </row>
    <row r="61" spans="1:9" hidden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idden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idden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idden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idden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idden="1">
      <c r="A66" s="21">
        <v>28</v>
      </c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f>133.13*G66</f>
        <v>37042.091200000003</v>
      </c>
    </row>
    <row r="67" spans="1:9" hidden="1">
      <c r="A67" s="21">
        <v>29</v>
      </c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f>13.313*G67</f>
        <v>2884.66084</v>
      </c>
    </row>
    <row r="68" spans="1:9" hidden="1">
      <c r="A68" s="21">
        <v>30</v>
      </c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f>21.84*G68</f>
        <v>59425.329599999997</v>
      </c>
    </row>
    <row r="69" spans="1:9" hidden="1">
      <c r="A69" s="21">
        <v>31</v>
      </c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f>12.2*G69</f>
        <v>519.84199999999998</v>
      </c>
    </row>
    <row r="70" spans="1:9" hidden="1">
      <c r="A70" s="21">
        <v>32</v>
      </c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f>12.2*G70</f>
        <v>561.68799999999999</v>
      </c>
    </row>
    <row r="71" spans="1:9" hidden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idden="1">
      <c r="A72" s="21"/>
      <c r="B72" s="133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idden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idden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idden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idden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idden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30" hidden="1">
      <c r="A78" s="21">
        <v>33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v>0</v>
      </c>
    </row>
    <row r="79" spans="1:9" hidden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idden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19.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6.5" customHeight="1">
      <c r="A82" s="21">
        <v>9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28.5" hidden="1">
      <c r="A83" s="21"/>
      <c r="B83" s="133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idden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idden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 ht="16.5" customHeight="1">
      <c r="A87" s="21">
        <v>10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6" customHeight="1">
      <c r="A88" s="21">
        <v>11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I88+I87+I82+I33+I31+I30+I27+I26+I18+I17+I16</f>
        <v>40498.222074311103</v>
      </c>
    </row>
    <row r="90" spans="1:9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20.25" customHeight="1">
      <c r="A91" s="21">
        <v>12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 ht="30">
      <c r="A92" s="21">
        <v>13</v>
      </c>
      <c r="B92" s="96" t="s">
        <v>204</v>
      </c>
      <c r="C92" s="97" t="s">
        <v>146</v>
      </c>
      <c r="D92" s="21"/>
      <c r="E92" s="15"/>
      <c r="F92" s="10">
        <v>140</v>
      </c>
      <c r="G92" s="26">
        <v>1187</v>
      </c>
      <c r="H92" s="10">
        <f>G92*F92/1000</f>
        <v>166.18</v>
      </c>
      <c r="I92" s="10">
        <f>G92*3</f>
        <v>3561</v>
      </c>
    </row>
    <row r="93" spans="1:9">
      <c r="A93" s="21">
        <v>14</v>
      </c>
      <c r="B93" s="96" t="s">
        <v>205</v>
      </c>
      <c r="C93" s="97" t="s">
        <v>97</v>
      </c>
      <c r="D93" s="139"/>
      <c r="E93" s="15"/>
      <c r="F93" s="140"/>
      <c r="G93" s="26">
        <v>5.42</v>
      </c>
      <c r="H93" s="55"/>
      <c r="I93" s="10">
        <f>G93*4</f>
        <v>21.68</v>
      </c>
    </row>
    <row r="94" spans="1:9">
      <c r="A94" s="21">
        <v>15</v>
      </c>
      <c r="B94" s="96" t="s">
        <v>206</v>
      </c>
      <c r="C94" s="97" t="s">
        <v>97</v>
      </c>
      <c r="D94" s="95"/>
      <c r="E94" s="26"/>
      <c r="F94" s="26">
        <v>0.01</v>
      </c>
      <c r="G94" s="26">
        <v>8.36</v>
      </c>
      <c r="H94" s="94">
        <f t="shared" ref="H94" si="17">G94*F94/1000</f>
        <v>8.3599999999999999E-5</v>
      </c>
      <c r="I94" s="10">
        <f>G94*2</f>
        <v>16.72</v>
      </c>
    </row>
    <row r="95" spans="1:9">
      <c r="A95" s="21">
        <v>16</v>
      </c>
      <c r="B95" s="96" t="s">
        <v>207</v>
      </c>
      <c r="C95" s="97" t="s">
        <v>97</v>
      </c>
      <c r="D95" s="147"/>
      <c r="E95" s="26"/>
      <c r="F95" s="124"/>
      <c r="G95" s="26">
        <v>95.25</v>
      </c>
      <c r="H95" s="94"/>
      <c r="I95" s="10">
        <f>G95*4</f>
        <v>381</v>
      </c>
    </row>
    <row r="96" spans="1:9" ht="18" customHeight="1">
      <c r="A96" s="21">
        <v>17</v>
      </c>
      <c r="B96" s="96" t="s">
        <v>197</v>
      </c>
      <c r="C96" s="97" t="s">
        <v>145</v>
      </c>
      <c r="D96" s="139"/>
      <c r="E96" s="15"/>
      <c r="F96" s="140"/>
      <c r="G96" s="26">
        <v>147.34</v>
      </c>
      <c r="H96" s="55"/>
      <c r="I96" s="10">
        <f>G96</f>
        <v>147.34</v>
      </c>
    </row>
    <row r="97" spans="1:9">
      <c r="A97" s="21">
        <v>18</v>
      </c>
      <c r="B97" s="41" t="s">
        <v>208</v>
      </c>
      <c r="C97" s="97" t="s">
        <v>97</v>
      </c>
      <c r="D97" s="95"/>
      <c r="E97" s="26"/>
      <c r="F97" s="26"/>
      <c r="G97" s="26">
        <v>197.26</v>
      </c>
      <c r="H97" s="94"/>
      <c r="I97" s="10">
        <f>G97*1</f>
        <v>197.26</v>
      </c>
    </row>
    <row r="98" spans="1:9">
      <c r="A98" s="21">
        <v>19</v>
      </c>
      <c r="B98" s="110" t="s">
        <v>209</v>
      </c>
      <c r="C98" s="28" t="s">
        <v>111</v>
      </c>
      <c r="D98" s="95"/>
      <c r="E98" s="26"/>
      <c r="F98" s="26"/>
      <c r="G98" s="26">
        <v>3413.41</v>
      </c>
      <c r="H98" s="94"/>
      <c r="I98" s="10">
        <f>G98*0.06</f>
        <v>204.80459999999999</v>
      </c>
    </row>
    <row r="99" spans="1:9" ht="16.5" customHeight="1">
      <c r="A99" s="21"/>
      <c r="B99" s="33" t="s">
        <v>52</v>
      </c>
      <c r="C99" s="29"/>
      <c r="D99" s="36"/>
      <c r="E99" s="29">
        <v>1</v>
      </c>
      <c r="F99" s="29"/>
      <c r="G99" s="29"/>
      <c r="H99" s="29"/>
      <c r="I99" s="24">
        <f>SUM(I91:I98)</f>
        <v>4587.4045999999998</v>
      </c>
    </row>
    <row r="100" spans="1:9">
      <c r="A100" s="21"/>
      <c r="B100" s="35" t="s">
        <v>79</v>
      </c>
      <c r="C100" s="12"/>
      <c r="D100" s="12"/>
      <c r="E100" s="30"/>
      <c r="F100" s="30"/>
      <c r="G100" s="31"/>
      <c r="H100" s="31"/>
      <c r="I100" s="14">
        <v>0</v>
      </c>
    </row>
    <row r="101" spans="1:9">
      <c r="A101" s="37"/>
      <c r="B101" s="34" t="s">
        <v>163</v>
      </c>
      <c r="C101" s="25"/>
      <c r="D101" s="25"/>
      <c r="E101" s="25"/>
      <c r="F101" s="25"/>
      <c r="G101" s="25"/>
      <c r="H101" s="25"/>
      <c r="I101" s="32">
        <f>I89+I99</f>
        <v>45085.626674311105</v>
      </c>
    </row>
    <row r="102" spans="1:9" ht="15.75">
      <c r="A102" s="181" t="s">
        <v>218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>
      <c r="A103" s="43"/>
      <c r="B103" s="182" t="s">
        <v>210</v>
      </c>
      <c r="C103" s="182"/>
      <c r="D103" s="182"/>
      <c r="E103" s="182"/>
      <c r="F103" s="182"/>
      <c r="G103" s="182"/>
      <c r="H103" s="52"/>
      <c r="I103" s="2"/>
    </row>
    <row r="104" spans="1:9">
      <c r="A104" s="138"/>
      <c r="B104" s="183" t="s">
        <v>6</v>
      </c>
      <c r="C104" s="183"/>
      <c r="D104" s="183"/>
      <c r="E104" s="183"/>
      <c r="F104" s="183"/>
      <c r="G104" s="183"/>
      <c r="H104" s="16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84" t="s">
        <v>7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184" t="s">
        <v>8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170" t="s">
        <v>62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15.75">
      <c r="A109" s="8"/>
    </row>
    <row r="110" spans="1:9" ht="15.75">
      <c r="A110" s="186" t="s">
        <v>9</v>
      </c>
      <c r="B110" s="186"/>
      <c r="C110" s="186"/>
      <c r="D110" s="186"/>
      <c r="E110" s="186"/>
      <c r="F110" s="186"/>
      <c r="G110" s="186"/>
      <c r="H110" s="186"/>
      <c r="I110" s="186"/>
    </row>
    <row r="111" spans="1:9" ht="15.75">
      <c r="A111" s="3"/>
    </row>
    <row r="112" spans="1:9" ht="15.75">
      <c r="B112" s="135" t="s">
        <v>10</v>
      </c>
      <c r="C112" s="187" t="s">
        <v>132</v>
      </c>
      <c r="D112" s="187"/>
      <c r="E112" s="187"/>
      <c r="F112" s="50"/>
      <c r="I112" s="137"/>
    </row>
    <row r="113" spans="1:9">
      <c r="A113" s="138"/>
      <c r="C113" s="183" t="s">
        <v>11</v>
      </c>
      <c r="D113" s="183"/>
      <c r="E113" s="183"/>
      <c r="F113" s="16"/>
      <c r="I113" s="136" t="s">
        <v>12</v>
      </c>
    </row>
    <row r="114" spans="1:9" ht="15.75">
      <c r="A114" s="17"/>
      <c r="C114" s="9"/>
      <c r="D114" s="9"/>
      <c r="G114" s="9"/>
      <c r="H114" s="9"/>
    </row>
    <row r="115" spans="1:9" ht="15.75">
      <c r="B115" s="135" t="s">
        <v>13</v>
      </c>
      <c r="C115" s="188"/>
      <c r="D115" s="188"/>
      <c r="E115" s="188"/>
      <c r="F115" s="51"/>
      <c r="I115" s="137"/>
    </row>
    <row r="116" spans="1:9">
      <c r="A116" s="138"/>
      <c r="C116" s="189" t="s">
        <v>11</v>
      </c>
      <c r="D116" s="189"/>
      <c r="E116" s="189"/>
      <c r="F116" s="138"/>
      <c r="I116" s="136" t="s">
        <v>12</v>
      </c>
    </row>
    <row r="117" spans="1:9" ht="15.75">
      <c r="A117" s="3" t="s">
        <v>14</v>
      </c>
    </row>
    <row r="118" spans="1:9">
      <c r="A118" s="190" t="s">
        <v>15</v>
      </c>
      <c r="B118" s="190"/>
      <c r="C118" s="190"/>
      <c r="D118" s="190"/>
      <c r="E118" s="190"/>
      <c r="F118" s="190"/>
      <c r="G118" s="190"/>
      <c r="H118" s="190"/>
      <c r="I118" s="190"/>
    </row>
    <row r="119" spans="1:9" ht="43.5" customHeight="1">
      <c r="A119" s="185" t="s">
        <v>16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41.25" customHeight="1">
      <c r="A120" s="185" t="s">
        <v>17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41.25" customHeight="1">
      <c r="A121" s="185" t="s">
        <v>21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15.75">
      <c r="A122" s="185" t="s">
        <v>20</v>
      </c>
      <c r="B122" s="185"/>
      <c r="C122" s="185"/>
      <c r="D122" s="185"/>
      <c r="E122" s="185"/>
      <c r="F122" s="185"/>
      <c r="G122" s="185"/>
      <c r="H122" s="185"/>
      <c r="I122" s="185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8:I28"/>
    <mergeCell ref="A44:I44"/>
    <mergeCell ref="A56:I56"/>
    <mergeCell ref="A86:I86"/>
    <mergeCell ref="A90:I90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31496062992125984" top="0.55118110236220474" bottom="0.55118110236220474" header="0.31496062992125984" footer="0.31496062992125984"/>
  <pageSetup paperSize="9" scale="6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95" zoomScale="60" workbookViewId="0">
      <selection activeCell="M109" sqref="M109"/>
    </sheetView>
  </sheetViews>
  <sheetFormatPr defaultRowHeight="15"/>
  <cols>
    <col min="1" max="1" width="10.7109375" customWidth="1"/>
    <col min="2" max="2" width="42.140625" customWidth="1"/>
    <col min="3" max="4" width="17.85546875" customWidth="1"/>
    <col min="5" max="6" width="0" hidden="1" customWidth="1"/>
    <col min="7" max="7" width="16.140625" customWidth="1"/>
    <col min="8" max="8" width="0" hidden="1" customWidth="1"/>
    <col min="9" max="9" width="18.140625" customWidth="1"/>
  </cols>
  <sheetData>
    <row r="1" spans="1:9" ht="15.75">
      <c r="A1" s="19" t="s">
        <v>211</v>
      </c>
      <c r="I1" s="18"/>
    </row>
    <row r="2" spans="1:9" ht="15.75">
      <c r="A2" s="20" t="s">
        <v>63</v>
      </c>
    </row>
    <row r="3" spans="1:9" ht="15.75">
      <c r="A3" s="165" t="s">
        <v>212</v>
      </c>
      <c r="B3" s="165"/>
      <c r="C3" s="165"/>
      <c r="D3" s="165"/>
      <c r="E3" s="165"/>
      <c r="F3" s="165"/>
      <c r="G3" s="165"/>
      <c r="H3" s="165"/>
      <c r="I3" s="165"/>
    </row>
    <row r="4" spans="1:9" ht="33.7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213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46"/>
      <c r="C6" s="146"/>
      <c r="D6" s="146"/>
      <c r="E6" s="146"/>
      <c r="F6" s="146"/>
      <c r="G6" s="146"/>
      <c r="H6" s="146"/>
      <c r="I6" s="22">
        <v>43312</v>
      </c>
    </row>
    <row r="7" spans="1:9" ht="1.5" customHeight="1">
      <c r="B7" s="144"/>
      <c r="C7" s="144"/>
      <c r="D7" s="144"/>
      <c r="E7" s="2"/>
      <c r="F7" s="2"/>
      <c r="G7" s="2"/>
      <c r="H7" s="2"/>
    </row>
    <row r="8" spans="1:9" ht="107.25" customHeight="1">
      <c r="A8" s="168" t="s">
        <v>227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68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63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29.2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33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30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idden="1">
      <c r="A19" s="21">
        <v>4</v>
      </c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f>4*G19</f>
        <v>892.68</v>
      </c>
    </row>
    <row r="20" spans="1:9" hidden="1">
      <c r="A20" s="21">
        <v>5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f>0.21/2*G20</f>
        <v>30.004799999999999</v>
      </c>
    </row>
    <row r="21" spans="1:9" ht="17.25" customHeight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idden="1">
      <c r="A22" s="21">
        <v>7</v>
      </c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f>3.57*G22</f>
        <v>1260.7097999999999</v>
      </c>
    </row>
    <row r="23" spans="1:9" hidden="1">
      <c r="A23" s="21">
        <v>8</v>
      </c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f>0.3864*G23</f>
        <v>22.442112000000002</v>
      </c>
    </row>
    <row r="24" spans="1:9" hidden="1">
      <c r="A24" s="21">
        <v>9</v>
      </c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f>0.15*G24</f>
        <v>76.667999999999992</v>
      </c>
    </row>
    <row r="25" spans="1:9" hidden="1">
      <c r="A25" s="21">
        <v>10</v>
      </c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f>0.0638*G25</f>
        <v>43.578589999999991</v>
      </c>
    </row>
    <row r="26" spans="1:9" ht="21" customHeight="1">
      <c r="A26" s="21">
        <v>5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>
      <c r="A27" s="21">
        <v>6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9.5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20.25" customHeight="1">
      <c r="A30" s="21">
        <v>7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46.5" customHeight="1">
      <c r="A31" s="21">
        <v>8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idden="1">
      <c r="A32" s="21">
        <v>15</v>
      </c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>0.1247*G32</f>
        <v>493.96538100000004</v>
      </c>
    </row>
    <row r="33" spans="1:9" ht="18" customHeight="1">
      <c r="A33" s="21">
        <v>9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idden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idden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idden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t="30" hidden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idden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t="30" hidden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idden="1">
      <c r="A40" s="21">
        <v>9</v>
      </c>
      <c r="B40" s="56" t="s">
        <v>121</v>
      </c>
      <c r="C40" s="57" t="s">
        <v>55</v>
      </c>
      <c r="D40" s="131" t="s">
        <v>185</v>
      </c>
      <c r="E40" s="58"/>
      <c r="F40" s="59">
        <v>110</v>
      </c>
      <c r="G40" s="59">
        <v>314</v>
      </c>
      <c r="H40" s="60">
        <f t="shared" si="3"/>
        <v>34.54</v>
      </c>
      <c r="I40" s="10">
        <f>G40*65</f>
        <v>20410</v>
      </c>
    </row>
    <row r="41" spans="1:9" ht="60" hidden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t="30" hidden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 hidden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(F43/7.5*1.5)*G43</f>
        <v>58.489800000000002</v>
      </c>
    </row>
    <row r="44" spans="1:9" hidden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idden="1">
      <c r="A45" s="21">
        <v>17</v>
      </c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f>1.1094*G45</f>
        <v>1300.671654</v>
      </c>
    </row>
    <row r="46" spans="1:9" hidden="1">
      <c r="A46" s="21">
        <v>18</v>
      </c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f>0.066*G46</f>
        <v>291.65730000000002</v>
      </c>
    </row>
    <row r="47" spans="1:9" ht="30" hidden="1">
      <c r="A47" s="21">
        <v>19</v>
      </c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f>3.12655/2*G47</f>
        <v>2819.66348475</v>
      </c>
    </row>
    <row r="48" spans="1:9" hidden="1">
      <c r="A48" s="21">
        <v>20</v>
      </c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f>3.2392/2*G48</f>
        <v>2013.859228</v>
      </c>
    </row>
    <row r="49" spans="1:9" hidden="1">
      <c r="A49" s="21">
        <v>21</v>
      </c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f>1.7168/2*G49</f>
        <v>1161.2091840000001</v>
      </c>
    </row>
    <row r="50" spans="1:9" hidden="1">
      <c r="A50" s="21">
        <v>22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45" hidden="1">
      <c r="A51" s="21">
        <v>23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0" hidden="1">
      <c r="A52" s="21">
        <v>24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idden="1">
      <c r="A53" s="21">
        <v>25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idden="1">
      <c r="A54" s="21">
        <v>26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idden="1">
      <c r="A55" s="79">
        <v>27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 hidden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45" hidden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45" hidden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 hidden="1">
      <c r="A60" s="21">
        <v>14</v>
      </c>
      <c r="B60" s="66" t="s">
        <v>128</v>
      </c>
      <c r="C60" s="65" t="s">
        <v>129</v>
      </c>
      <c r="D60" s="132" t="s">
        <v>186</v>
      </c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G60*24</f>
        <v>37969.199999999997</v>
      </c>
    </row>
    <row r="61" spans="1:9" hidden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idden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idden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idden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t="30" hidden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idden="1">
      <c r="A66" s="21">
        <v>28</v>
      </c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f>133.13*G66</f>
        <v>37042.091200000003</v>
      </c>
    </row>
    <row r="67" spans="1:9" ht="30" hidden="1">
      <c r="A67" s="21">
        <v>29</v>
      </c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f>13.313*G67</f>
        <v>2884.66084</v>
      </c>
    </row>
    <row r="68" spans="1:9" hidden="1">
      <c r="A68" s="21">
        <v>30</v>
      </c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f>21.84*G68</f>
        <v>59425.329599999997</v>
      </c>
    </row>
    <row r="69" spans="1:9" hidden="1">
      <c r="A69" s="21">
        <v>31</v>
      </c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f>12.2*G69</f>
        <v>519.84199999999998</v>
      </c>
    </row>
    <row r="70" spans="1:9" ht="30" hidden="1">
      <c r="A70" s="21">
        <v>32</v>
      </c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f>12.2*G70</f>
        <v>561.68799999999999</v>
      </c>
    </row>
    <row r="71" spans="1:9" ht="30" hidden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idden="1">
      <c r="A72" s="21"/>
      <c r="B72" s="145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idden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idden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idden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idden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idden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30" hidden="1">
      <c r="A78" s="21">
        <v>33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v>0</v>
      </c>
    </row>
    <row r="79" spans="1:9" hidden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idden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21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31.5" customHeight="1">
      <c r="A82" s="21">
        <v>10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33" hidden="1" customHeight="1">
      <c r="A83" s="21"/>
      <c r="B83" s="145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idden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idden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 ht="16.5" customHeight="1">
      <c r="A87" s="21">
        <v>11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29.25" customHeight="1">
      <c r="A88" s="21">
        <v>12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I88+I87+I82+I33+I31+I30+I27+I26+I21+I18+I17+I16</f>
        <v>40505.874954311104</v>
      </c>
    </row>
    <row r="90" spans="1:9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5" customHeight="1">
      <c r="A91" s="21">
        <v>13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>
      <c r="A92" s="21">
        <v>14</v>
      </c>
      <c r="B92" s="96" t="s">
        <v>197</v>
      </c>
      <c r="C92" s="97" t="s">
        <v>145</v>
      </c>
      <c r="D92" s="21"/>
      <c r="E92" s="15"/>
      <c r="F92" s="10">
        <v>140</v>
      </c>
      <c r="G92" s="26">
        <v>147.34</v>
      </c>
      <c r="H92" s="10">
        <f>G92*F92/1000</f>
        <v>20.627600000000001</v>
      </c>
      <c r="I92" s="10">
        <f>G92*1</f>
        <v>147.34</v>
      </c>
    </row>
    <row r="93" spans="1:9">
      <c r="A93" s="21">
        <v>15</v>
      </c>
      <c r="B93" s="96" t="s">
        <v>214</v>
      </c>
      <c r="C93" s="97" t="s">
        <v>215</v>
      </c>
      <c r="D93" s="139"/>
      <c r="E93" s="15"/>
      <c r="F93" s="140"/>
      <c r="G93" s="26">
        <v>203.68</v>
      </c>
      <c r="H93" s="55"/>
      <c r="I93" s="10">
        <f>G93*1</f>
        <v>203.68</v>
      </c>
    </row>
    <row r="94" spans="1:9">
      <c r="A94" s="21">
        <v>16</v>
      </c>
      <c r="B94" s="96" t="s">
        <v>216</v>
      </c>
      <c r="C94" s="97" t="s">
        <v>97</v>
      </c>
      <c r="D94" s="95"/>
      <c r="E94" s="26"/>
      <c r="F94" s="26">
        <v>0.01</v>
      </c>
      <c r="G94" s="26">
        <v>89.59</v>
      </c>
      <c r="H94" s="94">
        <f t="shared" ref="H94" si="17">G94*F94/1000</f>
        <v>8.9590000000000004E-4</v>
      </c>
      <c r="I94" s="10">
        <f>G94*1</f>
        <v>89.59</v>
      </c>
    </row>
    <row r="95" spans="1:9" ht="30">
      <c r="A95" s="21">
        <v>17</v>
      </c>
      <c r="B95" s="96" t="s">
        <v>147</v>
      </c>
      <c r="C95" s="97" t="s">
        <v>145</v>
      </c>
      <c r="D95" s="147"/>
      <c r="E95" s="26"/>
      <c r="F95" s="124"/>
      <c r="G95" s="26">
        <v>613.44000000000005</v>
      </c>
      <c r="H95" s="94"/>
      <c r="I95" s="10">
        <f>G95*2</f>
        <v>1226.8800000000001</v>
      </c>
    </row>
    <row r="96" spans="1:9">
      <c r="A96" s="21">
        <v>18</v>
      </c>
      <c r="B96" s="96" t="s">
        <v>207</v>
      </c>
      <c r="C96" s="97" t="s">
        <v>97</v>
      </c>
      <c r="D96" s="139"/>
      <c r="E96" s="15"/>
      <c r="F96" s="140"/>
      <c r="G96" s="26">
        <v>89.92</v>
      </c>
      <c r="H96" s="55"/>
      <c r="I96" s="10">
        <f>G96*6</f>
        <v>539.52</v>
      </c>
    </row>
    <row r="97" spans="1:9">
      <c r="A97" s="21">
        <v>19</v>
      </c>
      <c r="B97" s="96" t="s">
        <v>217</v>
      </c>
      <c r="C97" s="97" t="s">
        <v>97</v>
      </c>
      <c r="D97" s="95"/>
      <c r="E97" s="26"/>
      <c r="F97" s="26"/>
      <c r="G97" s="26">
        <v>1008.38</v>
      </c>
      <c r="H97" s="94"/>
      <c r="I97" s="10">
        <f>G97*1</f>
        <v>1008.38</v>
      </c>
    </row>
    <row r="98" spans="1:9" hidden="1">
      <c r="A98" s="21">
        <v>19</v>
      </c>
      <c r="B98" s="110"/>
      <c r="C98" s="28"/>
      <c r="D98" s="95"/>
      <c r="E98" s="26"/>
      <c r="F98" s="26"/>
      <c r="G98" s="26"/>
      <c r="H98" s="94"/>
      <c r="I98" s="10"/>
    </row>
    <row r="99" spans="1:9" ht="18.75" customHeight="1">
      <c r="A99" s="21"/>
      <c r="B99" s="33" t="s">
        <v>52</v>
      </c>
      <c r="C99" s="29"/>
      <c r="D99" s="36"/>
      <c r="E99" s="29">
        <v>1</v>
      </c>
      <c r="F99" s="29"/>
      <c r="G99" s="29"/>
      <c r="H99" s="29"/>
      <c r="I99" s="24">
        <f>SUM(I91:I98)</f>
        <v>3272.9900000000002</v>
      </c>
    </row>
    <row r="100" spans="1:9">
      <c r="A100" s="21"/>
      <c r="B100" s="35" t="s">
        <v>79</v>
      </c>
      <c r="C100" s="12"/>
      <c r="D100" s="12"/>
      <c r="E100" s="30"/>
      <c r="F100" s="30"/>
      <c r="G100" s="31"/>
      <c r="H100" s="31"/>
      <c r="I100" s="14">
        <v>0</v>
      </c>
    </row>
    <row r="101" spans="1:9">
      <c r="A101" s="37"/>
      <c r="B101" s="34" t="s">
        <v>163</v>
      </c>
      <c r="C101" s="25"/>
      <c r="D101" s="25"/>
      <c r="E101" s="25"/>
      <c r="F101" s="25"/>
      <c r="G101" s="25"/>
      <c r="H101" s="25"/>
      <c r="I101" s="32">
        <f>I89+I99</f>
        <v>43778.864954311102</v>
      </c>
    </row>
    <row r="102" spans="1:9" ht="15.75">
      <c r="A102" s="181" t="s">
        <v>219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>
      <c r="A103" s="43"/>
      <c r="B103" s="182" t="s">
        <v>220</v>
      </c>
      <c r="C103" s="182"/>
      <c r="D103" s="182"/>
      <c r="E103" s="182"/>
      <c r="F103" s="182"/>
      <c r="G103" s="182"/>
      <c r="H103" s="52"/>
      <c r="I103" s="2"/>
    </row>
    <row r="104" spans="1:9">
      <c r="A104" s="143"/>
      <c r="B104" s="183" t="s">
        <v>6</v>
      </c>
      <c r="C104" s="183"/>
      <c r="D104" s="183"/>
      <c r="E104" s="183"/>
      <c r="F104" s="183"/>
      <c r="G104" s="183"/>
      <c r="H104" s="16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84" t="s">
        <v>7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184" t="s">
        <v>8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170" t="s">
        <v>62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15.75">
      <c r="A109" s="8"/>
    </row>
    <row r="110" spans="1:9" ht="15.75">
      <c r="A110" s="186" t="s">
        <v>9</v>
      </c>
      <c r="B110" s="186"/>
      <c r="C110" s="186"/>
      <c r="D110" s="186"/>
      <c r="E110" s="186"/>
      <c r="F110" s="186"/>
      <c r="G110" s="186"/>
      <c r="H110" s="186"/>
      <c r="I110" s="186"/>
    </row>
    <row r="111" spans="1:9" ht="15.75">
      <c r="A111" s="3"/>
    </row>
    <row r="112" spans="1:9" ht="15.75">
      <c r="B112" s="144" t="s">
        <v>10</v>
      </c>
      <c r="C112" s="187" t="s">
        <v>132</v>
      </c>
      <c r="D112" s="187"/>
      <c r="E112" s="187"/>
      <c r="F112" s="50"/>
      <c r="I112" s="142"/>
    </row>
    <row r="113" spans="1:9">
      <c r="A113" s="143"/>
      <c r="C113" s="183" t="s">
        <v>11</v>
      </c>
      <c r="D113" s="183"/>
      <c r="E113" s="183"/>
      <c r="F113" s="16"/>
      <c r="I113" s="141" t="s">
        <v>12</v>
      </c>
    </row>
    <row r="114" spans="1:9" ht="15.75">
      <c r="A114" s="17"/>
      <c r="C114" s="9"/>
      <c r="D114" s="9"/>
      <c r="G114" s="9"/>
      <c r="H114" s="9"/>
    </row>
    <row r="115" spans="1:9" ht="15.75">
      <c r="B115" s="144" t="s">
        <v>13</v>
      </c>
      <c r="C115" s="188"/>
      <c r="D115" s="188"/>
      <c r="E115" s="188"/>
      <c r="F115" s="51"/>
      <c r="I115" s="142"/>
    </row>
    <row r="116" spans="1:9">
      <c r="A116" s="143"/>
      <c r="C116" s="189" t="s">
        <v>11</v>
      </c>
      <c r="D116" s="189"/>
      <c r="E116" s="189"/>
      <c r="F116" s="143"/>
      <c r="I116" s="141" t="s">
        <v>12</v>
      </c>
    </row>
    <row r="117" spans="1:9" ht="15.75">
      <c r="A117" s="3" t="s">
        <v>14</v>
      </c>
    </row>
    <row r="118" spans="1:9">
      <c r="A118" s="190" t="s">
        <v>15</v>
      </c>
      <c r="B118" s="190"/>
      <c r="C118" s="190"/>
      <c r="D118" s="190"/>
      <c r="E118" s="190"/>
      <c r="F118" s="190"/>
      <c r="G118" s="190"/>
      <c r="H118" s="190"/>
      <c r="I118" s="190"/>
    </row>
    <row r="119" spans="1:9" ht="44.25" customHeight="1">
      <c r="A119" s="185" t="s">
        <v>16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33" customHeight="1">
      <c r="A120" s="185" t="s">
        <v>17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29.25" customHeight="1">
      <c r="A121" s="185" t="s">
        <v>21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15.75">
      <c r="A122" s="185" t="s">
        <v>20</v>
      </c>
      <c r="B122" s="185"/>
      <c r="C122" s="185"/>
      <c r="D122" s="185"/>
      <c r="E122" s="185"/>
      <c r="F122" s="185"/>
      <c r="G122" s="185"/>
      <c r="H122" s="185"/>
      <c r="I122" s="185"/>
    </row>
  </sheetData>
  <mergeCells count="28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8:I28"/>
    <mergeCell ref="A44:I44"/>
    <mergeCell ref="A56:I56"/>
    <mergeCell ref="A86:I86"/>
    <mergeCell ref="A90:I90"/>
    <mergeCell ref="A102:I102"/>
    <mergeCell ref="B103:G103"/>
    <mergeCell ref="B104:G104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70866141732283472" right="0.31496062992125984" top="0.35433070866141736" bottom="0.35433070866141736" header="0.31496062992125984" footer="0.31496062992125984"/>
  <pageSetup paperSize="9" scale="68" orientation="portrait" horizontalDpi="0" verticalDpi="0" r:id="rId1"/>
  <rowBreaks count="1" manualBreakCount="1"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88" zoomScale="60" workbookViewId="0">
      <selection activeCell="L99" sqref="L99"/>
    </sheetView>
  </sheetViews>
  <sheetFormatPr defaultRowHeight="15"/>
  <cols>
    <col min="1" max="1" width="11" customWidth="1"/>
    <col min="2" max="2" width="53.85546875" customWidth="1"/>
    <col min="3" max="3" width="17.5703125" customWidth="1"/>
    <col min="4" max="4" width="18.5703125" customWidth="1"/>
    <col min="5" max="6" width="0" hidden="1" customWidth="1"/>
    <col min="7" max="7" width="14.42578125" customWidth="1"/>
    <col min="8" max="8" width="0" hidden="1" customWidth="1"/>
    <col min="9" max="9" width="18.5703125" customWidth="1"/>
  </cols>
  <sheetData>
    <row r="1" spans="1:9" ht="15.75">
      <c r="A1" s="19" t="s">
        <v>211</v>
      </c>
      <c r="I1" s="18"/>
    </row>
    <row r="2" spans="1:9" ht="15.75">
      <c r="A2" s="20" t="s">
        <v>63</v>
      </c>
    </row>
    <row r="3" spans="1:9" ht="15.75">
      <c r="A3" s="165" t="s">
        <v>228</v>
      </c>
      <c r="B3" s="165"/>
      <c r="C3" s="165"/>
      <c r="D3" s="165"/>
      <c r="E3" s="165"/>
      <c r="F3" s="165"/>
      <c r="G3" s="165"/>
      <c r="H3" s="165"/>
      <c r="I3" s="165"/>
    </row>
    <row r="4" spans="1:9" ht="15.75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229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53"/>
      <c r="C6" s="153"/>
      <c r="D6" s="153"/>
      <c r="E6" s="153"/>
      <c r="F6" s="153"/>
      <c r="G6" s="153"/>
      <c r="H6" s="153"/>
      <c r="I6" s="22">
        <v>43343</v>
      </c>
    </row>
    <row r="7" spans="1:9" ht="15.75">
      <c r="B7" s="151"/>
      <c r="C7" s="151"/>
      <c r="D7" s="151"/>
      <c r="E7" s="2"/>
      <c r="F7" s="2"/>
      <c r="G7" s="2"/>
      <c r="H7" s="2"/>
    </row>
    <row r="8" spans="1:9" ht="84" customHeight="1">
      <c r="A8" s="168" t="s">
        <v>227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59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86.2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8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17.2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6.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t="12" hidden="1" customHeight="1">
      <c r="A19" s="21">
        <v>4</v>
      </c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f>4*G19</f>
        <v>892.68</v>
      </c>
    </row>
    <row r="20" spans="1:9" hidden="1">
      <c r="A20" s="21">
        <v>5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f>0.21/2*G20</f>
        <v>30.004799999999999</v>
      </c>
    </row>
    <row r="21" spans="1:9" hidden="1">
      <c r="A21" s="21">
        <v>4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idden="1">
      <c r="A22" s="21">
        <v>7</v>
      </c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f>3.57*G22</f>
        <v>1260.7097999999999</v>
      </c>
    </row>
    <row r="23" spans="1:9" hidden="1">
      <c r="A23" s="21">
        <v>8</v>
      </c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f>0.3864*G23</f>
        <v>22.442112000000002</v>
      </c>
    </row>
    <row r="24" spans="1:9" hidden="1">
      <c r="A24" s="21">
        <v>9</v>
      </c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f>0.15*G24</f>
        <v>76.667999999999992</v>
      </c>
    </row>
    <row r="25" spans="1:9" hidden="1">
      <c r="A25" s="21">
        <v>10</v>
      </c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f>0.0638*G25</f>
        <v>43.578589999999991</v>
      </c>
    </row>
    <row r="26" spans="1:9" ht="18.75" customHeight="1">
      <c r="A26" s="21">
        <v>4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>
      <c r="A27" s="21">
        <v>5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21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8" customHeight="1">
      <c r="A30" s="21">
        <v>6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31.5" customHeight="1">
      <c r="A31" s="21">
        <v>7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idden="1">
      <c r="A32" s="21">
        <v>15</v>
      </c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>0.1247*G32</f>
        <v>493.96538100000004</v>
      </c>
    </row>
    <row r="33" spans="1:9" ht="19.5" customHeight="1">
      <c r="A33" s="21">
        <v>8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idden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idden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idden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idden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idden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idden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idden="1">
      <c r="A40" s="21">
        <v>9</v>
      </c>
      <c r="B40" s="56" t="s">
        <v>121</v>
      </c>
      <c r="C40" s="57" t="s">
        <v>55</v>
      </c>
      <c r="D40" s="131" t="s">
        <v>185</v>
      </c>
      <c r="E40" s="58"/>
      <c r="F40" s="59">
        <v>110</v>
      </c>
      <c r="G40" s="59">
        <v>314</v>
      </c>
      <c r="H40" s="60">
        <f t="shared" si="3"/>
        <v>34.54</v>
      </c>
      <c r="I40" s="10">
        <f>G40*65</f>
        <v>20410</v>
      </c>
    </row>
    <row r="41" spans="1:9" ht="45" hidden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idden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 hidden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(F43/7.5*1.5)*G43</f>
        <v>58.489800000000002</v>
      </c>
    </row>
    <row r="44" spans="1:9" hidden="1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idden="1">
      <c r="A45" s="21">
        <v>17</v>
      </c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f>1.1094*G45</f>
        <v>1300.671654</v>
      </c>
    </row>
    <row r="46" spans="1:9" hidden="1">
      <c r="A46" s="21">
        <v>18</v>
      </c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f>0.066*G46</f>
        <v>291.65730000000002</v>
      </c>
    </row>
    <row r="47" spans="1:9" hidden="1">
      <c r="A47" s="21">
        <v>19</v>
      </c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f>3.12655/2*G47</f>
        <v>2819.66348475</v>
      </c>
    </row>
    <row r="48" spans="1:9" hidden="1">
      <c r="A48" s="21">
        <v>20</v>
      </c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f>3.2392/2*G48</f>
        <v>2013.859228</v>
      </c>
    </row>
    <row r="49" spans="1:9" hidden="1">
      <c r="A49" s="21">
        <v>21</v>
      </c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f>1.7168/2*G49</f>
        <v>1161.2091840000001</v>
      </c>
    </row>
    <row r="50" spans="1:9" hidden="1">
      <c r="A50" s="21">
        <v>22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30" hidden="1">
      <c r="A51" s="21">
        <v>23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0" hidden="1">
      <c r="A52" s="21">
        <v>24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idden="1">
      <c r="A53" s="21">
        <v>25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idden="1">
      <c r="A54" s="21">
        <v>26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idden="1">
      <c r="A55" s="79">
        <v>27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0" hidden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30" hidden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 ht="15.75" customHeight="1">
      <c r="A60" s="21">
        <v>9</v>
      </c>
      <c r="B60" s="66" t="s">
        <v>128</v>
      </c>
      <c r="C60" s="65" t="s">
        <v>129</v>
      </c>
      <c r="D60" s="132"/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G60*1</f>
        <v>1582.05</v>
      </c>
    </row>
    <row r="61" spans="1:9" hidden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idden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idden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idden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idden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idden="1">
      <c r="A66" s="21">
        <v>28</v>
      </c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f>133.13*G66</f>
        <v>37042.091200000003</v>
      </c>
    </row>
    <row r="67" spans="1:9" hidden="1">
      <c r="A67" s="21">
        <v>29</v>
      </c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f>13.313*G67</f>
        <v>2884.66084</v>
      </c>
    </row>
    <row r="68" spans="1:9" hidden="1">
      <c r="A68" s="21">
        <v>30</v>
      </c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f>21.84*G68</f>
        <v>59425.329599999997</v>
      </c>
    </row>
    <row r="69" spans="1:9" hidden="1">
      <c r="A69" s="21">
        <v>31</v>
      </c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f>12.2*G69</f>
        <v>519.84199999999998</v>
      </c>
    </row>
    <row r="70" spans="1:9" hidden="1">
      <c r="A70" s="21">
        <v>32</v>
      </c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f>12.2*G70</f>
        <v>561.68799999999999</v>
      </c>
    </row>
    <row r="71" spans="1:9" hidden="1">
      <c r="A71" s="21"/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v>0</v>
      </c>
    </row>
    <row r="72" spans="1:9" ht="17.25" hidden="1" customHeight="1">
      <c r="A72" s="21"/>
      <c r="B72" s="152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idden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idden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idden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idden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idden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31.5" hidden="1" customHeight="1">
      <c r="A78" s="21">
        <v>33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f>G78*1</f>
        <v>53.42</v>
      </c>
    </row>
    <row r="79" spans="1:9" hidden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idden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18.7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8" customHeight="1">
      <c r="A82" s="21">
        <v>10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15.75" customHeight="1">
      <c r="A83" s="21"/>
      <c r="B83" s="152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t="16.5" hidden="1" customHeight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t="19.5" customHeight="1">
      <c r="A85" s="21"/>
      <c r="B85" s="11" t="s">
        <v>161</v>
      </c>
      <c r="C85" s="13"/>
      <c r="D85" s="11"/>
      <c r="E85" s="11"/>
      <c r="F85" s="10">
        <v>62</v>
      </c>
      <c r="G85" s="10">
        <v>30380</v>
      </c>
      <c r="H85" s="55">
        <f t="shared" ref="H85" si="14">G85*F85/1000</f>
        <v>1883.56</v>
      </c>
      <c r="I85" s="10">
        <f>G85*1</f>
        <v>30380</v>
      </c>
    </row>
    <row r="86" spans="1:9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 ht="18" customHeight="1">
      <c r="A87" s="21">
        <v>11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33" customHeight="1">
      <c r="A88" s="21">
        <v>12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I88+I87+I82+I60+I33+I31+I30+I27+I26+I18+I17+I16+I85</f>
        <v>72460.272074311099</v>
      </c>
    </row>
    <row r="90" spans="1:9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21" customHeight="1">
      <c r="A91" s="21">
        <v>13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>
      <c r="A92" s="21">
        <v>14</v>
      </c>
      <c r="B92" s="96" t="s">
        <v>171</v>
      </c>
      <c r="C92" s="97" t="s">
        <v>172</v>
      </c>
      <c r="D92" s="21"/>
      <c r="E92" s="15"/>
      <c r="F92" s="10">
        <v>140</v>
      </c>
      <c r="G92" s="26">
        <v>134.12</v>
      </c>
      <c r="H92" s="10">
        <f>G92*F92/1000</f>
        <v>18.776799999999998</v>
      </c>
      <c r="I92" s="10">
        <f>G92*16</f>
        <v>2145.92</v>
      </c>
    </row>
    <row r="93" spans="1:9">
      <c r="A93" s="21">
        <v>15</v>
      </c>
      <c r="B93" s="41" t="s">
        <v>230</v>
      </c>
      <c r="C93" s="42" t="s">
        <v>97</v>
      </c>
      <c r="D93" s="139"/>
      <c r="E93" s="15"/>
      <c r="F93" s="140"/>
      <c r="G93" s="26">
        <v>169.36</v>
      </c>
      <c r="H93" s="55"/>
      <c r="I93" s="10">
        <f>G93*1</f>
        <v>169.36</v>
      </c>
    </row>
    <row r="94" spans="1:9" ht="30">
      <c r="A94" s="21">
        <v>16</v>
      </c>
      <c r="B94" s="96" t="s">
        <v>231</v>
      </c>
      <c r="C94" s="97" t="s">
        <v>164</v>
      </c>
      <c r="D94" s="95"/>
      <c r="E94" s="26"/>
      <c r="F94" s="26"/>
      <c r="G94" s="26">
        <v>1202.24</v>
      </c>
      <c r="H94" s="94"/>
      <c r="I94" s="10">
        <f>G94*0.5</f>
        <v>601.12</v>
      </c>
    </row>
    <row r="95" spans="1:9" ht="30">
      <c r="A95" s="21">
        <v>17</v>
      </c>
      <c r="B95" s="96" t="s">
        <v>194</v>
      </c>
      <c r="C95" s="97" t="s">
        <v>195</v>
      </c>
      <c r="D95" s="95"/>
      <c r="E95" s="26"/>
      <c r="F95" s="26"/>
      <c r="G95" s="26">
        <v>24829.08</v>
      </c>
      <c r="H95" s="94"/>
      <c r="I95" s="10">
        <f>G95*0.02</f>
        <v>496.58160000000004</v>
      </c>
    </row>
    <row r="96" spans="1:9" ht="18" customHeight="1">
      <c r="A96" s="21"/>
      <c r="B96" s="33" t="s">
        <v>52</v>
      </c>
      <c r="C96" s="29"/>
      <c r="D96" s="36"/>
      <c r="E96" s="29">
        <v>1</v>
      </c>
      <c r="F96" s="29"/>
      <c r="G96" s="29"/>
      <c r="H96" s="29"/>
      <c r="I96" s="24">
        <f>SUM(I91:I95)</f>
        <v>3470.5816</v>
      </c>
    </row>
    <row r="97" spans="1:9">
      <c r="A97" s="21"/>
      <c r="B97" s="35" t="s">
        <v>79</v>
      </c>
      <c r="C97" s="12"/>
      <c r="D97" s="12"/>
      <c r="E97" s="30"/>
      <c r="F97" s="30"/>
      <c r="G97" s="31"/>
      <c r="H97" s="31"/>
      <c r="I97" s="14">
        <v>0</v>
      </c>
    </row>
    <row r="98" spans="1:9">
      <c r="A98" s="37"/>
      <c r="B98" s="34" t="s">
        <v>163</v>
      </c>
      <c r="C98" s="25"/>
      <c r="D98" s="25"/>
      <c r="E98" s="25"/>
      <c r="F98" s="25"/>
      <c r="G98" s="25"/>
      <c r="H98" s="25"/>
      <c r="I98" s="32">
        <f>I89+I96</f>
        <v>75930.853674311104</v>
      </c>
    </row>
    <row r="99" spans="1:9" ht="15.75">
      <c r="A99" s="181" t="s">
        <v>261</v>
      </c>
      <c r="B99" s="181"/>
      <c r="C99" s="181"/>
      <c r="D99" s="181"/>
      <c r="E99" s="181"/>
      <c r="F99" s="181"/>
      <c r="G99" s="181"/>
      <c r="H99" s="181"/>
      <c r="I99" s="181"/>
    </row>
    <row r="100" spans="1:9" ht="15.75">
      <c r="A100" s="43"/>
      <c r="B100" s="182" t="s">
        <v>262</v>
      </c>
      <c r="C100" s="182"/>
      <c r="D100" s="182"/>
      <c r="E100" s="182"/>
      <c r="F100" s="182"/>
      <c r="G100" s="182"/>
      <c r="H100" s="52"/>
      <c r="I100" s="2"/>
    </row>
    <row r="101" spans="1:9">
      <c r="A101" s="150"/>
      <c r="B101" s="183" t="s">
        <v>6</v>
      </c>
      <c r="C101" s="183"/>
      <c r="D101" s="183"/>
      <c r="E101" s="183"/>
      <c r="F101" s="183"/>
      <c r="G101" s="183"/>
      <c r="H101" s="16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>
      <c r="A103" s="184" t="s">
        <v>7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>
      <c r="A104" s="184" t="s">
        <v>8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170" t="s">
        <v>62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15.75">
      <c r="A106" s="8"/>
    </row>
    <row r="107" spans="1:9" ht="15.75">
      <c r="A107" s="186" t="s">
        <v>9</v>
      </c>
      <c r="B107" s="186"/>
      <c r="C107" s="186"/>
      <c r="D107" s="186"/>
      <c r="E107" s="186"/>
      <c r="F107" s="186"/>
      <c r="G107" s="186"/>
      <c r="H107" s="186"/>
      <c r="I107" s="186"/>
    </row>
    <row r="108" spans="1:9" ht="15.75">
      <c r="A108" s="3"/>
    </row>
    <row r="109" spans="1:9" ht="15.75">
      <c r="B109" s="151" t="s">
        <v>10</v>
      </c>
      <c r="C109" s="187" t="s">
        <v>132</v>
      </c>
      <c r="D109" s="187"/>
      <c r="E109" s="187"/>
      <c r="F109" s="50"/>
      <c r="I109" s="149"/>
    </row>
    <row r="110" spans="1:9">
      <c r="A110" s="150"/>
      <c r="C110" s="183" t="s">
        <v>11</v>
      </c>
      <c r="D110" s="183"/>
      <c r="E110" s="183"/>
      <c r="F110" s="16"/>
      <c r="I110" s="148" t="s">
        <v>12</v>
      </c>
    </row>
    <row r="111" spans="1:9" ht="15.75">
      <c r="A111" s="17"/>
      <c r="C111" s="9"/>
      <c r="D111" s="9"/>
      <c r="G111" s="9"/>
      <c r="H111" s="9"/>
    </row>
    <row r="112" spans="1:9" ht="15.75">
      <c r="B112" s="151" t="s">
        <v>13</v>
      </c>
      <c r="C112" s="188"/>
      <c r="D112" s="188"/>
      <c r="E112" s="188"/>
      <c r="F112" s="51"/>
      <c r="I112" s="149"/>
    </row>
    <row r="113" spans="1:9">
      <c r="A113" s="150"/>
      <c r="C113" s="189" t="s">
        <v>11</v>
      </c>
      <c r="D113" s="189"/>
      <c r="E113" s="189"/>
      <c r="F113" s="150"/>
      <c r="I113" s="148" t="s">
        <v>12</v>
      </c>
    </row>
    <row r="114" spans="1:9" ht="15.75">
      <c r="A114" s="3" t="s">
        <v>14</v>
      </c>
    </row>
    <row r="115" spans="1:9">
      <c r="A115" s="190" t="s">
        <v>15</v>
      </c>
      <c r="B115" s="190"/>
      <c r="C115" s="190"/>
      <c r="D115" s="190"/>
      <c r="E115" s="190"/>
      <c r="F115" s="190"/>
      <c r="G115" s="190"/>
      <c r="H115" s="190"/>
      <c r="I115" s="190"/>
    </row>
    <row r="116" spans="1:9" ht="40.5" customHeight="1">
      <c r="A116" s="185" t="s">
        <v>16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3" customHeight="1">
      <c r="A117" s="185" t="s">
        <v>17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21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.75">
      <c r="A119" s="185" t="s">
        <v>20</v>
      </c>
      <c r="B119" s="185"/>
      <c r="C119" s="185"/>
      <c r="D119" s="185"/>
      <c r="E119" s="185"/>
      <c r="F119" s="185"/>
      <c r="G119" s="185"/>
      <c r="H119" s="185"/>
      <c r="I119" s="185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4:I44"/>
    <mergeCell ref="A56:I56"/>
    <mergeCell ref="A86:I86"/>
    <mergeCell ref="A90:I90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31496062992125984" top="0.35433070866141736" bottom="0.35433070866141736" header="0.31496062992125984" footer="0.31496062992125984"/>
  <pageSetup paperSize="9" scale="62" orientation="portrait" horizontalDpi="0" verticalDpi="0" r:id="rId1"/>
  <rowBreaks count="1" manualBreakCount="1">
    <brk id="11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23"/>
  <sheetViews>
    <sheetView view="pageBreakPreview" topLeftCell="A63" zoomScale="60" workbookViewId="0">
      <selection activeCell="K103" sqref="K103"/>
    </sheetView>
  </sheetViews>
  <sheetFormatPr defaultRowHeight="15"/>
  <cols>
    <col min="1" max="1" width="11.7109375" customWidth="1"/>
    <col min="2" max="2" width="49.42578125" customWidth="1"/>
    <col min="3" max="3" width="14.28515625" customWidth="1"/>
    <col min="4" max="4" width="16" customWidth="1"/>
    <col min="5" max="5" width="0" hidden="1" customWidth="1"/>
    <col min="6" max="6" width="12.5703125" hidden="1" customWidth="1"/>
    <col min="7" max="7" width="16.28515625" customWidth="1"/>
    <col min="8" max="8" width="0" hidden="1" customWidth="1"/>
    <col min="9" max="9" width="15.140625" customWidth="1"/>
  </cols>
  <sheetData>
    <row r="1" spans="1:9" ht="15.75">
      <c r="A1" s="19" t="s">
        <v>211</v>
      </c>
      <c r="I1" s="18"/>
    </row>
    <row r="2" spans="1:9" ht="15.75">
      <c r="A2" s="20" t="s">
        <v>63</v>
      </c>
    </row>
    <row r="3" spans="1:9" ht="15.75">
      <c r="A3" s="165" t="s">
        <v>233</v>
      </c>
      <c r="B3" s="165"/>
      <c r="C3" s="165"/>
      <c r="D3" s="165"/>
      <c r="E3" s="165"/>
      <c r="F3" s="165"/>
      <c r="G3" s="165"/>
      <c r="H3" s="165"/>
      <c r="I3" s="165"/>
    </row>
    <row r="4" spans="1:9" ht="34.5" customHeight="1">
      <c r="A4" s="166" t="s">
        <v>131</v>
      </c>
      <c r="B4" s="166"/>
      <c r="C4" s="166"/>
      <c r="D4" s="166"/>
      <c r="E4" s="166"/>
      <c r="F4" s="166"/>
      <c r="G4" s="166"/>
      <c r="H4" s="166"/>
      <c r="I4" s="166"/>
    </row>
    <row r="5" spans="1:9" ht="15.75">
      <c r="A5" s="165" t="s">
        <v>232</v>
      </c>
      <c r="B5" s="167"/>
      <c r="C5" s="167"/>
      <c r="D5" s="167"/>
      <c r="E5" s="167"/>
      <c r="F5" s="167"/>
      <c r="G5" s="167"/>
      <c r="H5" s="167"/>
      <c r="I5" s="167"/>
    </row>
    <row r="6" spans="1:9" ht="15.75">
      <c r="A6" s="1"/>
      <c r="B6" s="155"/>
      <c r="C6" s="155"/>
      <c r="D6" s="155"/>
      <c r="E6" s="155"/>
      <c r="F6" s="155"/>
      <c r="G6" s="155"/>
      <c r="H6" s="155"/>
      <c r="I6" s="22">
        <v>43373</v>
      </c>
    </row>
    <row r="7" spans="1:9" ht="15.75">
      <c r="B7" s="156"/>
      <c r="C7" s="156"/>
      <c r="D7" s="156"/>
      <c r="E7" s="2"/>
      <c r="F7" s="2"/>
      <c r="G7" s="2"/>
      <c r="H7" s="2"/>
    </row>
    <row r="8" spans="1:9" ht="95.25" customHeight="1">
      <c r="A8" s="168" t="s">
        <v>227</v>
      </c>
      <c r="B8" s="168"/>
      <c r="C8" s="168"/>
      <c r="D8" s="168"/>
      <c r="E8" s="168"/>
      <c r="F8" s="168"/>
      <c r="G8" s="168"/>
      <c r="H8" s="168"/>
      <c r="I8" s="168"/>
    </row>
    <row r="9" spans="1:9" ht="15.75">
      <c r="A9" s="3"/>
    </row>
    <row r="10" spans="1:9" ht="74.25" customHeight="1">
      <c r="A10" s="169" t="s">
        <v>168</v>
      </c>
      <c r="B10" s="169"/>
      <c r="C10" s="169"/>
      <c r="D10" s="169"/>
      <c r="E10" s="169"/>
      <c r="F10" s="169"/>
      <c r="G10" s="169"/>
      <c r="H10" s="169"/>
      <c r="I10" s="169"/>
    </row>
    <row r="11" spans="1:9" ht="15.75">
      <c r="A11" s="3"/>
    </row>
    <row r="12" spans="1:9" ht="88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64" t="s">
        <v>60</v>
      </c>
      <c r="B14" s="164"/>
      <c r="C14" s="164"/>
      <c r="D14" s="164"/>
      <c r="E14" s="164"/>
      <c r="F14" s="164"/>
      <c r="G14" s="164"/>
      <c r="H14" s="164"/>
      <c r="I14" s="164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6.5" customHeight="1">
      <c r="A16" s="21">
        <v>1</v>
      </c>
      <c r="B16" s="56" t="s">
        <v>107</v>
      </c>
      <c r="C16" s="57" t="s">
        <v>87</v>
      </c>
      <c r="D16" s="56" t="s">
        <v>148</v>
      </c>
      <c r="E16" s="58">
        <v>43.36</v>
      </c>
      <c r="F16" s="59">
        <f>SUM(E16*156/100)</f>
        <v>67.641599999999997</v>
      </c>
      <c r="G16" s="59">
        <v>230</v>
      </c>
      <c r="H16" s="60">
        <f t="shared" ref="H16:H27" si="0">SUM(F16*G16/1000)</f>
        <v>15.557568</v>
      </c>
      <c r="I16" s="10">
        <f>F16/12*G16</f>
        <v>1296.4639999999999</v>
      </c>
    </row>
    <row r="17" spans="1:9" ht="15.75" customHeight="1">
      <c r="A17" s="21">
        <v>2</v>
      </c>
      <c r="B17" s="56" t="s">
        <v>108</v>
      </c>
      <c r="C17" s="57" t="s">
        <v>87</v>
      </c>
      <c r="D17" s="56" t="s">
        <v>149</v>
      </c>
      <c r="E17" s="58">
        <v>173.44</v>
      </c>
      <c r="F17" s="59">
        <f>SUM(E17*104/100)</f>
        <v>180.37759999999997</v>
      </c>
      <c r="G17" s="59">
        <v>230</v>
      </c>
      <c r="H17" s="60">
        <f t="shared" si="0"/>
        <v>41.486847999999988</v>
      </c>
      <c r="I17" s="10">
        <f>F17/12*G17</f>
        <v>3457.237333333333</v>
      </c>
    </row>
    <row r="18" spans="1:9" ht="15.75" customHeight="1">
      <c r="A18" s="21">
        <v>3</v>
      </c>
      <c r="B18" s="56" t="s">
        <v>109</v>
      </c>
      <c r="C18" s="57" t="s">
        <v>87</v>
      </c>
      <c r="D18" s="56" t="s">
        <v>150</v>
      </c>
      <c r="E18" s="58">
        <f>SUM(E16+E17)</f>
        <v>216.8</v>
      </c>
      <c r="F18" s="59">
        <f>SUM(E18*24/100)</f>
        <v>52.032000000000011</v>
      </c>
      <c r="G18" s="59">
        <v>661.67</v>
      </c>
      <c r="H18" s="60">
        <f t="shared" si="0"/>
        <v>34.428013440000001</v>
      </c>
      <c r="I18" s="10">
        <f>F18/12*G18</f>
        <v>2869.0011200000008</v>
      </c>
    </row>
    <row r="19" spans="1:9" hidden="1">
      <c r="A19" s="21">
        <v>4</v>
      </c>
      <c r="B19" s="56" t="s">
        <v>110</v>
      </c>
      <c r="C19" s="57" t="s">
        <v>111</v>
      </c>
      <c r="D19" s="56" t="s">
        <v>112</v>
      </c>
      <c r="E19" s="58">
        <v>40</v>
      </c>
      <c r="F19" s="59">
        <f>SUM(E19/10)</f>
        <v>4</v>
      </c>
      <c r="G19" s="59">
        <v>223.17</v>
      </c>
      <c r="H19" s="60">
        <f t="shared" si="0"/>
        <v>0.89267999999999992</v>
      </c>
      <c r="I19" s="10">
        <f>4*G19</f>
        <v>892.68</v>
      </c>
    </row>
    <row r="20" spans="1:9" ht="15" customHeight="1">
      <c r="A20" s="21">
        <v>4</v>
      </c>
      <c r="B20" s="56" t="s">
        <v>113</v>
      </c>
      <c r="C20" s="57" t="s">
        <v>87</v>
      </c>
      <c r="D20" s="56" t="s">
        <v>42</v>
      </c>
      <c r="E20" s="58">
        <v>10.5</v>
      </c>
      <c r="F20" s="59">
        <f>SUM(E20*2/100)</f>
        <v>0.21</v>
      </c>
      <c r="G20" s="59">
        <v>285.76</v>
      </c>
      <c r="H20" s="60">
        <f t="shared" si="0"/>
        <v>6.0009599999999996E-2</v>
      </c>
      <c r="I20" s="10">
        <f>0.21/2*G20</f>
        <v>30.004799999999999</v>
      </c>
    </row>
    <row r="21" spans="1:9" ht="15.75" customHeight="1">
      <c r="A21" s="21">
        <v>5</v>
      </c>
      <c r="B21" s="56" t="s">
        <v>114</v>
      </c>
      <c r="C21" s="57" t="s">
        <v>87</v>
      </c>
      <c r="D21" s="56" t="s">
        <v>115</v>
      </c>
      <c r="E21" s="58">
        <v>2.7</v>
      </c>
      <c r="F21" s="59">
        <f>SUM(E21*6/100)</f>
        <v>0.16200000000000003</v>
      </c>
      <c r="G21" s="59">
        <v>283.44</v>
      </c>
      <c r="H21" s="60">
        <f t="shared" si="0"/>
        <v>4.5917280000000012E-2</v>
      </c>
      <c r="I21" s="10">
        <f>F21/6*G21</f>
        <v>7.6528800000000015</v>
      </c>
    </row>
    <row r="22" spans="1:9" hidden="1">
      <c r="A22" s="21">
        <v>7</v>
      </c>
      <c r="B22" s="56" t="s">
        <v>116</v>
      </c>
      <c r="C22" s="57" t="s">
        <v>53</v>
      </c>
      <c r="D22" s="56" t="s">
        <v>112</v>
      </c>
      <c r="E22" s="58">
        <v>357</v>
      </c>
      <c r="F22" s="59">
        <f>SUM(E22/100)</f>
        <v>3.57</v>
      </c>
      <c r="G22" s="59">
        <v>353.14</v>
      </c>
      <c r="H22" s="60">
        <f t="shared" si="0"/>
        <v>1.2607097999999999</v>
      </c>
      <c r="I22" s="10">
        <f>3.57*G22</f>
        <v>1260.7097999999999</v>
      </c>
    </row>
    <row r="23" spans="1:9" hidden="1">
      <c r="A23" s="21">
        <v>8</v>
      </c>
      <c r="B23" s="56" t="s">
        <v>117</v>
      </c>
      <c r="C23" s="57" t="s">
        <v>53</v>
      </c>
      <c r="D23" s="56" t="s">
        <v>112</v>
      </c>
      <c r="E23" s="61">
        <v>38.64</v>
      </c>
      <c r="F23" s="59">
        <f>SUM(E23/100)</f>
        <v>0.38640000000000002</v>
      </c>
      <c r="G23" s="59">
        <v>58.08</v>
      </c>
      <c r="H23" s="60">
        <f t="shared" si="0"/>
        <v>2.2442112E-2</v>
      </c>
      <c r="I23" s="10">
        <f>0.3864*G23</f>
        <v>22.442112000000002</v>
      </c>
    </row>
    <row r="24" spans="1:9" hidden="1">
      <c r="A24" s="21">
        <v>9</v>
      </c>
      <c r="B24" s="56" t="s">
        <v>118</v>
      </c>
      <c r="C24" s="57" t="s">
        <v>53</v>
      </c>
      <c r="D24" s="56" t="s">
        <v>119</v>
      </c>
      <c r="E24" s="58">
        <v>15</v>
      </c>
      <c r="F24" s="59">
        <f>SUM(E24/100)</f>
        <v>0.15</v>
      </c>
      <c r="G24" s="59">
        <v>511.12</v>
      </c>
      <c r="H24" s="60">
        <f t="shared" si="0"/>
        <v>7.6667999999999986E-2</v>
      </c>
      <c r="I24" s="10">
        <f>0.15*G24</f>
        <v>76.667999999999992</v>
      </c>
    </row>
    <row r="25" spans="1:9" hidden="1">
      <c r="A25" s="21">
        <v>10</v>
      </c>
      <c r="B25" s="56" t="s">
        <v>120</v>
      </c>
      <c r="C25" s="57" t="s">
        <v>53</v>
      </c>
      <c r="D25" s="56" t="s">
        <v>112</v>
      </c>
      <c r="E25" s="58">
        <v>6.38</v>
      </c>
      <c r="F25" s="59">
        <f>SUM(E25/100)</f>
        <v>6.3799999999999996E-2</v>
      </c>
      <c r="G25" s="59">
        <v>683.05</v>
      </c>
      <c r="H25" s="60">
        <f t="shared" si="0"/>
        <v>4.3578589999999993E-2</v>
      </c>
      <c r="I25" s="10">
        <f>0.0638*G25</f>
        <v>43.578589999999991</v>
      </c>
    </row>
    <row r="26" spans="1:9" ht="15.75" customHeight="1">
      <c r="A26" s="21">
        <v>6</v>
      </c>
      <c r="B26" s="56" t="s">
        <v>65</v>
      </c>
      <c r="C26" s="57" t="s">
        <v>32</v>
      </c>
      <c r="D26" s="56" t="s">
        <v>151</v>
      </c>
      <c r="E26" s="58">
        <v>0.1</v>
      </c>
      <c r="F26" s="59">
        <f>SUM(E26*182)</f>
        <v>18.2</v>
      </c>
      <c r="G26" s="59">
        <v>264.85000000000002</v>
      </c>
      <c r="H26" s="60">
        <f t="shared" si="0"/>
        <v>4.8202700000000007</v>
      </c>
      <c r="I26" s="10">
        <f>F26/12*G26</f>
        <v>401.68916666666667</v>
      </c>
    </row>
    <row r="27" spans="1:9">
      <c r="A27" s="21">
        <v>7</v>
      </c>
      <c r="B27" s="64" t="s">
        <v>23</v>
      </c>
      <c r="C27" s="57" t="s">
        <v>24</v>
      </c>
      <c r="D27" s="64" t="s">
        <v>139</v>
      </c>
      <c r="E27" s="58">
        <v>2579.4</v>
      </c>
      <c r="F27" s="59">
        <f>SUM(E27*12)</f>
        <v>30952.800000000003</v>
      </c>
      <c r="G27" s="59">
        <v>3.34</v>
      </c>
      <c r="H27" s="60">
        <f t="shared" si="0"/>
        <v>103.382352</v>
      </c>
      <c r="I27" s="10">
        <f>F27/12*G27</f>
        <v>8615.1959999999999</v>
      </c>
    </row>
    <row r="28" spans="1:9">
      <c r="A28" s="172" t="s">
        <v>84</v>
      </c>
      <c r="B28" s="173"/>
      <c r="C28" s="173"/>
      <c r="D28" s="173"/>
      <c r="E28" s="173"/>
      <c r="F28" s="173"/>
      <c r="G28" s="173"/>
      <c r="H28" s="173"/>
      <c r="I28" s="174"/>
    </row>
    <row r="29" spans="1:9" ht="15.75" customHeight="1">
      <c r="A29" s="21"/>
      <c r="B29" s="77" t="s">
        <v>27</v>
      </c>
      <c r="C29" s="57"/>
      <c r="D29" s="56"/>
      <c r="E29" s="58"/>
      <c r="F29" s="59"/>
      <c r="G29" s="59"/>
      <c r="H29" s="60"/>
      <c r="I29" s="10"/>
    </row>
    <row r="30" spans="1:9" ht="18" customHeight="1">
      <c r="A30" s="21">
        <v>8</v>
      </c>
      <c r="B30" s="56" t="s">
        <v>95</v>
      </c>
      <c r="C30" s="57" t="s">
        <v>89</v>
      </c>
      <c r="D30" s="56" t="s">
        <v>152</v>
      </c>
      <c r="E30" s="59">
        <v>124.74</v>
      </c>
      <c r="F30" s="59">
        <f>SUM(E30*52/1000)</f>
        <v>6.4864799999999994</v>
      </c>
      <c r="G30" s="59">
        <v>204.44</v>
      </c>
      <c r="H30" s="60">
        <f t="shared" ref="H30:H35" si="1">SUM(F30*G30/1000)</f>
        <v>1.3260959712</v>
      </c>
      <c r="I30" s="10">
        <f>F30/6*G30</f>
        <v>221.01599519999996</v>
      </c>
    </row>
    <row r="31" spans="1:9" ht="49.5" customHeight="1">
      <c r="A31" s="21">
        <v>9</v>
      </c>
      <c r="B31" s="56" t="s">
        <v>141</v>
      </c>
      <c r="C31" s="57" t="s">
        <v>89</v>
      </c>
      <c r="D31" s="56" t="s">
        <v>153</v>
      </c>
      <c r="E31" s="59">
        <v>31.4</v>
      </c>
      <c r="F31" s="59">
        <f>SUM(E31*52/1000)</f>
        <v>1.6328</v>
      </c>
      <c r="G31" s="59">
        <v>339.21</v>
      </c>
      <c r="H31" s="60">
        <f t="shared" si="1"/>
        <v>0.55386208799999992</v>
      </c>
      <c r="I31" s="10">
        <f t="shared" ref="I31:I33" si="2">F31/6*G31</f>
        <v>92.310347999999991</v>
      </c>
    </row>
    <row r="32" spans="1:9" hidden="1">
      <c r="A32" s="21">
        <v>15</v>
      </c>
      <c r="B32" s="56" t="s">
        <v>26</v>
      </c>
      <c r="C32" s="57" t="s">
        <v>89</v>
      </c>
      <c r="D32" s="56" t="s">
        <v>54</v>
      </c>
      <c r="E32" s="59">
        <v>124.7</v>
      </c>
      <c r="F32" s="59">
        <f>SUM(E32/1000)</f>
        <v>0.12470000000000001</v>
      </c>
      <c r="G32" s="59">
        <v>3961.23</v>
      </c>
      <c r="H32" s="60">
        <f t="shared" si="1"/>
        <v>0.49396538100000004</v>
      </c>
      <c r="I32" s="10">
        <f>0.1247*G32</f>
        <v>493.96538100000004</v>
      </c>
    </row>
    <row r="33" spans="1:9" ht="18" customHeight="1">
      <c r="A33" s="21">
        <v>10</v>
      </c>
      <c r="B33" s="56" t="s">
        <v>94</v>
      </c>
      <c r="C33" s="57" t="s">
        <v>30</v>
      </c>
      <c r="D33" s="56" t="s">
        <v>64</v>
      </c>
      <c r="E33" s="63">
        <f>1/3</f>
        <v>0.33333333333333331</v>
      </c>
      <c r="F33" s="59">
        <f>155/3</f>
        <v>51.666666666666664</v>
      </c>
      <c r="G33" s="59">
        <v>74.349999999999994</v>
      </c>
      <c r="H33" s="60">
        <f t="shared" si="1"/>
        <v>3.841416666666666</v>
      </c>
      <c r="I33" s="10">
        <f t="shared" si="2"/>
        <v>640.23611111111109</v>
      </c>
    </row>
    <row r="34" spans="1:9" ht="30" hidden="1">
      <c r="A34" s="21"/>
      <c r="B34" s="56" t="s">
        <v>66</v>
      </c>
      <c r="C34" s="57" t="s">
        <v>32</v>
      </c>
      <c r="D34" s="56" t="s">
        <v>68</v>
      </c>
      <c r="E34" s="58"/>
      <c r="F34" s="59">
        <v>2</v>
      </c>
      <c r="G34" s="59">
        <v>250.92</v>
      </c>
      <c r="H34" s="60">
        <f t="shared" si="1"/>
        <v>0.50183999999999995</v>
      </c>
      <c r="I34" s="10">
        <v>0</v>
      </c>
    </row>
    <row r="35" spans="1:9" ht="30" hidden="1">
      <c r="A35" s="21"/>
      <c r="B35" s="56" t="s">
        <v>67</v>
      </c>
      <c r="C35" s="57" t="s">
        <v>31</v>
      </c>
      <c r="D35" s="56" t="s">
        <v>68</v>
      </c>
      <c r="E35" s="58"/>
      <c r="F35" s="59">
        <v>1</v>
      </c>
      <c r="G35" s="59">
        <v>1490.31</v>
      </c>
      <c r="H35" s="60">
        <f t="shared" si="1"/>
        <v>1.49031</v>
      </c>
      <c r="I35" s="10">
        <v>0</v>
      </c>
    </row>
    <row r="36" spans="1:9" hidden="1">
      <c r="A36" s="21"/>
      <c r="B36" s="77" t="s">
        <v>5</v>
      </c>
      <c r="C36" s="57"/>
      <c r="D36" s="56"/>
      <c r="E36" s="58"/>
      <c r="F36" s="59"/>
      <c r="G36" s="59"/>
      <c r="H36" s="60" t="s">
        <v>139</v>
      </c>
      <c r="I36" s="10"/>
    </row>
    <row r="37" spans="1:9" hidden="1">
      <c r="A37" s="21">
        <v>6</v>
      </c>
      <c r="B37" s="56" t="s">
        <v>25</v>
      </c>
      <c r="C37" s="57" t="s">
        <v>31</v>
      </c>
      <c r="D37" s="56"/>
      <c r="E37" s="58"/>
      <c r="F37" s="59">
        <v>6</v>
      </c>
      <c r="G37" s="59">
        <v>2003</v>
      </c>
      <c r="H37" s="60">
        <f>SUM(F37*G37/1000)</f>
        <v>12.018000000000001</v>
      </c>
      <c r="I37" s="10">
        <f>F37/6*G37</f>
        <v>2003</v>
      </c>
    </row>
    <row r="38" spans="1:9" hidden="1">
      <c r="A38" s="21">
        <v>7</v>
      </c>
      <c r="B38" s="56" t="s">
        <v>69</v>
      </c>
      <c r="C38" s="57" t="s">
        <v>28</v>
      </c>
      <c r="D38" s="56" t="s">
        <v>104</v>
      </c>
      <c r="E38" s="59">
        <v>26.07</v>
      </c>
      <c r="F38" s="59">
        <f>SUM(E38*30/1000)</f>
        <v>0.78210000000000002</v>
      </c>
      <c r="G38" s="59">
        <v>2757.78</v>
      </c>
      <c r="H38" s="60">
        <f t="shared" ref="H38:H43" si="3">SUM(F38*G38/1000)</f>
        <v>2.1568597380000001</v>
      </c>
      <c r="I38" s="10">
        <f t="shared" ref="I38:I41" si="4">F38/6*G38</f>
        <v>359.47662300000002</v>
      </c>
    </row>
    <row r="39" spans="1:9" ht="30" hidden="1">
      <c r="A39" s="21">
        <v>8</v>
      </c>
      <c r="B39" s="56" t="s">
        <v>70</v>
      </c>
      <c r="C39" s="57" t="s">
        <v>28</v>
      </c>
      <c r="D39" s="56" t="s">
        <v>88</v>
      </c>
      <c r="E39" s="59">
        <v>31.4</v>
      </c>
      <c r="F39" s="59">
        <f>SUM(E39*155/1000)</f>
        <v>4.867</v>
      </c>
      <c r="G39" s="59">
        <v>460.02</v>
      </c>
      <c r="H39" s="60">
        <f t="shared" si="3"/>
        <v>2.23891734</v>
      </c>
      <c r="I39" s="10">
        <f t="shared" si="4"/>
        <v>373.15289000000001</v>
      </c>
    </row>
    <row r="40" spans="1:9" hidden="1">
      <c r="A40" s="21">
        <v>9</v>
      </c>
      <c r="B40" s="56" t="s">
        <v>121</v>
      </c>
      <c r="C40" s="57" t="s">
        <v>55</v>
      </c>
      <c r="D40" s="131" t="s">
        <v>185</v>
      </c>
      <c r="E40" s="58"/>
      <c r="F40" s="59">
        <v>110</v>
      </c>
      <c r="G40" s="59">
        <v>314</v>
      </c>
      <c r="H40" s="60">
        <f t="shared" si="3"/>
        <v>34.54</v>
      </c>
      <c r="I40" s="10">
        <f>G40*65</f>
        <v>20410</v>
      </c>
    </row>
    <row r="41" spans="1:9" ht="60" hidden="1">
      <c r="A41" s="21">
        <v>10</v>
      </c>
      <c r="B41" s="56" t="s">
        <v>83</v>
      </c>
      <c r="C41" s="57" t="s">
        <v>89</v>
      </c>
      <c r="D41" s="56" t="s">
        <v>104</v>
      </c>
      <c r="E41" s="59">
        <v>26.07</v>
      </c>
      <c r="F41" s="59">
        <f>SUM(E41*30/1000)</f>
        <v>0.78210000000000002</v>
      </c>
      <c r="G41" s="59">
        <v>7611.16</v>
      </c>
      <c r="H41" s="60">
        <f t="shared" si="3"/>
        <v>5.9526882360000002</v>
      </c>
      <c r="I41" s="10">
        <f t="shared" si="4"/>
        <v>992.11470599999996</v>
      </c>
    </row>
    <row r="42" spans="1:9" hidden="1">
      <c r="A42" s="21">
        <v>11</v>
      </c>
      <c r="B42" s="56" t="s">
        <v>90</v>
      </c>
      <c r="C42" s="57" t="s">
        <v>89</v>
      </c>
      <c r="D42" s="56" t="s">
        <v>154</v>
      </c>
      <c r="E42" s="59">
        <v>26.07</v>
      </c>
      <c r="F42" s="59">
        <f>SUM(E42*24/1000)</f>
        <v>0.62568000000000001</v>
      </c>
      <c r="G42" s="59">
        <v>562.25</v>
      </c>
      <c r="H42" s="60">
        <f t="shared" si="3"/>
        <v>0.35178858000000002</v>
      </c>
      <c r="I42" s="10">
        <f>(F42/7.5*1.5)*G42</f>
        <v>70.357715999999996</v>
      </c>
    </row>
    <row r="43" spans="1:9" hidden="1">
      <c r="A43" s="21">
        <v>12</v>
      </c>
      <c r="B43" s="56" t="s">
        <v>71</v>
      </c>
      <c r="C43" s="57" t="s">
        <v>32</v>
      </c>
      <c r="D43" s="56"/>
      <c r="E43" s="58"/>
      <c r="F43" s="59">
        <v>0.3</v>
      </c>
      <c r="G43" s="59">
        <v>974.83</v>
      </c>
      <c r="H43" s="60">
        <f t="shared" si="3"/>
        <v>0.29244900000000001</v>
      </c>
      <c r="I43" s="10">
        <f>(F43/7.5*1.5)*G43</f>
        <v>58.489800000000002</v>
      </c>
    </row>
    <row r="44" spans="1:9">
      <c r="A44" s="172" t="s">
        <v>133</v>
      </c>
      <c r="B44" s="173"/>
      <c r="C44" s="173"/>
      <c r="D44" s="173"/>
      <c r="E44" s="173"/>
      <c r="F44" s="173"/>
      <c r="G44" s="173"/>
      <c r="H44" s="173"/>
      <c r="I44" s="174"/>
    </row>
    <row r="45" spans="1:9" ht="15.75" customHeight="1">
      <c r="A45" s="21">
        <v>11</v>
      </c>
      <c r="B45" s="56" t="s">
        <v>96</v>
      </c>
      <c r="C45" s="57" t="s">
        <v>89</v>
      </c>
      <c r="D45" s="56" t="s">
        <v>42</v>
      </c>
      <c r="E45" s="58">
        <v>1109.4000000000001</v>
      </c>
      <c r="F45" s="59">
        <f>SUM(E45*2/1000)</f>
        <v>2.2188000000000003</v>
      </c>
      <c r="G45" s="10">
        <v>1172.4100000000001</v>
      </c>
      <c r="H45" s="60">
        <f t="shared" ref="H45:H55" si="5">SUM(F45*G45/1000)</f>
        <v>2.6013433080000006</v>
      </c>
      <c r="I45" s="10">
        <f>1.1094*G45</f>
        <v>1300.671654</v>
      </c>
    </row>
    <row r="46" spans="1:9" ht="15" customHeight="1">
      <c r="A46" s="21">
        <v>12</v>
      </c>
      <c r="B46" s="56" t="s">
        <v>35</v>
      </c>
      <c r="C46" s="57" t="s">
        <v>89</v>
      </c>
      <c r="D46" s="56" t="s">
        <v>42</v>
      </c>
      <c r="E46" s="58">
        <v>66</v>
      </c>
      <c r="F46" s="59">
        <f>SUM(E46*2/1000)</f>
        <v>0.13200000000000001</v>
      </c>
      <c r="G46" s="10">
        <v>4419.05</v>
      </c>
      <c r="H46" s="60">
        <f t="shared" si="5"/>
        <v>0.58331460000000002</v>
      </c>
      <c r="I46" s="10">
        <f>0.066*G46</f>
        <v>291.65730000000002</v>
      </c>
    </row>
    <row r="47" spans="1:9" ht="14.25" customHeight="1">
      <c r="A47" s="21">
        <v>13</v>
      </c>
      <c r="B47" s="56" t="s">
        <v>36</v>
      </c>
      <c r="C47" s="57" t="s">
        <v>89</v>
      </c>
      <c r="D47" s="56" t="s">
        <v>42</v>
      </c>
      <c r="E47" s="58">
        <v>1563.2750000000001</v>
      </c>
      <c r="F47" s="59">
        <f>SUM(E47*2/1000)</f>
        <v>3.1265500000000004</v>
      </c>
      <c r="G47" s="10">
        <v>1803.69</v>
      </c>
      <c r="H47" s="60">
        <f t="shared" si="5"/>
        <v>5.6393269695000008</v>
      </c>
      <c r="I47" s="10">
        <f>3.12655/2*G47</f>
        <v>2819.66348475</v>
      </c>
    </row>
    <row r="48" spans="1:9" ht="17.25" customHeight="1">
      <c r="A48" s="21">
        <v>14</v>
      </c>
      <c r="B48" s="56" t="s">
        <v>37</v>
      </c>
      <c r="C48" s="57" t="s">
        <v>89</v>
      </c>
      <c r="D48" s="56" t="s">
        <v>42</v>
      </c>
      <c r="E48" s="58">
        <v>1619.6</v>
      </c>
      <c r="F48" s="59">
        <f>SUM(E48*2/1000)</f>
        <v>3.2391999999999999</v>
      </c>
      <c r="G48" s="10">
        <v>1243.43</v>
      </c>
      <c r="H48" s="60">
        <f t="shared" si="5"/>
        <v>4.0277184559999997</v>
      </c>
      <c r="I48" s="10">
        <f>3.2392/2*G48</f>
        <v>2013.859228</v>
      </c>
    </row>
    <row r="49" spans="1:9" ht="15.75" customHeight="1">
      <c r="A49" s="21">
        <v>15</v>
      </c>
      <c r="B49" s="56" t="s">
        <v>33</v>
      </c>
      <c r="C49" s="57" t="s">
        <v>34</v>
      </c>
      <c r="D49" s="56" t="s">
        <v>42</v>
      </c>
      <c r="E49" s="58">
        <v>85.84</v>
      </c>
      <c r="F49" s="59">
        <f>SUM(E49*2/100)</f>
        <v>1.7168000000000001</v>
      </c>
      <c r="G49" s="10">
        <v>1352.76</v>
      </c>
      <c r="H49" s="60">
        <f t="shared" si="5"/>
        <v>2.3224183680000001</v>
      </c>
      <c r="I49" s="10">
        <f>1.7168/2*G49</f>
        <v>1161.2091840000001</v>
      </c>
    </row>
    <row r="50" spans="1:9" ht="17.25" customHeight="1">
      <c r="A50" s="21">
        <v>16</v>
      </c>
      <c r="B50" s="56" t="s">
        <v>57</v>
      </c>
      <c r="C50" s="57" t="s">
        <v>89</v>
      </c>
      <c r="D50" s="56" t="s">
        <v>142</v>
      </c>
      <c r="E50" s="58">
        <v>2579.4</v>
      </c>
      <c r="F50" s="59">
        <f>SUM(E50*5/1000)</f>
        <v>12.897</v>
      </c>
      <c r="G50" s="10">
        <v>1803.69</v>
      </c>
      <c r="H50" s="60">
        <f t="shared" si="5"/>
        <v>23.262189930000002</v>
      </c>
      <c r="I50" s="10">
        <f>F50/5*G50</f>
        <v>4652.4379860000008</v>
      </c>
    </row>
    <row r="51" spans="1:9" ht="45" hidden="1">
      <c r="A51" s="21">
        <v>23</v>
      </c>
      <c r="B51" s="56" t="s">
        <v>91</v>
      </c>
      <c r="C51" s="57" t="s">
        <v>89</v>
      </c>
      <c r="D51" s="56" t="s">
        <v>42</v>
      </c>
      <c r="E51" s="58">
        <v>2579.4</v>
      </c>
      <c r="F51" s="59">
        <f>SUM(E51*2/1000)</f>
        <v>5.1588000000000003</v>
      </c>
      <c r="G51" s="10">
        <v>1591.6</v>
      </c>
      <c r="H51" s="60">
        <f t="shared" si="5"/>
        <v>8.2107460800000016</v>
      </c>
      <c r="I51" s="10">
        <f>F51/2*G51</f>
        <v>4105.3730400000004</v>
      </c>
    </row>
    <row r="52" spans="1:9" ht="30" hidden="1">
      <c r="A52" s="21">
        <v>24</v>
      </c>
      <c r="B52" s="56" t="s">
        <v>92</v>
      </c>
      <c r="C52" s="57" t="s">
        <v>38</v>
      </c>
      <c r="D52" s="56" t="s">
        <v>42</v>
      </c>
      <c r="E52" s="58">
        <v>20</v>
      </c>
      <c r="F52" s="59">
        <f>SUM(E52*2/100)</f>
        <v>0.4</v>
      </c>
      <c r="G52" s="10">
        <v>4058.32</v>
      </c>
      <c r="H52" s="60">
        <f t="shared" si="5"/>
        <v>1.6233280000000001</v>
      </c>
      <c r="I52" s="10">
        <f t="shared" ref="I52:I53" si="6">F52/2*G52</f>
        <v>811.6640000000001</v>
      </c>
    </row>
    <row r="53" spans="1:9" hidden="1">
      <c r="A53" s="21">
        <v>25</v>
      </c>
      <c r="B53" s="56" t="s">
        <v>39</v>
      </c>
      <c r="C53" s="57" t="s">
        <v>40</v>
      </c>
      <c r="D53" s="56" t="s">
        <v>42</v>
      </c>
      <c r="E53" s="58">
        <v>1</v>
      </c>
      <c r="F53" s="59">
        <v>0.02</v>
      </c>
      <c r="G53" s="10">
        <v>7412.92</v>
      </c>
      <c r="H53" s="60">
        <f t="shared" si="5"/>
        <v>0.14825839999999998</v>
      </c>
      <c r="I53" s="10">
        <f t="shared" si="6"/>
        <v>74.129199999999997</v>
      </c>
    </row>
    <row r="54" spans="1:9" ht="18" customHeight="1">
      <c r="A54" s="21">
        <v>17</v>
      </c>
      <c r="B54" s="56" t="s">
        <v>102</v>
      </c>
      <c r="C54" s="57" t="s">
        <v>97</v>
      </c>
      <c r="D54" s="56" t="s">
        <v>72</v>
      </c>
      <c r="E54" s="58">
        <v>62</v>
      </c>
      <c r="F54" s="59">
        <f>SUM(E54*3)</f>
        <v>186</v>
      </c>
      <c r="G54" s="10">
        <v>185.08</v>
      </c>
      <c r="H54" s="60">
        <f t="shared" si="5"/>
        <v>34.424880000000002</v>
      </c>
      <c r="I54" s="10">
        <f>F54/3*G54</f>
        <v>11474.960000000001</v>
      </c>
    </row>
    <row r="55" spans="1:9" ht="17.25" customHeight="1">
      <c r="A55" s="79">
        <v>18</v>
      </c>
      <c r="B55" s="66" t="s">
        <v>41</v>
      </c>
      <c r="C55" s="65" t="s">
        <v>97</v>
      </c>
      <c r="D55" s="66" t="s">
        <v>72</v>
      </c>
      <c r="E55" s="67">
        <v>124</v>
      </c>
      <c r="F55" s="68">
        <f>SUM(E55)*3</f>
        <v>372</v>
      </c>
      <c r="G55" s="80">
        <v>86.15</v>
      </c>
      <c r="H55" s="69">
        <f t="shared" si="5"/>
        <v>32.047800000000002</v>
      </c>
      <c r="I55" s="10">
        <f>F55/3*G55</f>
        <v>10682.6</v>
      </c>
    </row>
    <row r="56" spans="1:9">
      <c r="A56" s="175" t="s">
        <v>136</v>
      </c>
      <c r="B56" s="176"/>
      <c r="C56" s="176"/>
      <c r="D56" s="176"/>
      <c r="E56" s="176"/>
      <c r="F56" s="176"/>
      <c r="G56" s="176"/>
      <c r="H56" s="176"/>
      <c r="I56" s="177"/>
    </row>
    <row r="57" spans="1:9" hidden="1">
      <c r="A57" s="81"/>
      <c r="B57" s="82" t="s">
        <v>43</v>
      </c>
      <c r="C57" s="83"/>
      <c r="D57" s="84"/>
      <c r="E57" s="85"/>
      <c r="F57" s="86"/>
      <c r="G57" s="86"/>
      <c r="H57" s="87"/>
      <c r="I57" s="88"/>
    </row>
    <row r="58" spans="1:9" ht="30" hidden="1">
      <c r="A58" s="21">
        <v>13</v>
      </c>
      <c r="B58" s="56" t="s">
        <v>105</v>
      </c>
      <c r="C58" s="57" t="s">
        <v>87</v>
      </c>
      <c r="D58" s="56" t="s">
        <v>122</v>
      </c>
      <c r="E58" s="58">
        <v>126.94</v>
      </c>
      <c r="F58" s="59">
        <f>SUM(E58*6/100)</f>
        <v>7.6163999999999996</v>
      </c>
      <c r="G58" s="10">
        <v>2029.3</v>
      </c>
      <c r="H58" s="60">
        <f>SUM(F58*G58/1000)</f>
        <v>15.455960519999998</v>
      </c>
      <c r="I58" s="10">
        <f t="shared" ref="I58:I59" si="7">F58/6*G58</f>
        <v>2575.9934199999998</v>
      </c>
    </row>
    <row r="59" spans="1:9" ht="45" hidden="1">
      <c r="A59" s="21">
        <v>13</v>
      </c>
      <c r="B59" s="56" t="s">
        <v>80</v>
      </c>
      <c r="C59" s="57" t="s">
        <v>87</v>
      </c>
      <c r="D59" s="56" t="s">
        <v>29</v>
      </c>
      <c r="E59" s="15">
        <v>19.899999999999999</v>
      </c>
      <c r="F59" s="59">
        <f>SUM(E59*6/100)</f>
        <v>1.194</v>
      </c>
      <c r="G59" s="59">
        <v>2029.3</v>
      </c>
      <c r="H59" s="60">
        <f t="shared" ref="H59:H60" si="8">SUM(F59*G59/1000)</f>
        <v>2.4229841999999997</v>
      </c>
      <c r="I59" s="10">
        <f t="shared" si="7"/>
        <v>403.83069999999998</v>
      </c>
    </row>
    <row r="60" spans="1:9" hidden="1">
      <c r="A60" s="21">
        <v>9</v>
      </c>
      <c r="B60" s="66" t="s">
        <v>128</v>
      </c>
      <c r="C60" s="65" t="s">
        <v>129</v>
      </c>
      <c r="D60" s="132"/>
      <c r="E60" s="89"/>
      <c r="F60" s="68">
        <v>3</v>
      </c>
      <c r="G60" s="59">
        <v>1582.05</v>
      </c>
      <c r="H60" s="60">
        <f t="shared" si="8"/>
        <v>4.7461499999999992</v>
      </c>
      <c r="I60" s="10">
        <f>G60*1</f>
        <v>1582.05</v>
      </c>
    </row>
    <row r="61" spans="1:9" hidden="1">
      <c r="A61" s="21"/>
      <c r="B61" s="78" t="s">
        <v>44</v>
      </c>
      <c r="C61" s="65"/>
      <c r="D61" s="66"/>
      <c r="E61" s="67"/>
      <c r="F61" s="68"/>
      <c r="G61" s="49"/>
      <c r="H61" s="69"/>
      <c r="I61" s="88"/>
    </row>
    <row r="62" spans="1:9" hidden="1">
      <c r="A62" s="21"/>
      <c r="B62" s="66" t="s">
        <v>45</v>
      </c>
      <c r="C62" s="65" t="s">
        <v>87</v>
      </c>
      <c r="D62" s="66" t="s">
        <v>54</v>
      </c>
      <c r="E62" s="67">
        <v>450</v>
      </c>
      <c r="F62" s="59">
        <f>SUM(E62/100)</f>
        <v>4.5</v>
      </c>
      <c r="G62" s="10">
        <v>1040.8399999999999</v>
      </c>
      <c r="H62" s="70">
        <v>7.6349999999999998</v>
      </c>
      <c r="I62" s="10">
        <v>0</v>
      </c>
    </row>
    <row r="63" spans="1:9" ht="17.25" customHeight="1">
      <c r="A63" s="21"/>
      <c r="B63" s="78" t="s">
        <v>46</v>
      </c>
      <c r="C63" s="65"/>
      <c r="D63" s="66"/>
      <c r="E63" s="67"/>
      <c r="F63" s="68"/>
      <c r="G63" s="71"/>
      <c r="H63" s="69" t="s">
        <v>139</v>
      </c>
      <c r="I63" s="10"/>
    </row>
    <row r="64" spans="1:9" ht="30" hidden="1">
      <c r="A64" s="21">
        <v>16</v>
      </c>
      <c r="B64" s="11" t="s">
        <v>47</v>
      </c>
      <c r="C64" s="13" t="s">
        <v>97</v>
      </c>
      <c r="D64" s="11" t="s">
        <v>68</v>
      </c>
      <c r="E64" s="15">
        <v>5</v>
      </c>
      <c r="F64" s="59">
        <f>E64</f>
        <v>5</v>
      </c>
      <c r="G64" s="10">
        <v>291.68</v>
      </c>
      <c r="H64" s="55">
        <f t="shared" ref="H64:H71" si="9">SUM(F64*G64/1000)</f>
        <v>1.4584000000000001</v>
      </c>
      <c r="I64" s="10">
        <f>G64</f>
        <v>291.68</v>
      </c>
    </row>
    <row r="65" spans="1:9" ht="30" hidden="1">
      <c r="A65" s="21"/>
      <c r="B65" s="11" t="s">
        <v>48</v>
      </c>
      <c r="C65" s="13" t="s">
        <v>97</v>
      </c>
      <c r="D65" s="11" t="s">
        <v>68</v>
      </c>
      <c r="E65" s="15">
        <v>2</v>
      </c>
      <c r="F65" s="59">
        <f>E65</f>
        <v>2</v>
      </c>
      <c r="G65" s="10">
        <v>100.01</v>
      </c>
      <c r="H65" s="55">
        <f t="shared" si="9"/>
        <v>0.20002</v>
      </c>
      <c r="I65" s="10">
        <v>0</v>
      </c>
    </row>
    <row r="66" spans="1:9" hidden="1">
      <c r="A66" s="21">
        <v>28</v>
      </c>
      <c r="B66" s="11" t="s">
        <v>49</v>
      </c>
      <c r="C66" s="13" t="s">
        <v>98</v>
      </c>
      <c r="D66" s="11" t="s">
        <v>54</v>
      </c>
      <c r="E66" s="58">
        <v>13313</v>
      </c>
      <c r="F66" s="10">
        <f>SUM(E66/100)</f>
        <v>133.13</v>
      </c>
      <c r="G66" s="10">
        <v>278.24</v>
      </c>
      <c r="H66" s="55">
        <f t="shared" si="9"/>
        <v>37.042091200000002</v>
      </c>
      <c r="I66" s="10">
        <f>133.13*G66</f>
        <v>37042.091200000003</v>
      </c>
    </row>
    <row r="67" spans="1:9" hidden="1">
      <c r="A67" s="21">
        <v>29</v>
      </c>
      <c r="B67" s="11" t="s">
        <v>50</v>
      </c>
      <c r="C67" s="13" t="s">
        <v>99</v>
      </c>
      <c r="D67" s="11"/>
      <c r="E67" s="58">
        <v>13313</v>
      </c>
      <c r="F67" s="10">
        <f>SUM(E67/1000)</f>
        <v>13.313000000000001</v>
      </c>
      <c r="G67" s="10">
        <v>216.68</v>
      </c>
      <c r="H67" s="55">
        <f t="shared" si="9"/>
        <v>2.88466084</v>
      </c>
      <c r="I67" s="10">
        <f>13.313*G67</f>
        <v>2884.66084</v>
      </c>
    </row>
    <row r="68" spans="1:9" hidden="1">
      <c r="A68" s="21">
        <v>30</v>
      </c>
      <c r="B68" s="11" t="s">
        <v>51</v>
      </c>
      <c r="C68" s="13" t="s">
        <v>77</v>
      </c>
      <c r="D68" s="11" t="s">
        <v>54</v>
      </c>
      <c r="E68" s="58">
        <v>2184</v>
      </c>
      <c r="F68" s="10">
        <f>SUM(E68/100)</f>
        <v>21.84</v>
      </c>
      <c r="G68" s="10">
        <v>2720.94</v>
      </c>
      <c r="H68" s="55">
        <f t="shared" si="9"/>
        <v>59.425329599999998</v>
      </c>
      <c r="I68" s="10">
        <f>21.84*G68</f>
        <v>59425.329599999997</v>
      </c>
    </row>
    <row r="69" spans="1:9" hidden="1">
      <c r="A69" s="21">
        <v>31</v>
      </c>
      <c r="B69" s="72" t="s">
        <v>100</v>
      </c>
      <c r="C69" s="13" t="s">
        <v>32</v>
      </c>
      <c r="D69" s="11"/>
      <c r="E69" s="58">
        <v>12.2</v>
      </c>
      <c r="F69" s="10">
        <f>SUM(E69)</f>
        <v>12.2</v>
      </c>
      <c r="G69" s="10">
        <v>42.61</v>
      </c>
      <c r="H69" s="55">
        <f t="shared" si="9"/>
        <v>0.51984200000000003</v>
      </c>
      <c r="I69" s="10">
        <f>12.2*G69</f>
        <v>519.84199999999998</v>
      </c>
    </row>
    <row r="70" spans="1:9" hidden="1">
      <c r="A70" s="21">
        <v>32</v>
      </c>
      <c r="B70" s="72" t="s">
        <v>140</v>
      </c>
      <c r="C70" s="13" t="s">
        <v>32</v>
      </c>
      <c r="D70" s="11"/>
      <c r="E70" s="58">
        <v>12.2</v>
      </c>
      <c r="F70" s="10">
        <f>SUM(E70)</f>
        <v>12.2</v>
      </c>
      <c r="G70" s="10">
        <v>46.04</v>
      </c>
      <c r="H70" s="55">
        <f t="shared" si="9"/>
        <v>0.56168799999999997</v>
      </c>
      <c r="I70" s="10">
        <f>12.2*G70</f>
        <v>561.68799999999999</v>
      </c>
    </row>
    <row r="71" spans="1:9" ht="17.25" customHeight="1">
      <c r="A71" s="21">
        <v>19</v>
      </c>
      <c r="B71" s="11" t="s">
        <v>58</v>
      </c>
      <c r="C71" s="13" t="s">
        <v>59</v>
      </c>
      <c r="D71" s="11" t="s">
        <v>54</v>
      </c>
      <c r="E71" s="15">
        <v>3</v>
      </c>
      <c r="F71" s="59">
        <v>3</v>
      </c>
      <c r="G71" s="10">
        <v>65.42</v>
      </c>
      <c r="H71" s="55">
        <f t="shared" si="9"/>
        <v>0.19625999999999999</v>
      </c>
      <c r="I71" s="10">
        <f>G71*F71</f>
        <v>196.26</v>
      </c>
    </row>
    <row r="72" spans="1:9" ht="15" customHeight="1">
      <c r="A72" s="21"/>
      <c r="B72" s="154" t="s">
        <v>73</v>
      </c>
      <c r="C72" s="13"/>
      <c r="D72" s="11"/>
      <c r="E72" s="15"/>
      <c r="F72" s="10"/>
      <c r="G72" s="10"/>
      <c r="H72" s="55" t="s">
        <v>139</v>
      </c>
      <c r="I72" s="10"/>
    </row>
    <row r="73" spans="1:9" ht="30" hidden="1">
      <c r="A73" s="21"/>
      <c r="B73" s="11" t="s">
        <v>123</v>
      </c>
      <c r="C73" s="13" t="s">
        <v>97</v>
      </c>
      <c r="D73" s="11" t="s">
        <v>68</v>
      </c>
      <c r="E73" s="15">
        <v>1</v>
      </c>
      <c r="F73" s="10">
        <v>1</v>
      </c>
      <c r="G73" s="10">
        <v>1029.1199999999999</v>
      </c>
      <c r="H73" s="55">
        <f t="shared" ref="H73:H76" si="10">SUM(F73*G73/1000)</f>
        <v>1.0291199999999998</v>
      </c>
      <c r="I73" s="10">
        <v>0</v>
      </c>
    </row>
    <row r="74" spans="1:9" hidden="1">
      <c r="A74" s="21"/>
      <c r="B74" s="11" t="s">
        <v>124</v>
      </c>
      <c r="C74" s="13" t="s">
        <v>125</v>
      </c>
      <c r="D74" s="11"/>
      <c r="E74" s="15">
        <v>1</v>
      </c>
      <c r="F74" s="10">
        <f>E74</f>
        <v>1</v>
      </c>
      <c r="G74" s="10">
        <v>735</v>
      </c>
      <c r="H74" s="55">
        <f t="shared" si="10"/>
        <v>0.73499999999999999</v>
      </c>
      <c r="I74" s="10">
        <v>0</v>
      </c>
    </row>
    <row r="75" spans="1:9" ht="30" hidden="1">
      <c r="A75" s="21"/>
      <c r="B75" s="11" t="s">
        <v>74</v>
      </c>
      <c r="C75" s="13" t="s">
        <v>75</v>
      </c>
      <c r="D75" s="11" t="s">
        <v>68</v>
      </c>
      <c r="E75" s="15">
        <v>3</v>
      </c>
      <c r="F75" s="10">
        <v>0.2</v>
      </c>
      <c r="G75" s="10">
        <v>657.87</v>
      </c>
      <c r="H75" s="55">
        <f t="shared" si="10"/>
        <v>0.13157400000000002</v>
      </c>
      <c r="I75" s="10">
        <v>0</v>
      </c>
    </row>
    <row r="76" spans="1:9" ht="30" hidden="1">
      <c r="A76" s="21"/>
      <c r="B76" s="11" t="s">
        <v>126</v>
      </c>
      <c r="C76" s="13" t="s">
        <v>97</v>
      </c>
      <c r="D76" s="11" t="s">
        <v>68</v>
      </c>
      <c r="E76" s="15">
        <v>1</v>
      </c>
      <c r="F76" s="59">
        <f>SUM(E76)</f>
        <v>1</v>
      </c>
      <c r="G76" s="10">
        <v>1118.72</v>
      </c>
      <c r="H76" s="55">
        <f t="shared" si="10"/>
        <v>1.1187199999999999</v>
      </c>
      <c r="I76" s="10">
        <v>0</v>
      </c>
    </row>
    <row r="77" spans="1:9" ht="30" hidden="1">
      <c r="A77" s="21"/>
      <c r="B77" s="39" t="s">
        <v>155</v>
      </c>
      <c r="C77" s="40" t="s">
        <v>97</v>
      </c>
      <c r="D77" s="11" t="s">
        <v>68</v>
      </c>
      <c r="E77" s="15">
        <v>1</v>
      </c>
      <c r="F77" s="49">
        <v>1</v>
      </c>
      <c r="G77" s="10">
        <v>1605.83</v>
      </c>
      <c r="H77" s="55">
        <f>SUM(F77*G77/1000)</f>
        <v>1.6058299999999999</v>
      </c>
      <c r="I77" s="10">
        <v>0</v>
      </c>
    </row>
    <row r="78" spans="1:9" ht="32.25" customHeight="1">
      <c r="A78" s="21">
        <v>20</v>
      </c>
      <c r="B78" s="39" t="s">
        <v>156</v>
      </c>
      <c r="C78" s="40" t="s">
        <v>97</v>
      </c>
      <c r="D78" s="11" t="s">
        <v>29</v>
      </c>
      <c r="E78" s="15">
        <v>1</v>
      </c>
      <c r="F78" s="59">
        <v>12</v>
      </c>
      <c r="G78" s="10">
        <v>53.42</v>
      </c>
      <c r="H78" s="55">
        <f t="shared" ref="H78" si="11">SUM(F78*G78/1000)</f>
        <v>0.64103999999999994</v>
      </c>
      <c r="I78" s="10">
        <f>G78*1</f>
        <v>53.42</v>
      </c>
    </row>
    <row r="79" spans="1:9" hidden="1">
      <c r="A79" s="21"/>
      <c r="B79" s="74" t="s">
        <v>76</v>
      </c>
      <c r="C79" s="13"/>
      <c r="D79" s="11"/>
      <c r="E79" s="15"/>
      <c r="F79" s="10"/>
      <c r="G79" s="10" t="s">
        <v>139</v>
      </c>
      <c r="H79" s="55" t="s">
        <v>139</v>
      </c>
      <c r="I79" s="10"/>
    </row>
    <row r="80" spans="1:9" hidden="1">
      <c r="A80" s="21"/>
      <c r="B80" s="35" t="s">
        <v>103</v>
      </c>
      <c r="C80" s="13" t="s">
        <v>77</v>
      </c>
      <c r="D80" s="11"/>
      <c r="E80" s="15"/>
      <c r="F80" s="10">
        <v>0.1</v>
      </c>
      <c r="G80" s="10">
        <v>2949.85</v>
      </c>
      <c r="H80" s="55">
        <f t="shared" ref="H80" si="12">SUM(F80*G80/1000)</f>
        <v>0.294985</v>
      </c>
      <c r="I80" s="10">
        <v>0</v>
      </c>
    </row>
    <row r="81" spans="1:9" ht="20.25" customHeight="1">
      <c r="A81" s="21"/>
      <c r="B81" s="90" t="s">
        <v>157</v>
      </c>
      <c r="C81" s="40"/>
      <c r="D81" s="11"/>
      <c r="E81" s="15"/>
      <c r="F81" s="49"/>
      <c r="G81" s="10"/>
      <c r="H81" s="55"/>
      <c r="I81" s="10"/>
    </row>
    <row r="82" spans="1:9" ht="16.5" customHeight="1">
      <c r="A82" s="21">
        <v>21</v>
      </c>
      <c r="B82" s="11" t="s">
        <v>158</v>
      </c>
      <c r="C82" s="21" t="s">
        <v>159</v>
      </c>
      <c r="D82" s="11" t="s">
        <v>68</v>
      </c>
      <c r="E82" s="15">
        <v>2579.4</v>
      </c>
      <c r="F82" s="10">
        <f>SUM(E82*12)</f>
        <v>30952.800000000003</v>
      </c>
      <c r="G82" s="10">
        <v>2.2799999999999998</v>
      </c>
      <c r="H82" s="55">
        <f t="shared" ref="H82" si="13">SUM(F82*G82/1000)</f>
        <v>70.572384</v>
      </c>
      <c r="I82" s="10">
        <f>F82/12*G82</f>
        <v>5881.0320000000002</v>
      </c>
    </row>
    <row r="83" spans="1:9" ht="28.5" hidden="1">
      <c r="A83" s="21"/>
      <c r="B83" s="154" t="s">
        <v>93</v>
      </c>
      <c r="C83" s="74"/>
      <c r="D83" s="23"/>
      <c r="E83" s="24"/>
      <c r="F83" s="62"/>
      <c r="G83" s="62"/>
      <c r="H83" s="75">
        <f>SUM(H58:H80)</f>
        <v>138.10465536000004</v>
      </c>
      <c r="I83" s="62"/>
    </row>
    <row r="84" spans="1:9" hidden="1">
      <c r="A84" s="21"/>
      <c r="B84" s="11" t="s">
        <v>160</v>
      </c>
      <c r="C84" s="13"/>
      <c r="D84" s="11"/>
      <c r="E84" s="11"/>
      <c r="F84" s="10">
        <v>1</v>
      </c>
      <c r="G84" s="10">
        <v>20408</v>
      </c>
      <c r="H84" s="55">
        <f>G84*F84/1000</f>
        <v>20.408000000000001</v>
      </c>
      <c r="I84" s="10">
        <v>0</v>
      </c>
    </row>
    <row r="85" spans="1:9" hidden="1">
      <c r="A85" s="21"/>
      <c r="B85" s="11" t="s">
        <v>161</v>
      </c>
      <c r="C85" s="13"/>
      <c r="D85" s="11"/>
      <c r="E85" s="11"/>
      <c r="F85" s="10">
        <v>62</v>
      </c>
      <c r="G85" s="10">
        <v>700</v>
      </c>
      <c r="H85" s="55">
        <f t="shared" ref="H85" si="14">G85*F85/1000</f>
        <v>43.4</v>
      </c>
      <c r="I85" s="10">
        <v>0</v>
      </c>
    </row>
    <row r="86" spans="1:9">
      <c r="A86" s="172" t="s">
        <v>137</v>
      </c>
      <c r="B86" s="173"/>
      <c r="C86" s="173"/>
      <c r="D86" s="173"/>
      <c r="E86" s="173"/>
      <c r="F86" s="173"/>
      <c r="G86" s="173"/>
      <c r="H86" s="173"/>
      <c r="I86" s="174"/>
    </row>
    <row r="87" spans="1:9" ht="17.25" customHeight="1">
      <c r="A87" s="21">
        <v>22</v>
      </c>
      <c r="B87" s="56" t="s">
        <v>101</v>
      </c>
      <c r="C87" s="13" t="s">
        <v>55</v>
      </c>
      <c r="D87" s="38" t="s">
        <v>56</v>
      </c>
      <c r="E87" s="10">
        <v>2579.4</v>
      </c>
      <c r="F87" s="10">
        <f>SUM(E87*12)</f>
        <v>30952.800000000003</v>
      </c>
      <c r="G87" s="10">
        <v>3.1</v>
      </c>
      <c r="H87" s="55">
        <f t="shared" ref="H87" si="15">G87*F87/1000</f>
        <v>95.953680000000006</v>
      </c>
      <c r="I87" s="10">
        <f>F87/12*G87</f>
        <v>7996.14</v>
      </c>
    </row>
    <row r="88" spans="1:9" ht="28.5" customHeight="1">
      <c r="A88" s="21">
        <v>23</v>
      </c>
      <c r="B88" s="11" t="s">
        <v>78</v>
      </c>
      <c r="C88" s="13"/>
      <c r="D88" s="38" t="s">
        <v>56</v>
      </c>
      <c r="E88" s="58">
        <v>2579.4</v>
      </c>
      <c r="F88" s="10">
        <f>E88*12</f>
        <v>30952.800000000003</v>
      </c>
      <c r="G88" s="10">
        <v>3.5</v>
      </c>
      <c r="H88" s="55">
        <f>F88*G88/1000</f>
        <v>108.33480000000002</v>
      </c>
      <c r="I88" s="10">
        <f>F88/12*G88</f>
        <v>9027.9</v>
      </c>
    </row>
    <row r="89" spans="1:9">
      <c r="A89" s="21"/>
      <c r="B89" s="27" t="s">
        <v>81</v>
      </c>
      <c r="C89" s="74"/>
      <c r="D89" s="73"/>
      <c r="E89" s="62"/>
      <c r="F89" s="62"/>
      <c r="G89" s="62"/>
      <c r="H89" s="75">
        <f>SUM(H88)</f>
        <v>108.33480000000002</v>
      </c>
      <c r="I89" s="62">
        <f>I88+I87+I82+I78+I71+I55+I54+I50+I49+I48+I47+I46+I45+I33+I31+I30+I27+I26+I21+I20+I18+I17+I16</f>
        <v>75182.618591061095</v>
      </c>
    </row>
    <row r="90" spans="1:9">
      <c r="A90" s="178" t="s">
        <v>61</v>
      </c>
      <c r="B90" s="179"/>
      <c r="C90" s="179"/>
      <c r="D90" s="179"/>
      <c r="E90" s="179"/>
      <c r="F90" s="179"/>
      <c r="G90" s="179"/>
      <c r="H90" s="179"/>
      <c r="I90" s="180"/>
    </row>
    <row r="91" spans="1:9" ht="16.5" customHeight="1">
      <c r="A91" s="21">
        <v>24</v>
      </c>
      <c r="B91" s="11" t="s">
        <v>169</v>
      </c>
      <c r="C91" s="13" t="s">
        <v>170</v>
      </c>
      <c r="D91" s="11"/>
      <c r="E91" s="15"/>
      <c r="F91" s="10">
        <v>96</v>
      </c>
      <c r="G91" s="10">
        <v>1.2</v>
      </c>
      <c r="H91" s="10">
        <f t="shared" ref="H91" si="16">F91*G91/1000</f>
        <v>0.11519999999999998</v>
      </c>
      <c r="I91" s="10">
        <f>G91*48</f>
        <v>57.599999999999994</v>
      </c>
    </row>
    <row r="92" spans="1:9" ht="28.5" customHeight="1">
      <c r="A92" s="21">
        <v>25</v>
      </c>
      <c r="B92" s="96" t="s">
        <v>234</v>
      </c>
      <c r="C92" s="97" t="s">
        <v>146</v>
      </c>
      <c r="D92" s="21"/>
      <c r="E92" s="15"/>
      <c r="F92" s="10">
        <v>140</v>
      </c>
      <c r="G92" s="26">
        <v>1272</v>
      </c>
      <c r="H92" s="10">
        <f>G92*F92/1000</f>
        <v>178.08</v>
      </c>
      <c r="I92" s="10">
        <f>G92*2</f>
        <v>2544</v>
      </c>
    </row>
    <row r="93" spans="1:9" ht="15.75" customHeight="1">
      <c r="A93" s="21">
        <v>26</v>
      </c>
      <c r="B93" s="96" t="s">
        <v>207</v>
      </c>
      <c r="C93" s="97" t="s">
        <v>97</v>
      </c>
      <c r="D93" s="139"/>
      <c r="E93" s="15"/>
      <c r="F93" s="140"/>
      <c r="G93" s="26">
        <v>95.25</v>
      </c>
      <c r="H93" s="55"/>
      <c r="I93" s="10">
        <f>G93*1</f>
        <v>95.25</v>
      </c>
    </row>
    <row r="94" spans="1:9">
      <c r="A94" s="21">
        <v>27</v>
      </c>
      <c r="B94" s="96" t="s">
        <v>235</v>
      </c>
      <c r="C94" s="97"/>
      <c r="D94" s="95"/>
      <c r="E94" s="26"/>
      <c r="F94" s="26">
        <v>0.01</v>
      </c>
      <c r="G94" s="26">
        <v>169.24</v>
      </c>
      <c r="H94" s="94">
        <f t="shared" ref="H94" si="17">G94*F94/1000</f>
        <v>1.6924000000000002E-3</v>
      </c>
      <c r="I94" s="10">
        <f>G94*1</f>
        <v>169.24</v>
      </c>
    </row>
    <row r="95" spans="1:9">
      <c r="A95" s="21">
        <v>28</v>
      </c>
      <c r="B95" s="96" t="s">
        <v>236</v>
      </c>
      <c r="C95" s="97" t="s">
        <v>97</v>
      </c>
      <c r="D95" s="147"/>
      <c r="E95" s="26"/>
      <c r="F95" s="124"/>
      <c r="G95" s="26">
        <v>89.92</v>
      </c>
      <c r="H95" s="94"/>
      <c r="I95" s="10">
        <f>G95*1</f>
        <v>89.92</v>
      </c>
    </row>
    <row r="96" spans="1:9">
      <c r="A96" s="21">
        <v>29</v>
      </c>
      <c r="B96" s="39" t="s">
        <v>82</v>
      </c>
      <c r="C96" s="40" t="s">
        <v>97</v>
      </c>
      <c r="D96" s="139"/>
      <c r="E96" s="15"/>
      <c r="F96" s="140"/>
      <c r="G96" s="26">
        <v>197.48</v>
      </c>
      <c r="H96" s="55"/>
      <c r="I96" s="10">
        <f>G96*4</f>
        <v>789.92</v>
      </c>
    </row>
    <row r="97" spans="1:9" hidden="1">
      <c r="A97" s="21">
        <v>19</v>
      </c>
      <c r="B97" s="96"/>
      <c r="C97" s="97"/>
      <c r="D97" s="95"/>
      <c r="E97" s="26"/>
      <c r="F97" s="26"/>
      <c r="G97" s="26"/>
      <c r="H97" s="94"/>
      <c r="I97" s="10"/>
    </row>
    <row r="98" spans="1:9">
      <c r="A98" s="21">
        <v>30</v>
      </c>
      <c r="B98" s="96" t="s">
        <v>171</v>
      </c>
      <c r="C98" s="97" t="s">
        <v>172</v>
      </c>
      <c r="D98" s="95"/>
      <c r="E98" s="26"/>
      <c r="F98" s="26"/>
      <c r="G98" s="26">
        <v>134.12</v>
      </c>
      <c r="H98" s="94"/>
      <c r="I98" s="10">
        <f>G98*72</f>
        <v>9656.64</v>
      </c>
    </row>
    <row r="99" spans="1:9">
      <c r="A99" s="21">
        <v>31</v>
      </c>
      <c r="B99" s="160" t="s">
        <v>174</v>
      </c>
      <c r="C99" s="161" t="s">
        <v>175</v>
      </c>
      <c r="D99" s="95"/>
      <c r="E99" s="26"/>
      <c r="F99" s="26"/>
      <c r="G99" s="26">
        <v>208</v>
      </c>
      <c r="H99" s="94"/>
      <c r="I99" s="10">
        <f>G99*1</f>
        <v>208</v>
      </c>
    </row>
    <row r="100" spans="1:9" ht="14.25" customHeight="1">
      <c r="A100" s="21"/>
      <c r="B100" s="33" t="s">
        <v>52</v>
      </c>
      <c r="C100" s="29"/>
      <c r="D100" s="36"/>
      <c r="E100" s="29">
        <v>1</v>
      </c>
      <c r="F100" s="29"/>
      <c r="G100" s="29"/>
      <c r="H100" s="29"/>
      <c r="I100" s="24">
        <f>SUM(I91:I99)</f>
        <v>13610.57</v>
      </c>
    </row>
    <row r="101" spans="1:9">
      <c r="A101" s="21"/>
      <c r="B101" s="35" t="s">
        <v>79</v>
      </c>
      <c r="C101" s="12"/>
      <c r="D101" s="12"/>
      <c r="E101" s="30"/>
      <c r="F101" s="30"/>
      <c r="G101" s="31"/>
      <c r="H101" s="31"/>
      <c r="I101" s="14">
        <v>0</v>
      </c>
    </row>
    <row r="102" spans="1:9">
      <c r="A102" s="37"/>
      <c r="B102" s="34" t="s">
        <v>163</v>
      </c>
      <c r="C102" s="25"/>
      <c r="D102" s="25"/>
      <c r="E102" s="25"/>
      <c r="F102" s="25"/>
      <c r="G102" s="25"/>
      <c r="H102" s="25"/>
      <c r="I102" s="32">
        <f>I89+I100</f>
        <v>88793.188591061102</v>
      </c>
    </row>
    <row r="103" spans="1:9" ht="15.75">
      <c r="A103" s="181" t="s">
        <v>237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>
      <c r="A104" s="43"/>
      <c r="B104" s="182" t="s">
        <v>238</v>
      </c>
      <c r="C104" s="182"/>
      <c r="D104" s="182"/>
      <c r="E104" s="182"/>
      <c r="F104" s="182"/>
      <c r="G104" s="182"/>
      <c r="H104" s="52"/>
      <c r="I104" s="2"/>
    </row>
    <row r="105" spans="1:9">
      <c r="A105" s="159"/>
      <c r="B105" s="183" t="s">
        <v>6</v>
      </c>
      <c r="C105" s="183"/>
      <c r="D105" s="183"/>
      <c r="E105" s="183"/>
      <c r="F105" s="183"/>
      <c r="G105" s="183"/>
      <c r="H105" s="16"/>
      <c r="I105" s="4"/>
    </row>
    <row r="106" spans="1:9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.75">
      <c r="A107" s="184" t="s">
        <v>7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184" t="s">
        <v>8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15.75">
      <c r="A109" s="170" t="s">
        <v>62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15.75">
      <c r="A110" s="8"/>
    </row>
    <row r="111" spans="1:9" ht="15.75">
      <c r="A111" s="186" t="s">
        <v>9</v>
      </c>
      <c r="B111" s="186"/>
      <c r="C111" s="186"/>
      <c r="D111" s="186"/>
      <c r="E111" s="186"/>
      <c r="F111" s="186"/>
      <c r="G111" s="186"/>
      <c r="H111" s="186"/>
      <c r="I111" s="186"/>
    </row>
    <row r="112" spans="1:9" ht="15.75">
      <c r="A112" s="3"/>
    </row>
    <row r="113" spans="1:9" ht="15.75">
      <c r="B113" s="156" t="s">
        <v>10</v>
      </c>
      <c r="C113" s="187" t="s">
        <v>132</v>
      </c>
      <c r="D113" s="187"/>
      <c r="E113" s="187"/>
      <c r="F113" s="50"/>
      <c r="I113" s="158"/>
    </row>
    <row r="114" spans="1:9">
      <c r="A114" s="159"/>
      <c r="C114" s="183" t="s">
        <v>11</v>
      </c>
      <c r="D114" s="183"/>
      <c r="E114" s="183"/>
      <c r="F114" s="16"/>
      <c r="I114" s="157" t="s">
        <v>12</v>
      </c>
    </row>
    <row r="115" spans="1:9" ht="15.75">
      <c r="A115" s="17"/>
      <c r="C115" s="9"/>
      <c r="D115" s="9"/>
      <c r="G115" s="9"/>
      <c r="H115" s="9"/>
    </row>
    <row r="116" spans="1:9" ht="15.75">
      <c r="B116" s="156" t="s">
        <v>13</v>
      </c>
      <c r="C116" s="188"/>
      <c r="D116" s="188"/>
      <c r="E116" s="188"/>
      <c r="F116" s="51"/>
      <c r="I116" s="158"/>
    </row>
    <row r="117" spans="1:9">
      <c r="A117" s="159"/>
      <c r="C117" s="189" t="s">
        <v>11</v>
      </c>
      <c r="D117" s="189"/>
      <c r="E117" s="189"/>
      <c r="F117" s="159"/>
      <c r="I117" s="157" t="s">
        <v>12</v>
      </c>
    </row>
    <row r="118" spans="1:9" ht="15.75">
      <c r="A118" s="3" t="s">
        <v>14</v>
      </c>
    </row>
    <row r="119" spans="1:9">
      <c r="A119" s="190" t="s">
        <v>15</v>
      </c>
      <c r="B119" s="190"/>
      <c r="C119" s="190"/>
      <c r="D119" s="190"/>
      <c r="E119" s="190"/>
      <c r="F119" s="190"/>
      <c r="G119" s="190"/>
      <c r="H119" s="190"/>
      <c r="I119" s="190"/>
    </row>
    <row r="120" spans="1:9" ht="42.75" customHeight="1">
      <c r="A120" s="185" t="s">
        <v>16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33" customHeight="1">
      <c r="A121" s="185" t="s">
        <v>17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34.5" customHeight="1">
      <c r="A122" s="185" t="s">
        <v>21</v>
      </c>
      <c r="B122" s="185"/>
      <c r="C122" s="185"/>
      <c r="D122" s="185"/>
      <c r="E122" s="185"/>
      <c r="F122" s="185"/>
      <c r="G122" s="185"/>
      <c r="H122" s="185"/>
      <c r="I122" s="185"/>
    </row>
    <row r="123" spans="1:9" ht="15.75">
      <c r="A123" s="185" t="s">
        <v>20</v>
      </c>
      <c r="B123" s="185"/>
      <c r="C123" s="185"/>
      <c r="D123" s="185"/>
      <c r="E123" s="185"/>
      <c r="F123" s="185"/>
      <c r="G123" s="185"/>
      <c r="H123" s="185"/>
      <c r="I123" s="185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8:I28"/>
    <mergeCell ref="A44:I44"/>
    <mergeCell ref="A56:I56"/>
    <mergeCell ref="A86:I86"/>
    <mergeCell ref="A90:I90"/>
    <mergeCell ref="A103:I103"/>
    <mergeCell ref="B104:G104"/>
    <mergeCell ref="B105:G105"/>
    <mergeCell ref="A107:I107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" right="0.7" top="0.75" bottom="0.75" header="0.3" footer="0.3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2019-02-21T07:05:30Z</cp:lastPrinted>
  <dcterms:created xsi:type="dcterms:W3CDTF">2016-03-25T08:33:47Z</dcterms:created>
  <dcterms:modified xsi:type="dcterms:W3CDTF">2019-02-21T07:05:48Z</dcterms:modified>
</cp:coreProperties>
</file>