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 activeTab="10"/>
  </bookViews>
  <sheets>
    <sheet name="01.20" sheetId="8" r:id="rId1"/>
    <sheet name="02.20" sheetId="17" r:id="rId2"/>
    <sheet name="03.20" sheetId="18" r:id="rId3"/>
    <sheet name="04.20" sheetId="19" r:id="rId4"/>
    <sheet name="05.20" sheetId="20" r:id="rId5"/>
    <sheet name="06.20" sheetId="21" r:id="rId6"/>
    <sheet name="07.20" sheetId="22" r:id="rId7"/>
    <sheet name="08.20" sheetId="23" r:id="rId8"/>
    <sheet name="09.20" sheetId="24" r:id="rId9"/>
    <sheet name="10.20" sheetId="25" r:id="rId10"/>
    <sheet name="11.20" sheetId="26" r:id="rId11"/>
    <sheet name="12.20" sheetId="27" r:id="rId12"/>
  </sheets>
  <definedNames>
    <definedName name="_xlnm._FilterDatabase" localSheetId="0" hidden="1">'01.20'!$I$12:$I$83</definedName>
    <definedName name="_xlnm._FilterDatabase" localSheetId="1" hidden="1">'02.20'!$I$12:$I$83</definedName>
    <definedName name="_xlnm._FilterDatabase" localSheetId="2" hidden="1">'03.20'!$I$12:$I$88</definedName>
    <definedName name="_xlnm._FilterDatabase" localSheetId="3" hidden="1">'04.20'!$I$12:$I$88</definedName>
    <definedName name="_xlnm._FilterDatabase" localSheetId="4" hidden="1">'05.20'!$I$12:$I$83</definedName>
    <definedName name="_xlnm._FilterDatabase" localSheetId="5" hidden="1">'06.20'!$I$12:$I$80</definedName>
    <definedName name="_xlnm._FilterDatabase" localSheetId="6" hidden="1">'07.20'!$I$12:$I$83</definedName>
    <definedName name="_xlnm._FilterDatabase" localSheetId="7" hidden="1">'08.20'!$I$12:$I$83</definedName>
    <definedName name="_xlnm._FilterDatabase" localSheetId="8" hidden="1">'09.20'!$I$12:$I$83</definedName>
    <definedName name="_xlnm._FilterDatabase" localSheetId="9" hidden="1">'10.20'!$I$12:$I$83</definedName>
    <definedName name="_xlnm._FilterDatabase" localSheetId="10" hidden="1">'11.20'!$I$12:$I$90</definedName>
    <definedName name="_xlnm._FilterDatabase" localSheetId="11" hidden="1">'12.20'!$I$12:$I$87</definedName>
    <definedName name="_xlnm.Print_Area" localSheetId="0">'01.20'!$A$1:$I$111</definedName>
    <definedName name="_xlnm.Print_Area" localSheetId="1">'02.20'!$A$1:$I$114</definedName>
    <definedName name="_xlnm.Print_Area" localSheetId="2">'03.20'!$A$1:$I$113</definedName>
    <definedName name="_xlnm.Print_Area" localSheetId="3">'04.20'!$A$1:$I$113</definedName>
    <definedName name="_xlnm.Print_Area" localSheetId="4">'05.20'!$A$1:$I$108</definedName>
    <definedName name="_xlnm.Print_Area" localSheetId="5">'06.20'!$A$1:$I$114</definedName>
    <definedName name="_xlnm.Print_Area" localSheetId="6">'07.20'!$A$1:$I$111</definedName>
    <definedName name="_xlnm.Print_Area" localSheetId="7">'08.20'!$A$1:$I$113</definedName>
    <definedName name="_xlnm.Print_Area" localSheetId="8">'09.20'!$A$1:$I$113</definedName>
    <definedName name="_xlnm.Print_Area" localSheetId="9">'10.20'!$A$1:$I$115</definedName>
    <definedName name="_xlnm.Print_Area" localSheetId="10">'11.20'!$A$1:$I$119</definedName>
    <definedName name="_xlnm.Print_Area" localSheetId="11">'12.20'!$A$1:$I$112</definedName>
  </definedNames>
  <calcPr calcId="124519"/>
</workbook>
</file>

<file path=xl/calcChain.xml><?xml version="1.0" encoding="utf-8"?>
<calcChain xmlns="http://schemas.openxmlformats.org/spreadsheetml/2006/main">
  <c r="I87" i="27"/>
  <c r="E86"/>
  <c r="F86" s="1"/>
  <c r="F85"/>
  <c r="H85" s="1"/>
  <c r="I81"/>
  <c r="F81"/>
  <c r="F74"/>
  <c r="I74" s="1"/>
  <c r="F44"/>
  <c r="I44" s="1"/>
  <c r="I43"/>
  <c r="F42"/>
  <c r="I42" s="1"/>
  <c r="F41"/>
  <c r="I41" s="1"/>
  <c r="I40"/>
  <c r="H40"/>
  <c r="F39"/>
  <c r="I39" s="1"/>
  <c r="F38"/>
  <c r="I38" s="1"/>
  <c r="I37"/>
  <c r="F27"/>
  <c r="H27" s="1"/>
  <c r="F26"/>
  <c r="I26" s="1"/>
  <c r="I25"/>
  <c r="H24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18" i="26"/>
  <c r="I90" s="1"/>
  <c r="I41"/>
  <c r="I43"/>
  <c r="I96"/>
  <c r="I95"/>
  <c r="I94"/>
  <c r="I93"/>
  <c r="I92"/>
  <c r="E89"/>
  <c r="F89" s="1"/>
  <c r="F88"/>
  <c r="H88" s="1"/>
  <c r="I82"/>
  <c r="F82"/>
  <c r="I66"/>
  <c r="H66"/>
  <c r="F75"/>
  <c r="I75" s="1"/>
  <c r="F44"/>
  <c r="I44" s="1"/>
  <c r="F42"/>
  <c r="I42" s="1"/>
  <c r="F41"/>
  <c r="F39"/>
  <c r="F38"/>
  <c r="F27"/>
  <c r="H27" s="1"/>
  <c r="F26"/>
  <c r="I26" s="1"/>
  <c r="I25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17" i="27" l="1"/>
  <c r="H20"/>
  <c r="H41"/>
  <c r="H22"/>
  <c r="H26"/>
  <c r="H38"/>
  <c r="H86"/>
  <c r="I86"/>
  <c r="I85"/>
  <c r="H39"/>
  <c r="H42"/>
  <c r="I18"/>
  <c r="H18"/>
  <c r="I16"/>
  <c r="I19"/>
  <c r="I21"/>
  <c r="I23"/>
  <c r="I27"/>
  <c r="H89" i="26"/>
  <c r="I89"/>
  <c r="I88"/>
  <c r="H20"/>
  <c r="H24"/>
  <c r="H22"/>
  <c r="H26"/>
  <c r="H17"/>
  <c r="H18"/>
  <c r="I16"/>
  <c r="I19"/>
  <c r="I21"/>
  <c r="I23"/>
  <c r="I27"/>
  <c r="I61" i="25" l="1"/>
  <c r="I90"/>
  <c r="I89"/>
  <c r="I88"/>
  <c r="I87"/>
  <c r="I86"/>
  <c r="I92" s="1"/>
  <c r="I85"/>
  <c r="E82"/>
  <c r="F82" s="1"/>
  <c r="F81"/>
  <c r="H81" s="1"/>
  <c r="I75"/>
  <c r="F75"/>
  <c r="F79"/>
  <c r="I79" s="1"/>
  <c r="I57"/>
  <c r="F57"/>
  <c r="H57" s="1"/>
  <c r="F31"/>
  <c r="H31" s="1"/>
  <c r="F30"/>
  <c r="I30" s="1"/>
  <c r="F27"/>
  <c r="H27" s="1"/>
  <c r="F26"/>
  <c r="I26" s="1"/>
  <c r="I25"/>
  <c r="H24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17" l="1"/>
  <c r="H20"/>
  <c r="H30"/>
  <c r="H22"/>
  <c r="H26"/>
  <c r="H82"/>
  <c r="I82"/>
  <c r="I81"/>
  <c r="I31"/>
  <c r="I18"/>
  <c r="H18"/>
  <c r="I16"/>
  <c r="I19"/>
  <c r="I21"/>
  <c r="I23"/>
  <c r="I27"/>
  <c r="I83" l="1"/>
  <c r="I68" i="24"/>
  <c r="I87"/>
  <c r="I86"/>
  <c r="F87"/>
  <c r="I85"/>
  <c r="I90" s="1"/>
  <c r="E82"/>
  <c r="F82" s="1"/>
  <c r="F81"/>
  <c r="H81" s="1"/>
  <c r="I77"/>
  <c r="F77"/>
  <c r="F70"/>
  <c r="I70" s="1"/>
  <c r="I61"/>
  <c r="I57"/>
  <c r="F57"/>
  <c r="H57" s="1"/>
  <c r="F51"/>
  <c r="F49"/>
  <c r="F48"/>
  <c r="F47"/>
  <c r="F46"/>
  <c r="F45"/>
  <c r="F44"/>
  <c r="F43"/>
  <c r="F42"/>
  <c r="F31"/>
  <c r="H31" s="1"/>
  <c r="F30"/>
  <c r="I30" s="1"/>
  <c r="F27"/>
  <c r="H27" s="1"/>
  <c r="F26"/>
  <c r="I26" s="1"/>
  <c r="I25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22" l="1"/>
  <c r="H26"/>
  <c r="H17"/>
  <c r="H20"/>
  <c r="H24"/>
  <c r="H30"/>
  <c r="H82"/>
  <c r="I82"/>
  <c r="I81"/>
  <c r="I31"/>
  <c r="I18"/>
  <c r="H18"/>
  <c r="I16"/>
  <c r="I19"/>
  <c r="I21"/>
  <c r="I23"/>
  <c r="I27"/>
  <c r="I83" i="22" l="1"/>
  <c r="I61"/>
  <c r="E18" i="23" l="1"/>
  <c r="F18" s="1"/>
  <c r="F17"/>
  <c r="H17" s="1"/>
  <c r="F16"/>
  <c r="I16" s="1"/>
  <c r="I51"/>
  <c r="F51"/>
  <c r="F21"/>
  <c r="H21" s="1"/>
  <c r="F20"/>
  <c r="I20" s="1"/>
  <c r="I87"/>
  <c r="I86"/>
  <c r="I85"/>
  <c r="I90" s="1"/>
  <c r="E82"/>
  <c r="F82" s="1"/>
  <c r="F81"/>
  <c r="H81" s="1"/>
  <c r="F79"/>
  <c r="I79" s="1"/>
  <c r="I75"/>
  <c r="F75"/>
  <c r="I57"/>
  <c r="F57"/>
  <c r="H57" s="1"/>
  <c r="F31"/>
  <c r="H31" s="1"/>
  <c r="F30"/>
  <c r="I30" s="1"/>
  <c r="F27"/>
  <c r="H27" s="1"/>
  <c r="F26"/>
  <c r="I26" s="1"/>
  <c r="I25"/>
  <c r="F24"/>
  <c r="I24" s="1"/>
  <c r="F23"/>
  <c r="H23" s="1"/>
  <c r="F22"/>
  <c r="I22" s="1"/>
  <c r="F19"/>
  <c r="H19" s="1"/>
  <c r="H20" l="1"/>
  <c r="H18"/>
  <c r="I18"/>
  <c r="H16"/>
  <c r="I17"/>
  <c r="I21"/>
  <c r="H24"/>
  <c r="H30"/>
  <c r="H22"/>
  <c r="H26"/>
  <c r="H82"/>
  <c r="I82"/>
  <c r="I81"/>
  <c r="I31"/>
  <c r="I19"/>
  <c r="I23"/>
  <c r="I27"/>
  <c r="I87" i="21" l="1"/>
  <c r="I17" i="22" l="1"/>
  <c r="I16"/>
  <c r="I87"/>
  <c r="I88" s="1"/>
  <c r="I86"/>
  <c r="I85"/>
  <c r="E82"/>
  <c r="F82" s="1"/>
  <c r="F81"/>
  <c r="H81" s="1"/>
  <c r="I75"/>
  <c r="F75"/>
  <c r="F59"/>
  <c r="H59" s="1"/>
  <c r="H61"/>
  <c r="H62"/>
  <c r="F63"/>
  <c r="H63" s="1"/>
  <c r="F64"/>
  <c r="H64" s="1"/>
  <c r="I64"/>
  <c r="F65"/>
  <c r="H65" s="1"/>
  <c r="I65"/>
  <c r="F66"/>
  <c r="H66" s="1"/>
  <c r="F67"/>
  <c r="H67" s="1"/>
  <c r="F68"/>
  <c r="H68" s="1"/>
  <c r="H70"/>
  <c r="I70"/>
  <c r="F79"/>
  <c r="I79" s="1"/>
  <c r="I57"/>
  <c r="F57"/>
  <c r="H57" s="1"/>
  <c r="F31"/>
  <c r="H31" s="1"/>
  <c r="F30"/>
  <c r="I30" s="1"/>
  <c r="F27"/>
  <c r="H27" s="1"/>
  <c r="F26"/>
  <c r="I26" s="1"/>
  <c r="I25"/>
  <c r="F24"/>
  <c r="I24" s="1"/>
  <c r="F23"/>
  <c r="H23" s="1"/>
  <c r="F22"/>
  <c r="I22" s="1"/>
  <c r="F21"/>
  <c r="H21" s="1"/>
  <c r="F20"/>
  <c r="I20" s="1"/>
  <c r="F19"/>
  <c r="H19" s="1"/>
  <c r="E18"/>
  <c r="F18" s="1"/>
  <c r="F17"/>
  <c r="F16"/>
  <c r="H16" s="1"/>
  <c r="F27" i="21"/>
  <c r="H27" s="1"/>
  <c r="I86"/>
  <c r="I85"/>
  <c r="I84"/>
  <c r="I83"/>
  <c r="I82"/>
  <c r="I59"/>
  <c r="E79"/>
  <c r="F79" s="1"/>
  <c r="F78"/>
  <c r="H78" s="1"/>
  <c r="I72"/>
  <c r="I74"/>
  <c r="F74"/>
  <c r="F70"/>
  <c r="I70" s="1"/>
  <c r="F65"/>
  <c r="F64"/>
  <c r="F63"/>
  <c r="F62"/>
  <c r="F61"/>
  <c r="I57"/>
  <c r="F57"/>
  <c r="H57" s="1"/>
  <c r="F31"/>
  <c r="H31" s="1"/>
  <c r="F30"/>
  <c r="I30" s="1"/>
  <c r="I25"/>
  <c r="F26"/>
  <c r="I26" s="1"/>
  <c r="F24"/>
  <c r="I24" s="1"/>
  <c r="F23"/>
  <c r="I23" s="1"/>
  <c r="F22"/>
  <c r="I22" s="1"/>
  <c r="F21"/>
  <c r="F20"/>
  <c r="F19"/>
  <c r="I19" s="1"/>
  <c r="E18"/>
  <c r="F18" s="1"/>
  <c r="I18" s="1"/>
  <c r="F17"/>
  <c r="F16"/>
  <c r="I91" l="1"/>
  <c r="I67" i="22"/>
  <c r="I66"/>
  <c r="I68"/>
  <c r="H82"/>
  <c r="I82"/>
  <c r="I81"/>
  <c r="I63"/>
  <c r="H17"/>
  <c r="H20"/>
  <c r="H24"/>
  <c r="H30"/>
  <c r="H22"/>
  <c r="H26"/>
  <c r="I31"/>
  <c r="I18"/>
  <c r="H18"/>
  <c r="I19"/>
  <c r="I21"/>
  <c r="I23"/>
  <c r="I27"/>
  <c r="I27" i="21"/>
  <c r="H79"/>
  <c r="I79"/>
  <c r="I78"/>
  <c r="H30"/>
  <c r="I31"/>
  <c r="I51" i="20" l="1"/>
  <c r="E82"/>
  <c r="F82" s="1"/>
  <c r="F81"/>
  <c r="H81" s="1"/>
  <c r="I79"/>
  <c r="F79"/>
  <c r="F78"/>
  <c r="I78" s="1"/>
  <c r="I57"/>
  <c r="F57"/>
  <c r="H57" s="1"/>
  <c r="F51"/>
  <c r="F49"/>
  <c r="F48"/>
  <c r="F47"/>
  <c r="F46"/>
  <c r="F45"/>
  <c r="F44"/>
  <c r="F43"/>
  <c r="F42"/>
  <c r="F32"/>
  <c r="F31"/>
  <c r="F30"/>
  <c r="F27"/>
  <c r="H27" s="1"/>
  <c r="F26"/>
  <c r="H26" s="1"/>
  <c r="F24"/>
  <c r="H24" s="1"/>
  <c r="F23"/>
  <c r="H23" s="1"/>
  <c r="F22"/>
  <c r="H22" s="1"/>
  <c r="F21"/>
  <c r="I21" s="1"/>
  <c r="F20"/>
  <c r="H20" s="1"/>
  <c r="F19"/>
  <c r="H19" s="1"/>
  <c r="E18"/>
  <c r="F18" s="1"/>
  <c r="I18" s="1"/>
  <c r="F17"/>
  <c r="I17" s="1"/>
  <c r="F16"/>
  <c r="H16" s="1"/>
  <c r="I88" i="19"/>
  <c r="E87"/>
  <c r="F87" s="1"/>
  <c r="F86"/>
  <c r="H86" s="1"/>
  <c r="I84"/>
  <c r="F84"/>
  <c r="F83"/>
  <c r="I83" s="1"/>
  <c r="I43"/>
  <c r="F43"/>
  <c r="I42"/>
  <c r="H42"/>
  <c r="F41"/>
  <c r="H41" s="1"/>
  <c r="F40"/>
  <c r="I40" s="1"/>
  <c r="F38"/>
  <c r="H38" s="1"/>
  <c r="F37"/>
  <c r="I37" s="1"/>
  <c r="I36"/>
  <c r="H36"/>
  <c r="F27"/>
  <c r="H27" s="1"/>
  <c r="F26"/>
  <c r="H26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H17" i="20" l="1"/>
  <c r="H82"/>
  <c r="I82"/>
  <c r="I81"/>
  <c r="H21"/>
  <c r="H18"/>
  <c r="I16"/>
  <c r="I20"/>
  <c r="I27"/>
  <c r="H87" i="19"/>
  <c r="I87"/>
  <c r="I86"/>
  <c r="H17"/>
  <c r="H37"/>
  <c r="H21"/>
  <c r="H40"/>
  <c r="I38"/>
  <c r="I41"/>
  <c r="I18"/>
  <c r="H18"/>
  <c r="I16"/>
  <c r="I20"/>
  <c r="I27"/>
  <c r="I36" i="18" l="1"/>
  <c r="I87"/>
  <c r="F87"/>
  <c r="E86"/>
  <c r="F86" s="1"/>
  <c r="F85"/>
  <c r="I81"/>
  <c r="F81"/>
  <c r="F76"/>
  <c r="F61"/>
  <c r="I58"/>
  <c r="I57"/>
  <c r="F57"/>
  <c r="F43"/>
  <c r="I43" s="1"/>
  <c r="F41"/>
  <c r="F40"/>
  <c r="F38"/>
  <c r="F37"/>
  <c r="F27"/>
  <c r="F26"/>
  <c r="F24"/>
  <c r="F23"/>
  <c r="F22"/>
  <c r="F21"/>
  <c r="F20"/>
  <c r="F19"/>
  <c r="E18"/>
  <c r="F18" s="1"/>
  <c r="I18" s="1"/>
  <c r="F17"/>
  <c r="F16"/>
  <c r="I89" i="17"/>
  <c r="I88"/>
  <c r="I87" l="1"/>
  <c r="I86"/>
  <c r="I36"/>
  <c r="I86" i="8" l="1"/>
  <c r="I62"/>
  <c r="I36"/>
  <c r="I58" i="27"/>
  <c r="F86" i="26"/>
  <c r="I86" s="1"/>
  <c r="I59"/>
  <c r="I37"/>
  <c r="I76" i="18" l="1"/>
  <c r="F79" i="17"/>
  <c r="I79" s="1"/>
  <c r="F79" i="8"/>
  <c r="I79" s="1"/>
  <c r="I61" i="23"/>
  <c r="I83" s="1"/>
  <c r="H26" i="21" l="1"/>
  <c r="H24"/>
  <c r="H23"/>
  <c r="H22"/>
  <c r="I21"/>
  <c r="H20"/>
  <c r="H19"/>
  <c r="I17"/>
  <c r="H16"/>
  <c r="H27" i="18"/>
  <c r="H26"/>
  <c r="H24"/>
  <c r="H23"/>
  <c r="H22"/>
  <c r="H21"/>
  <c r="I21"/>
  <c r="H20"/>
  <c r="H19"/>
  <c r="H17"/>
  <c r="I17"/>
  <c r="H16"/>
  <c r="F27" i="17"/>
  <c r="H27" s="1"/>
  <c r="F26"/>
  <c r="H26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F27" i="8"/>
  <c r="H17" i="17" l="1"/>
  <c r="H21"/>
  <c r="H17" i="21"/>
  <c r="H21"/>
  <c r="H18"/>
  <c r="I16"/>
  <c r="I20"/>
  <c r="H18" i="18"/>
  <c r="I16"/>
  <c r="I20"/>
  <c r="I27"/>
  <c r="I18" i="17"/>
  <c r="H18"/>
  <c r="I16"/>
  <c r="I20"/>
  <c r="I27"/>
  <c r="I83" i="20"/>
  <c r="I61"/>
  <c r="I57" i="19" l="1"/>
  <c r="I81"/>
  <c r="I78" i="18" l="1"/>
  <c r="I85" i="17" l="1"/>
  <c r="I91" s="1"/>
  <c r="I85" i="8"/>
  <c r="I88" s="1"/>
  <c r="F85"/>
  <c r="I61" i="27" l="1"/>
  <c r="H61"/>
  <c r="I72" i="25" l="1"/>
  <c r="I60" i="19" l="1"/>
  <c r="I42" i="18" l="1"/>
  <c r="I41" i="17"/>
  <c r="I41" i="8"/>
  <c r="H85" i="17" l="1"/>
  <c r="I62"/>
  <c r="F58"/>
  <c r="H85" i="8"/>
  <c r="F58"/>
  <c r="H58" s="1"/>
  <c r="H83" i="27" l="1"/>
  <c r="F80"/>
  <c r="H80" s="1"/>
  <c r="F79"/>
  <c r="H79" s="1"/>
  <c r="I78"/>
  <c r="H78"/>
  <c r="I76"/>
  <c r="H76"/>
  <c r="F72"/>
  <c r="I72" s="1"/>
  <c r="F71"/>
  <c r="H71" s="1"/>
  <c r="F70"/>
  <c r="I70" s="1"/>
  <c r="F69"/>
  <c r="H69" s="1"/>
  <c r="F68"/>
  <c r="I68" s="1"/>
  <c r="F67"/>
  <c r="H67" s="1"/>
  <c r="H66"/>
  <c r="I65"/>
  <c r="H65"/>
  <c r="F63"/>
  <c r="H63" s="1"/>
  <c r="H58"/>
  <c r="F58"/>
  <c r="I55"/>
  <c r="F55"/>
  <c r="H55" s="1"/>
  <c r="I54"/>
  <c r="H54"/>
  <c r="F53"/>
  <c r="I53" s="1"/>
  <c r="F52"/>
  <c r="H52" s="1"/>
  <c r="F51"/>
  <c r="H51" s="1"/>
  <c r="F50"/>
  <c r="H50" s="1"/>
  <c r="F49"/>
  <c r="I49" s="1"/>
  <c r="F48"/>
  <c r="H48" s="1"/>
  <c r="F47"/>
  <c r="H47" s="1"/>
  <c r="F46"/>
  <c r="H46" s="1"/>
  <c r="H37"/>
  <c r="H35"/>
  <c r="H34"/>
  <c r="F34"/>
  <c r="I34" s="1"/>
  <c r="F33"/>
  <c r="H33" s="1"/>
  <c r="F32"/>
  <c r="H32" s="1"/>
  <c r="F31"/>
  <c r="H31" s="1"/>
  <c r="F28"/>
  <c r="H28" s="1"/>
  <c r="H84" i="26"/>
  <c r="F81"/>
  <c r="H81" s="1"/>
  <c r="F80"/>
  <c r="H80" s="1"/>
  <c r="I79"/>
  <c r="H79"/>
  <c r="I77"/>
  <c r="H77"/>
  <c r="F73"/>
  <c r="H73" s="1"/>
  <c r="F72"/>
  <c r="I72" s="1"/>
  <c r="F71"/>
  <c r="H71" s="1"/>
  <c r="F70"/>
  <c r="I70" s="1"/>
  <c r="F69"/>
  <c r="I69" s="1"/>
  <c r="F68"/>
  <c r="I68" s="1"/>
  <c r="H67"/>
  <c r="F64"/>
  <c r="H64" s="1"/>
  <c r="I62"/>
  <c r="F59"/>
  <c r="H59" s="1"/>
  <c r="I56"/>
  <c r="F56"/>
  <c r="H56" s="1"/>
  <c r="I55"/>
  <c r="H55"/>
  <c r="F54"/>
  <c r="H54" s="1"/>
  <c r="F53"/>
  <c r="I53" s="1"/>
  <c r="F52"/>
  <c r="H52" s="1"/>
  <c r="F51"/>
  <c r="I51" s="1"/>
  <c r="F50"/>
  <c r="H50" s="1"/>
  <c r="F49"/>
  <c r="I49" s="1"/>
  <c r="F48"/>
  <c r="I48" s="1"/>
  <c r="F47"/>
  <c r="I47" s="1"/>
  <c r="H42"/>
  <c r="I40"/>
  <c r="H39"/>
  <c r="I38"/>
  <c r="H37"/>
  <c r="H35"/>
  <c r="H34"/>
  <c r="F34"/>
  <c r="I34" s="1"/>
  <c r="F33"/>
  <c r="H33" s="1"/>
  <c r="F32"/>
  <c r="I32" s="1"/>
  <c r="F31"/>
  <c r="H31" s="1"/>
  <c r="F28"/>
  <c r="I28" s="1"/>
  <c r="I32" i="27" l="1"/>
  <c r="I69"/>
  <c r="H41" i="26"/>
  <c r="H49"/>
  <c r="H51"/>
  <c r="H47"/>
  <c r="H62"/>
  <c r="H69"/>
  <c r="H70"/>
  <c r="H72"/>
  <c r="H28"/>
  <c r="I31" i="27"/>
  <c r="H49"/>
  <c r="I52"/>
  <c r="H68"/>
  <c r="H70"/>
  <c r="H72"/>
  <c r="H53"/>
  <c r="I48"/>
  <c r="I47"/>
  <c r="I51"/>
  <c r="I33"/>
  <c r="I28"/>
  <c r="I46"/>
  <c r="I50"/>
  <c r="I67"/>
  <c r="I71"/>
  <c r="H32" i="26"/>
  <c r="H38"/>
  <c r="H53"/>
  <c r="H68"/>
  <c r="I73"/>
  <c r="H40"/>
  <c r="H48"/>
  <c r="I52"/>
  <c r="I31"/>
  <c r="I33"/>
  <c r="I39"/>
  <c r="I50"/>
  <c r="I54"/>
  <c r="I71"/>
  <c r="I98" l="1"/>
  <c r="I91" i="27"/>
  <c r="H77" i="25" l="1"/>
  <c r="F74"/>
  <c r="H74" s="1"/>
  <c r="F73"/>
  <c r="H73" s="1"/>
  <c r="H72"/>
  <c r="I70"/>
  <c r="H70"/>
  <c r="F68"/>
  <c r="I68" s="1"/>
  <c r="F67"/>
  <c r="H67" s="1"/>
  <c r="F66"/>
  <c r="I66" s="1"/>
  <c r="F65"/>
  <c r="H65" s="1"/>
  <c r="F64"/>
  <c r="I64" s="1"/>
  <c r="F63"/>
  <c r="H63" s="1"/>
  <c r="H62"/>
  <c r="H61"/>
  <c r="F59"/>
  <c r="H59" s="1"/>
  <c r="F54"/>
  <c r="I54" s="1"/>
  <c r="I51"/>
  <c r="F51"/>
  <c r="H51" s="1"/>
  <c r="I50"/>
  <c r="H50"/>
  <c r="F49"/>
  <c r="I49" s="1"/>
  <c r="F48"/>
  <c r="H48" s="1"/>
  <c r="F47"/>
  <c r="I47" s="1"/>
  <c r="F46"/>
  <c r="H46" s="1"/>
  <c r="F45"/>
  <c r="I45" s="1"/>
  <c r="F44"/>
  <c r="H44" s="1"/>
  <c r="F43"/>
  <c r="I43" s="1"/>
  <c r="F42"/>
  <c r="H42" s="1"/>
  <c r="I40"/>
  <c r="H40"/>
  <c r="F39"/>
  <c r="I39" s="1"/>
  <c r="F38"/>
  <c r="H38" s="1"/>
  <c r="F37"/>
  <c r="I37" s="1"/>
  <c r="F36"/>
  <c r="H36" s="1"/>
  <c r="I35"/>
  <c r="H35"/>
  <c r="H33"/>
  <c r="F32"/>
  <c r="I32" s="1"/>
  <c r="I74" i="24"/>
  <c r="H79"/>
  <c r="F76"/>
  <c r="H76" s="1"/>
  <c r="F75"/>
  <c r="H75" s="1"/>
  <c r="H74"/>
  <c r="I72"/>
  <c r="H72"/>
  <c r="F68"/>
  <c r="H68" s="1"/>
  <c r="F67"/>
  <c r="I67" s="1"/>
  <c r="F66"/>
  <c r="H66" s="1"/>
  <c r="F65"/>
  <c r="I65" s="1"/>
  <c r="F64"/>
  <c r="H64" s="1"/>
  <c r="F63"/>
  <c r="I63" s="1"/>
  <c r="H62"/>
  <c r="H61"/>
  <c r="F59"/>
  <c r="H59" s="1"/>
  <c r="F54"/>
  <c r="I54" s="1"/>
  <c r="I51"/>
  <c r="H51"/>
  <c r="I50"/>
  <c r="H50"/>
  <c r="I49"/>
  <c r="H48"/>
  <c r="I47"/>
  <c r="H46"/>
  <c r="I45"/>
  <c r="H44"/>
  <c r="I43"/>
  <c r="H42"/>
  <c r="I40"/>
  <c r="H40"/>
  <c r="F39"/>
  <c r="I39" s="1"/>
  <c r="F38"/>
  <c r="H38" s="1"/>
  <c r="F37"/>
  <c r="I37" s="1"/>
  <c r="F36"/>
  <c r="H36" s="1"/>
  <c r="I35"/>
  <c r="H35"/>
  <c r="H33"/>
  <c r="F32"/>
  <c r="I32" s="1"/>
  <c r="H77" i="23"/>
  <c r="F74"/>
  <c r="H74" s="1"/>
  <c r="F73"/>
  <c r="H73" s="1"/>
  <c r="I72"/>
  <c r="H72"/>
  <c r="I70"/>
  <c r="H70"/>
  <c r="F68"/>
  <c r="H68" s="1"/>
  <c r="F67"/>
  <c r="I67" s="1"/>
  <c r="F66"/>
  <c r="H66" s="1"/>
  <c r="F65"/>
  <c r="I65" s="1"/>
  <c r="F64"/>
  <c r="H64" s="1"/>
  <c r="F63"/>
  <c r="I63" s="1"/>
  <c r="H62"/>
  <c r="H61"/>
  <c r="F59"/>
  <c r="H59" s="1"/>
  <c r="F54"/>
  <c r="I54" s="1"/>
  <c r="H51"/>
  <c r="I50"/>
  <c r="H50"/>
  <c r="F49"/>
  <c r="I49" s="1"/>
  <c r="F48"/>
  <c r="H48" s="1"/>
  <c r="F47"/>
  <c r="I47" s="1"/>
  <c r="F46"/>
  <c r="H46" s="1"/>
  <c r="F45"/>
  <c r="I45" s="1"/>
  <c r="F44"/>
  <c r="H44" s="1"/>
  <c r="F43"/>
  <c r="I43" s="1"/>
  <c r="F42"/>
  <c r="H42" s="1"/>
  <c r="I40"/>
  <c r="H40"/>
  <c r="F39"/>
  <c r="I39" s="1"/>
  <c r="F38"/>
  <c r="H38" s="1"/>
  <c r="F37"/>
  <c r="I37" s="1"/>
  <c r="F36"/>
  <c r="H36" s="1"/>
  <c r="I35"/>
  <c r="H35"/>
  <c r="H33"/>
  <c r="F32"/>
  <c r="I32" s="1"/>
  <c r="I72" i="22"/>
  <c r="H85"/>
  <c r="H77"/>
  <c r="F74"/>
  <c r="H74" s="1"/>
  <c r="F73"/>
  <c r="H73" s="1"/>
  <c r="H72"/>
  <c r="F54"/>
  <c r="I54" s="1"/>
  <c r="I51"/>
  <c r="F51"/>
  <c r="H51" s="1"/>
  <c r="I50"/>
  <c r="H50"/>
  <c r="F49"/>
  <c r="I49" s="1"/>
  <c r="F48"/>
  <c r="I48" s="1"/>
  <c r="F47"/>
  <c r="I47" s="1"/>
  <c r="F46"/>
  <c r="I46" s="1"/>
  <c r="F45"/>
  <c r="I45" s="1"/>
  <c r="F44"/>
  <c r="I44" s="1"/>
  <c r="F43"/>
  <c r="I43" s="1"/>
  <c r="F42"/>
  <c r="I42" s="1"/>
  <c r="I40"/>
  <c r="H40"/>
  <c r="F39"/>
  <c r="I39" s="1"/>
  <c r="F38"/>
  <c r="I38" s="1"/>
  <c r="F37"/>
  <c r="I37" s="1"/>
  <c r="F36"/>
  <c r="I36" s="1"/>
  <c r="I35"/>
  <c r="H35"/>
  <c r="H33"/>
  <c r="F32"/>
  <c r="I32" s="1"/>
  <c r="H43" i="25" l="1"/>
  <c r="H66"/>
  <c r="H49"/>
  <c r="H64"/>
  <c r="H47"/>
  <c r="H68"/>
  <c r="H45"/>
  <c r="H54"/>
  <c r="H32"/>
  <c r="I36"/>
  <c r="H37"/>
  <c r="I38"/>
  <c r="H39"/>
  <c r="I42"/>
  <c r="I44"/>
  <c r="I46"/>
  <c r="I48"/>
  <c r="I63"/>
  <c r="I65"/>
  <c r="I67"/>
  <c r="H47" i="24"/>
  <c r="H32"/>
  <c r="I36"/>
  <c r="H37"/>
  <c r="I38"/>
  <c r="H39"/>
  <c r="I42"/>
  <c r="H43"/>
  <c r="I44"/>
  <c r="H45"/>
  <c r="I46"/>
  <c r="I48"/>
  <c r="I83" s="1"/>
  <c r="H49"/>
  <c r="H54"/>
  <c r="H63"/>
  <c r="I64"/>
  <c r="H65"/>
  <c r="I66"/>
  <c r="H67"/>
  <c r="H32" i="23"/>
  <c r="I36"/>
  <c r="H37"/>
  <c r="I38"/>
  <c r="H39"/>
  <c r="I42"/>
  <c r="H43"/>
  <c r="I44"/>
  <c r="H45"/>
  <c r="I46"/>
  <c r="H47"/>
  <c r="I48"/>
  <c r="H49"/>
  <c r="H54"/>
  <c r="H63"/>
  <c r="I64"/>
  <c r="H65"/>
  <c r="I66"/>
  <c r="H67"/>
  <c r="I68"/>
  <c r="H36" i="22"/>
  <c r="H44"/>
  <c r="H38"/>
  <c r="H48"/>
  <c r="H42"/>
  <c r="H46"/>
  <c r="H32"/>
  <c r="H37"/>
  <c r="H39"/>
  <c r="H43"/>
  <c r="H45"/>
  <c r="H47"/>
  <c r="H49"/>
  <c r="H54"/>
  <c r="I92" i="24" l="1"/>
  <c r="I92" i="23"/>
  <c r="I94" i="25"/>
  <c r="I90" i="22"/>
  <c r="H83" i="21" l="1"/>
  <c r="H82"/>
  <c r="H76"/>
  <c r="F73"/>
  <c r="H73" s="1"/>
  <c r="H72"/>
  <c r="I68"/>
  <c r="H68"/>
  <c r="F66"/>
  <c r="H66" s="1"/>
  <c r="I65"/>
  <c r="H64"/>
  <c r="I63"/>
  <c r="H62"/>
  <c r="I61"/>
  <c r="H60"/>
  <c r="H59"/>
  <c r="F54"/>
  <c r="I54" s="1"/>
  <c r="I51"/>
  <c r="F51"/>
  <c r="H51" s="1"/>
  <c r="I50"/>
  <c r="H50"/>
  <c r="F49"/>
  <c r="I49" s="1"/>
  <c r="F48"/>
  <c r="H48" s="1"/>
  <c r="F47"/>
  <c r="I47" s="1"/>
  <c r="F46"/>
  <c r="H46" s="1"/>
  <c r="F45"/>
  <c r="I45" s="1"/>
  <c r="F44"/>
  <c r="H44" s="1"/>
  <c r="F43"/>
  <c r="I43" s="1"/>
  <c r="F42"/>
  <c r="H42" s="1"/>
  <c r="I40"/>
  <c r="H40"/>
  <c r="F39"/>
  <c r="I39" s="1"/>
  <c r="F38"/>
  <c r="H38" s="1"/>
  <c r="F37"/>
  <c r="I37" s="1"/>
  <c r="F36"/>
  <c r="H36" s="1"/>
  <c r="I35"/>
  <c r="H35"/>
  <c r="H33"/>
  <c r="F32"/>
  <c r="I32" s="1"/>
  <c r="I72" i="20"/>
  <c r="H76"/>
  <c r="F74"/>
  <c r="H74" s="1"/>
  <c r="F73"/>
  <c r="H73" s="1"/>
  <c r="H72"/>
  <c r="I70"/>
  <c r="H70"/>
  <c r="F68"/>
  <c r="H68" s="1"/>
  <c r="F67"/>
  <c r="H67" s="1"/>
  <c r="F66"/>
  <c r="H66" s="1"/>
  <c r="F65"/>
  <c r="H65" s="1"/>
  <c r="F64"/>
  <c r="H64" s="1"/>
  <c r="F63"/>
  <c r="H63" s="1"/>
  <c r="H62"/>
  <c r="H61"/>
  <c r="F59"/>
  <c r="H59" s="1"/>
  <c r="F54"/>
  <c r="I54" s="1"/>
  <c r="H51"/>
  <c r="I50"/>
  <c r="H50"/>
  <c r="I49"/>
  <c r="H48"/>
  <c r="I47"/>
  <c r="H46"/>
  <c r="H45"/>
  <c r="H44"/>
  <c r="H43"/>
  <c r="H42"/>
  <c r="I40"/>
  <c r="H40"/>
  <c r="F39"/>
  <c r="H39" s="1"/>
  <c r="F38"/>
  <c r="I38" s="1"/>
  <c r="F37"/>
  <c r="H37" s="1"/>
  <c r="F36"/>
  <c r="I36" s="1"/>
  <c r="I35"/>
  <c r="H35"/>
  <c r="H33"/>
  <c r="H32"/>
  <c r="H31"/>
  <c r="H30"/>
  <c r="I73" i="19"/>
  <c r="H79"/>
  <c r="F77"/>
  <c r="H77" s="1"/>
  <c r="F76"/>
  <c r="H76" s="1"/>
  <c r="I75"/>
  <c r="H75"/>
  <c r="H73"/>
  <c r="F71"/>
  <c r="H71" s="1"/>
  <c r="F70"/>
  <c r="H70" s="1"/>
  <c r="F69"/>
  <c r="H69" s="1"/>
  <c r="F68"/>
  <c r="H68" s="1"/>
  <c r="F67"/>
  <c r="H67" s="1"/>
  <c r="F66"/>
  <c r="H66" s="1"/>
  <c r="H65"/>
  <c r="H64"/>
  <c r="F62"/>
  <c r="H62" s="1"/>
  <c r="F60"/>
  <c r="H60" s="1"/>
  <c r="F57"/>
  <c r="I54"/>
  <c r="F54"/>
  <c r="H54" s="1"/>
  <c r="I53"/>
  <c r="H53"/>
  <c r="F52"/>
  <c r="I52" s="1"/>
  <c r="F51"/>
  <c r="H51" s="1"/>
  <c r="F50"/>
  <c r="I50" s="1"/>
  <c r="F49"/>
  <c r="H49" s="1"/>
  <c r="F48"/>
  <c r="H48" s="1"/>
  <c r="F47"/>
  <c r="H47" s="1"/>
  <c r="F46"/>
  <c r="H46" s="1"/>
  <c r="F45"/>
  <c r="H45" s="1"/>
  <c r="H34"/>
  <c r="H33"/>
  <c r="F33"/>
  <c r="F32"/>
  <c r="H32" s="1"/>
  <c r="F31"/>
  <c r="H31" s="1"/>
  <c r="F30"/>
  <c r="H30" s="1"/>
  <c r="I53" i="18"/>
  <c r="I86"/>
  <c r="I85"/>
  <c r="H83"/>
  <c r="F80"/>
  <c r="H80" s="1"/>
  <c r="F79"/>
  <c r="H79" s="1"/>
  <c r="H78"/>
  <c r="H74"/>
  <c r="F72"/>
  <c r="H72" s="1"/>
  <c r="F71"/>
  <c r="H71" s="1"/>
  <c r="F70"/>
  <c r="H70" s="1"/>
  <c r="F69"/>
  <c r="H69" s="1"/>
  <c r="F68"/>
  <c r="H68" s="1"/>
  <c r="F67"/>
  <c r="H67" s="1"/>
  <c r="H66"/>
  <c r="H65"/>
  <c r="F63"/>
  <c r="H63" s="1"/>
  <c r="I61"/>
  <c r="H57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H42"/>
  <c r="I40"/>
  <c r="H38"/>
  <c r="I37"/>
  <c r="H36"/>
  <c r="H34"/>
  <c r="H33"/>
  <c r="F33"/>
  <c r="F32"/>
  <c r="H32" s="1"/>
  <c r="F31"/>
  <c r="H31" s="1"/>
  <c r="F30"/>
  <c r="H30" s="1"/>
  <c r="I73" i="17"/>
  <c r="F82"/>
  <c r="I82" s="1"/>
  <c r="F81"/>
  <c r="H81" s="1"/>
  <c r="H77"/>
  <c r="F75"/>
  <c r="H75" s="1"/>
  <c r="F74"/>
  <c r="H74" s="1"/>
  <c r="H73"/>
  <c r="H71"/>
  <c r="F69"/>
  <c r="H69" s="1"/>
  <c r="F68"/>
  <c r="H68" s="1"/>
  <c r="F67"/>
  <c r="H67" s="1"/>
  <c r="F66"/>
  <c r="H66" s="1"/>
  <c r="F65"/>
  <c r="H65" s="1"/>
  <c r="F64"/>
  <c r="H64" s="1"/>
  <c r="H63"/>
  <c r="H62"/>
  <c r="F60"/>
  <c r="H60" s="1"/>
  <c r="H58"/>
  <c r="F55"/>
  <c r="I55" s="1"/>
  <c r="I52"/>
  <c r="F52"/>
  <c r="H52" s="1"/>
  <c r="H51"/>
  <c r="F50"/>
  <c r="H50" s="1"/>
  <c r="F49"/>
  <c r="H49" s="1"/>
  <c r="F48"/>
  <c r="H48" s="1"/>
  <c r="F47"/>
  <c r="H47" s="1"/>
  <c r="F46"/>
  <c r="H46" s="1"/>
  <c r="F45"/>
  <c r="H45" s="1"/>
  <c r="F44"/>
  <c r="H44" s="1"/>
  <c r="F43"/>
  <c r="H43" s="1"/>
  <c r="H41"/>
  <c r="F40"/>
  <c r="I40" s="1"/>
  <c r="F39"/>
  <c r="H39" s="1"/>
  <c r="F38"/>
  <c r="I38" s="1"/>
  <c r="F37"/>
  <c r="H37" s="1"/>
  <c r="H36"/>
  <c r="H34"/>
  <c r="H33"/>
  <c r="F33"/>
  <c r="F32"/>
  <c r="H32" s="1"/>
  <c r="F31"/>
  <c r="H31" s="1"/>
  <c r="F30"/>
  <c r="H30" s="1"/>
  <c r="H41" i="18" l="1"/>
  <c r="I41"/>
  <c r="H32" i="21"/>
  <c r="I36"/>
  <c r="H37"/>
  <c r="I38"/>
  <c r="H39"/>
  <c r="I42"/>
  <c r="H43"/>
  <c r="I44"/>
  <c r="H45"/>
  <c r="I46"/>
  <c r="H47"/>
  <c r="I48"/>
  <c r="H49"/>
  <c r="H54"/>
  <c r="H61"/>
  <c r="I62"/>
  <c r="H63"/>
  <c r="I64"/>
  <c r="I80" s="1"/>
  <c r="H65"/>
  <c r="I66"/>
  <c r="I32" i="20"/>
  <c r="I45"/>
  <c r="I43"/>
  <c r="I63"/>
  <c r="I66"/>
  <c r="I64"/>
  <c r="I30"/>
  <c r="I31"/>
  <c r="I46"/>
  <c r="I44"/>
  <c r="I42"/>
  <c r="I67"/>
  <c r="I65"/>
  <c r="I68"/>
  <c r="H47"/>
  <c r="H36"/>
  <c r="I37"/>
  <c r="H38"/>
  <c r="I39"/>
  <c r="I48"/>
  <c r="H49"/>
  <c r="H54"/>
  <c r="H50" i="19"/>
  <c r="I51"/>
  <c r="H52"/>
  <c r="H57"/>
  <c r="H85" i="18"/>
  <c r="I51"/>
  <c r="I52"/>
  <c r="H37"/>
  <c r="I38"/>
  <c r="I88" s="1"/>
  <c r="H40"/>
  <c r="H50"/>
  <c r="H61"/>
  <c r="H86"/>
  <c r="I37" i="17"/>
  <c r="H38"/>
  <c r="I39"/>
  <c r="H40"/>
  <c r="I48"/>
  <c r="H55"/>
  <c r="I58"/>
  <c r="I81"/>
  <c r="I83" s="1"/>
  <c r="H82"/>
  <c r="I87" i="20" l="1"/>
  <c r="I93" i="21"/>
  <c r="I92" i="18"/>
  <c r="I93" i="17"/>
  <c r="I92" i="19"/>
  <c r="F82" i="8" l="1"/>
  <c r="H82" s="1"/>
  <c r="F81"/>
  <c r="H81" s="1"/>
  <c r="H77"/>
  <c r="H71"/>
  <c r="F75"/>
  <c r="H75" s="1"/>
  <c r="F74"/>
  <c r="H74" s="1"/>
  <c r="H73"/>
  <c r="F69"/>
  <c r="H69" s="1"/>
  <c r="F68"/>
  <c r="H68" s="1"/>
  <c r="F67"/>
  <c r="H67" s="1"/>
  <c r="F66"/>
  <c r="H66" s="1"/>
  <c r="F65"/>
  <c r="H65" s="1"/>
  <c r="F64"/>
  <c r="H64" s="1"/>
  <c r="H63"/>
  <c r="H62"/>
  <c r="F60"/>
  <c r="H60" s="1"/>
  <c r="F55"/>
  <c r="H55" s="1"/>
  <c r="I52"/>
  <c r="F52"/>
  <c r="H52" s="1"/>
  <c r="H51"/>
  <c r="F50"/>
  <c r="H50" s="1"/>
  <c r="F49"/>
  <c r="H49" s="1"/>
  <c r="F48"/>
  <c r="H48" s="1"/>
  <c r="F47"/>
  <c r="H47" s="1"/>
  <c r="F46"/>
  <c r="H46" s="1"/>
  <c r="F45"/>
  <c r="H45" s="1"/>
  <c r="F44"/>
  <c r="H44" s="1"/>
  <c r="F43"/>
  <c r="H43" s="1"/>
  <c r="H41"/>
  <c r="F40"/>
  <c r="F39"/>
  <c r="I39" s="1"/>
  <c r="F38"/>
  <c r="H38" s="1"/>
  <c r="F37"/>
  <c r="I37" s="1"/>
  <c r="H36"/>
  <c r="H34"/>
  <c r="H33"/>
  <c r="F33"/>
  <c r="F32"/>
  <c r="H32" s="1"/>
  <c r="F31"/>
  <c r="H31" s="1"/>
  <c r="F30"/>
  <c r="H30" s="1"/>
  <c r="H27"/>
  <c r="F26"/>
  <c r="H26" s="1"/>
  <c r="F24"/>
  <c r="H24" s="1"/>
  <c r="F23"/>
  <c r="H23" s="1"/>
  <c r="F22"/>
  <c r="H22" s="1"/>
  <c r="F21"/>
  <c r="I21" s="1"/>
  <c r="F20"/>
  <c r="I20" s="1"/>
  <c r="F19"/>
  <c r="H19" s="1"/>
  <c r="E18"/>
  <c r="F18" s="1"/>
  <c r="F17"/>
  <c r="I17" s="1"/>
  <c r="F16"/>
  <c r="I16" s="1"/>
  <c r="H40" l="1"/>
  <c r="I40"/>
  <c r="H37"/>
  <c r="H17"/>
  <c r="H39"/>
  <c r="H21"/>
  <c r="I82"/>
  <c r="I81"/>
  <c r="I58"/>
  <c r="I55"/>
  <c r="I48"/>
  <c r="I38"/>
  <c r="I27"/>
  <c r="H18"/>
  <c r="I18"/>
  <c r="H16"/>
  <c r="H20"/>
  <c r="I83" l="1"/>
  <c r="I90" s="1"/>
</calcChain>
</file>

<file path=xl/sharedStrings.xml><?xml version="1.0" encoding="utf-8"?>
<sst xmlns="http://schemas.openxmlformats.org/spreadsheetml/2006/main" count="2570" uniqueCount="290">
  <si>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</si>
  <si>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</si>
  <si>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</si>
  <si>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</si>
  <si>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</si>
  <si>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</si>
  <si>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</si>
  <si>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</si>
  <si>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</si>
  <si>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</si>
  <si>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</si>
  <si>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</si>
  <si>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</si>
  <si>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</si>
  <si>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</si>
  <si>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</si>
  <si>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</si>
  <si>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</si>
  <si>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</si>
  <si>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</si>
  <si>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</si>
  <si>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</si>
  <si>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</si>
  <si>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</si>
  <si>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</si>
  <si>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</si>
  <si>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</si>
  <si>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</si>
  <si>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</si>
  <si>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</si>
  <si>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</si>
  <si>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</si>
  <si>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</si>
  <si>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</si>
  <si>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</si>
  <si>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</si>
  <si>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</si>
  <si>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</si>
  <si>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</si>
  <si>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</si>
  <si>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</si>
  <si>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</si>
  <si>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</si>
  <si>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</si>
  <si>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</si>
  <si>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</si>
  <si>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</si>
  <si>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</si>
  <si>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</si>
  <si>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</si>
  <si>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</si>
  <si>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</si>
  <si>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</si>
  <si>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</si>
  <si>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</si>
  <si>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</si>
  <si>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</si>
  <si>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</si>
  <si>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</si>
  <si>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</si>
  <si>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</si>
  <si>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</si>
  <si>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</si>
  <si>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</si>
  <si>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</si>
  <si>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</si>
  <si>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</si>
  <si>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</si>
  <si>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70 раз за сезон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</si>
  <si>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</si>
  <si>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</si>
  <si>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</si>
  <si>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</si>
  <si>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</si>
  <si>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</si>
  <si>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</si>
  <si>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</si>
  <si>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</si>
  <si>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</si>
  <si>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</si>
  <si>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</si>
  <si>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</si>
  <si>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II. Уборка земельного участка</t>
  </si>
  <si>
    <t>Влажное подметание лестничных клеток 1 этажа</t>
  </si>
  <si>
    <t>генеральный директор Куканов Ю.Л.</t>
  </si>
  <si>
    <t>шт</t>
  </si>
  <si>
    <t>Дератизация</t>
  </si>
  <si>
    <t>Влажная протирка перил</t>
  </si>
  <si>
    <t>100м2</t>
  </si>
  <si>
    <t xml:space="preserve">Влажная уборка стен 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</si>
  <si>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</si>
  <si>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</si>
  <si>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</si>
  <si>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Снятие показаний эл.счетчика коммунального назначения</t>
  </si>
  <si>
    <t>1 шт</t>
  </si>
  <si>
    <t>Влажная протирка почтовых ящиков</t>
  </si>
  <si>
    <t>Влажная протирка шкафов для щитов и слаботочных устройств</t>
  </si>
  <si>
    <t>Влажное подметание лестничных клеток 2-5 этажа</t>
  </si>
  <si>
    <t>Мытье лестничных  площадок и маршей 1-5 этаж.</t>
  </si>
  <si>
    <t>Уборка газонов</t>
  </si>
  <si>
    <t>1000м2</t>
  </si>
  <si>
    <t>52 раза в сезон</t>
  </si>
  <si>
    <t>78 раз за сезон</t>
  </si>
  <si>
    <t>Уборка контейнерной площадки (16 кв.м.)</t>
  </si>
  <si>
    <t>155 раз за сезон</t>
  </si>
  <si>
    <t xml:space="preserve">Пескопосыпка территории: крыльца и тротуары </t>
  </si>
  <si>
    <t>Осмотр шиферной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</si>
  <si>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</si>
  <si>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</si>
  <si>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</si>
  <si>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</si>
  <si>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</si>
  <si>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</si>
  <si>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</si>
  <si>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</si>
  <si>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</si>
  <si>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</si>
  <si>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 xml:space="preserve"> 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</si>
  <si>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</si>
  <si>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</si>
  <si>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№5 по ул.Мира пгт.Ярега
</t>
  </si>
  <si>
    <t>Мытье окон</t>
  </si>
  <si>
    <t>10м2</t>
  </si>
  <si>
    <t xml:space="preserve">1 раз в год     </t>
  </si>
  <si>
    <t xml:space="preserve">1 раз в год    </t>
  </si>
  <si>
    <t>30 раз за сезон</t>
  </si>
  <si>
    <t>Лестничная клетка</t>
  </si>
  <si>
    <t>Установка пружин на входных дверях</t>
  </si>
  <si>
    <t>Смена плавкой вставки в электрощитке</t>
  </si>
  <si>
    <t>Замена ламп ДРЛ</t>
  </si>
  <si>
    <t>АКТ №1</t>
  </si>
  <si>
    <t>III. Проведение технических осмотров и мелкий ремонт</t>
  </si>
  <si>
    <t>IV. Содержание общего имущества МКД</t>
  </si>
  <si>
    <t>V. Прочие услуги</t>
  </si>
  <si>
    <t>Подметание территории с усовершенствованным покрытием асф.: крыльца, контейнерн пл., проезд, тротуар</t>
  </si>
  <si>
    <t>5 раз в год</t>
  </si>
  <si>
    <t>Итого затраты за месяц</t>
  </si>
  <si>
    <t>АКТ №2</t>
  </si>
  <si>
    <t>АКТ №3</t>
  </si>
  <si>
    <t>Работа автовышки</t>
  </si>
  <si>
    <t>маш/час</t>
  </si>
  <si>
    <t>АКТ №4</t>
  </si>
  <si>
    <t>III. Содержание общего имущества МКД</t>
  </si>
  <si>
    <t>IV. Прочие услуги</t>
  </si>
  <si>
    <t>АКТ №5</t>
  </si>
  <si>
    <t>АКТ №6</t>
  </si>
  <si>
    <t>АКТ №7</t>
  </si>
  <si>
    <t>АКТ №8</t>
  </si>
  <si>
    <t>АКТ №9</t>
  </si>
  <si>
    <t>АКТ №10</t>
  </si>
  <si>
    <r>
      <t xml:space="preserve">1.   Исполнителем   предъявлены   к   приемке   следующие   оказанные   на   основании   Договора   на   содержание   и   ремонт   многоквартирного   дома    № 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ул.Мира, д.5</t>
    </r>
  </si>
  <si>
    <t>АКТ №11</t>
  </si>
  <si>
    <t>Ремонт штукатурки внутренних стен по камню и бетону цементно-известковым раствором площадью до 1 м2 толщиной слоя до 20 мм</t>
  </si>
  <si>
    <t>10 м2</t>
  </si>
  <si>
    <t>АКТ №12</t>
  </si>
  <si>
    <t>ООО «Движение»</t>
  </si>
  <si>
    <r>
      <t xml:space="preserve">    Собственники   помещений   в  многоквартирном  доме,  расположенном  по  адресу:  пгт.Ярега,  ул.Мира,  д.5,  именуемые  в  дальнейшем 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14.05.2013г. стороны, и ООО «Движение», именуемое в дальнейшем "Исполнитель", в лице генерального директора Куканова  Юрия 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</si>
  <si>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Очистка вручную от снега и наледи люков каналиационных и водопроводных колодцев</t>
  </si>
  <si>
    <t>за период с 01.02.2019 г. по 28.02.2019 г.</t>
  </si>
  <si>
    <t>м</t>
  </si>
  <si>
    <t>Организация и содержание мест накопления ТКО</t>
  </si>
  <si>
    <t>13 раз</t>
  </si>
  <si>
    <t>8 раз</t>
  </si>
  <si>
    <t>2 раза</t>
  </si>
  <si>
    <t xml:space="preserve">1 раз </t>
  </si>
  <si>
    <t>1 раз</t>
  </si>
  <si>
    <t>21 раз</t>
  </si>
  <si>
    <t>5 раз</t>
  </si>
  <si>
    <t>25 раз</t>
  </si>
  <si>
    <t>11 раз</t>
  </si>
  <si>
    <t>7 раз</t>
  </si>
  <si>
    <t>3 шт</t>
  </si>
  <si>
    <t>3 раза</t>
  </si>
  <si>
    <t>1 маш/час</t>
  </si>
  <si>
    <t>Водоснабжение и канализация</t>
  </si>
  <si>
    <t>Техническое обслуживание внутренних сетей водопровода и канализации</t>
  </si>
  <si>
    <t>руб/м2 в мес</t>
  </si>
  <si>
    <t>руб</t>
  </si>
  <si>
    <t>Смена арматуры - вентилей и клапанов обратных муфтовых диаметром до 20 мм</t>
  </si>
  <si>
    <t>за период с 01.01.2020 г. по 31.01.2020 г.</t>
  </si>
  <si>
    <t>15.01.2020 и 17.01.2020</t>
  </si>
  <si>
    <t>21,26 февраля</t>
  </si>
  <si>
    <t>Смена внутренних трубопроводов на полипропиленовые трубы PN 25Dу 20</t>
  </si>
  <si>
    <t>Смена внутренних трубопроводов на полипропиленовые трубы PN 25Dу 25</t>
  </si>
  <si>
    <t>кв.30 подводка к п/с, 2 м</t>
  </si>
  <si>
    <t>кв.30 подводка к п/с, 1м</t>
  </si>
  <si>
    <r>
      <t xml:space="preserve">    Собственники   помещений   в  многоквартирном  доме,  расположенном  по  адресу:  пгт.Ярега,  ул.Мира,  д.5,  именуемые  в  дальнейшем 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18.02.2020г. стороны, и ООО «Движение», именуемое в дальнейшем "Исполнитель", в лице генерального директора Куканова  Юрия 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</si>
  <si>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за период с 01.03.2020 г. по 31.03.2020 г.</t>
  </si>
  <si>
    <t xml:space="preserve">Подметание снега с ткрылец </t>
  </si>
  <si>
    <t>Вывоз снега с придомовой территории</t>
  </si>
  <si>
    <t>1 м3</t>
  </si>
  <si>
    <t xml:space="preserve">Очистка территории 1-го класса с усовершенствованным покрытием под скребок: ступеньки и площадки крылец, </t>
  </si>
  <si>
    <t>15 раз за сезон</t>
  </si>
  <si>
    <t>Очистка вручную от снега и наледи люков водопроводных и канализацинных колодцев</t>
  </si>
  <si>
    <t>Обслуживание ОДПУ эл.энергии и холодной воды</t>
  </si>
  <si>
    <t>Работы по ведению технической и отчетной документации, сбору и начислению платежей</t>
  </si>
  <si>
    <t>Работы по проведению одного общего собрания собственников МКД</t>
  </si>
  <si>
    <t>2,13 марта</t>
  </si>
  <si>
    <t>6 раз</t>
  </si>
  <si>
    <t>2. Всего за период с 01.03.2020 по 31.03.2020 выполнено работ (оказано услуг) на общую сумму: 48216,68 руб.</t>
  </si>
  <si>
    <t>(сорок восемь тысяч двести естнадцать рублей 68 копеек)</t>
  </si>
  <si>
    <t>за период с 01.04.2020 г. по 30.04.2020 г.</t>
  </si>
  <si>
    <t>2. Всего за период с 01.04.2020 по 30.04.2020 выполнено работ (оказано услуг) на общую сумму: 36048,43 руб.</t>
  </si>
  <si>
    <t>(тридцать шесть тысяч сорок восемь рублей 43 копейки)</t>
  </si>
  <si>
    <t>за период с 01.05.2020 г. по 31.05.2020 г.</t>
  </si>
  <si>
    <t>4 раза</t>
  </si>
  <si>
    <t>1  раз</t>
  </si>
  <si>
    <t>2. Всего за период с 01.05.2020 по 31.05.2020 выполнено работ (оказано услуг) на общую сумму: 57603,3 руб.</t>
  </si>
  <si>
    <t>(пятьдесят семь тысяч шестьсот три рубля 53 копейки)</t>
  </si>
  <si>
    <t>за период с 01.06.2020 г. по 30.06.2020 г.</t>
  </si>
  <si>
    <t xml:space="preserve">1 раз  </t>
  </si>
  <si>
    <t xml:space="preserve">1 раз    </t>
  </si>
  <si>
    <t>Покраска входных металлических дверей 1,2,3 под.</t>
  </si>
  <si>
    <t xml:space="preserve">Оштукатуривание стен тамбура </t>
  </si>
  <si>
    <t>Косметический ремонт под.№3 после пожара</t>
  </si>
  <si>
    <t>Оштукатуривание фасада ( в.31)</t>
  </si>
  <si>
    <t>Смена внутренних трубопроводов на полипропиленовые трубы PN25 Dу 25</t>
  </si>
  <si>
    <t>кв.33 1м</t>
  </si>
  <si>
    <t>1 шт. р/у</t>
  </si>
  <si>
    <t>4 м2</t>
  </si>
  <si>
    <t>3 м2</t>
  </si>
  <si>
    <t>за период с 01.07.2020 г. по 31.07.2020 г.</t>
  </si>
  <si>
    <t>Утепление чердака и утепление фановых труб</t>
  </si>
  <si>
    <t>Снятие и навеска полотна (без снятия петель)</t>
  </si>
  <si>
    <t>1 полотно</t>
  </si>
  <si>
    <t>10 раз</t>
  </si>
  <si>
    <t>Ремонт железной двери</t>
  </si>
  <si>
    <t>под.№2</t>
  </si>
  <si>
    <t>за период с 01.08.2020 г. по 31.08.2020 г.</t>
  </si>
  <si>
    <t>Смена внутренних трубопроводов на м/п диаметром 20 мм</t>
  </si>
  <si>
    <t>1 м</t>
  </si>
  <si>
    <t>ГВС кв.31 0,5 м</t>
  </si>
  <si>
    <t>ХВС подвал 1 шт</t>
  </si>
  <si>
    <t>2. Всего за период с 01.07.2020 по 31.07.2020 выполнено работ (оказано услуг) на общую сумму: 120054,48 руб.</t>
  </si>
  <si>
    <t>(сто двадцать тысяч пятьдесят четыре рубля 48 копеек)</t>
  </si>
  <si>
    <t>за период с 01.09.2020 г. по 30.09.2020 г.</t>
  </si>
  <si>
    <t>Ремонт крана</t>
  </si>
  <si>
    <t>Прочистка фильтра</t>
  </si>
  <si>
    <t>3м</t>
  </si>
  <si>
    <t>ХВС 1 шт;</t>
  </si>
  <si>
    <t>с/о подвал 2 шт.</t>
  </si>
  <si>
    <t>за период с 01.10.2020 г. по 31.10.2020 г.</t>
  </si>
  <si>
    <t>Вскрыли шахту для работ ВДИС</t>
  </si>
  <si>
    <t>Восстановление шахты после работ ВДИС</t>
  </si>
  <si>
    <t>100 мЗ</t>
  </si>
  <si>
    <t>Ремонт дверцы эл.щитка</t>
  </si>
  <si>
    <t>руб.</t>
  </si>
  <si>
    <t>Отключение с/о</t>
  </si>
  <si>
    <t>Сварочные работы</t>
  </si>
  <si>
    <t>час</t>
  </si>
  <si>
    <t>генеральный директор Кочанова И.Л.</t>
  </si>
  <si>
    <t>кв.43</t>
  </si>
  <si>
    <t>за период с 01.11.2020 г. по 30.11.2020 г.</t>
  </si>
  <si>
    <r>
      <t xml:space="preserve">    Собственники   помещений   в  многоквартирном  доме,  расположенном  по  адресу:  пгт.Ярега,  ул.Мира,  д.5,  именуемые  в  дальнейшем 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14.05.2013г. стороны, и ООО «Движение», именуемое в дальнейшем "Исполнитель", в лице генерального директора Кочановой   Ирины 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</si>
  <si>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 xml:space="preserve">2 раза </t>
  </si>
  <si>
    <t>Свод деревьев и кустов</t>
  </si>
  <si>
    <t>1 мЗ</t>
  </si>
  <si>
    <t>Смена арматуры - вентилей и клапанов обратных муфтовых диаметром до 20 мм ( без материалов)</t>
  </si>
  <si>
    <t>Отключение стояка ГВС</t>
  </si>
  <si>
    <t>1 шт. ГВС кв.11</t>
  </si>
  <si>
    <t>1 шт. кв.14 п/с</t>
  </si>
  <si>
    <t>отмостка</t>
  </si>
  <si>
    <t>2. Всего за период с 01.11.2020 по 30.11.2020 выполнено работ (оказано услуг) на общую сумму: 39817,86 руб.</t>
  </si>
  <si>
    <t>(тридцать девять тысяч восемьсот семнадцать рублей 86 копеек)</t>
  </si>
  <si>
    <t>за период с 01.12.2020 г. по 31.12.2020 г.</t>
  </si>
  <si>
    <t>1,1 ч ( 18,21,23 дек)</t>
  </si>
  <si>
    <t>2. Всего за период с 01.12.2020 по 31.12.2020 выполнено работ (оказано услуг) на общую сумму: 53313,13 руб.</t>
  </si>
  <si>
    <t>(пятьдесят три тысячи триста тринадцать рублей 13 копеек)</t>
  </si>
  <si>
    <r>
      <t xml:space="preserve">    Собственники   помещений   в  многоквартирном  доме,  расположенном  по  адресу:  пгт.Ярега,  ул.Мира,  д.5,  именуемые  в  дальнейшем 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18.02.2020г. стороны, и ООО «Движение», именуемое в дальнейшем "Исполнитель", в лице генерального директора Кочановой  Ирины 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</si>
  <si>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2. Всего за период с 01.01.2020 по 31.01.2020 выполнено работ (оказано услуг) на общую сумму: 44013,16 руб.</t>
  </si>
  <si>
    <t>(сорок четыре тысячи тринадцать рублей 16 копеек)</t>
  </si>
  <si>
    <t>2. Всего за период с 01.02.2020 по 28.02.2020 выполнено работ (оказано услуг) на общую сумму: 46858,62 руб.</t>
  </si>
  <si>
    <t>(сорок шесть тысяч восемьсот пятьдесят восемь рублей 62 копейки)</t>
  </si>
  <si>
    <t>2. Всего за период с 01.06.2020 по 30.06.2020 выполнено работ (оказано услуг) на общую сумму: 165017,95 руб.</t>
  </si>
  <si>
    <t>(сто шестьдесят пять тысяч семнадцать рублей 95 копеек)</t>
  </si>
  <si>
    <t>2. Всего за период с 01.08.2020 по 31.08.2020 выполнено работ (оказано услуг) на общую сумму: 46611,85 руб.</t>
  </si>
  <si>
    <t>(сорок шесть тысяч шестьсот одиннадцать рублей 85 копеек)</t>
  </si>
  <si>
    <t>2. Всего за период с 01.09.2020 по 30.09.2020 выполнено работ (оказано услуг) на общую сумму: 51509,73 руб.</t>
  </si>
  <si>
    <t>(пятьдесят одна тысяча пятьсот девять рублей 73 копейки)</t>
  </si>
  <si>
    <t>2. Всего за период с 01.10.2020 по 31.10.2020 выполнено работ (оказано услуг) на общую сумму: 40413,61 руб.</t>
  </si>
  <si>
    <t>(сорок тысяч четыреста тринадцать рублей 61 копейка)</t>
  </si>
  <si>
    <t>Установка хомута диаметром до 50 мм</t>
  </si>
  <si>
    <t>место</t>
  </si>
  <si>
    <t>Осмотр водопроводов, канализации, отопления</t>
  </si>
  <si>
    <t xml:space="preserve">Установка хомута диаметром до 50 мм </t>
  </si>
  <si>
    <t>Осмотр электросетей, армазуры и электрооборудования на лестничных клетках</t>
  </si>
  <si>
    <t>1шт.</t>
  </si>
  <si>
    <t>Очистка канализационной сети внутренней</t>
  </si>
  <si>
    <t>1 шт.</t>
  </si>
  <si>
    <t>7м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</si>
</sst>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#,##0.0000"/>
  </numFmts>
  <fonts count="22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12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" fontId="11" fillId="2" borderId="10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/>
    </xf>
    <xf numFmtId="4" fontId="11" fillId="2" borderId="1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4" fontId="17" fillId="0" borderId="7" xfId="0" applyNumberFormat="1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4" fontId="11" fillId="2" borderId="5" xfId="0" applyNumberFormat="1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4" fontId="11" fillId="2" borderId="7" xfId="0" applyNumberFormat="1" applyFont="1" applyFill="1" applyBorder="1" applyAlignment="1">
      <alignment horizontal="center" vertical="center" wrapText="1"/>
    </xf>
    <xf numFmtId="4" fontId="11" fillId="2" borderId="7" xfId="0" applyNumberFormat="1" applyFont="1" applyFill="1" applyBorder="1" applyAlignment="1">
      <alignment horizontal="center" vertical="center"/>
    </xf>
    <xf numFmtId="4" fontId="11" fillId="2" borderId="14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left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164" fontId="11" fillId="2" borderId="3" xfId="0" applyNumberFormat="1" applyFont="1" applyFill="1" applyBorder="1" applyAlignment="1">
      <alignment horizontal="center" vertical="center"/>
    </xf>
    <xf numFmtId="4" fontId="21" fillId="0" borderId="3" xfId="0" applyNumberFormat="1" applyFont="1" applyFill="1" applyBorder="1" applyAlignment="1">
      <alignment horizontal="center" vertical="center" wrapText="1"/>
    </xf>
    <xf numFmtId="4" fontId="11" fillId="3" borderId="7" xfId="0" applyNumberFormat="1" applyFont="1" applyFill="1" applyBorder="1" applyAlignment="1">
      <alignment horizontal="center" vertical="center" wrapText="1"/>
    </xf>
    <xf numFmtId="14" fontId="11" fillId="0" borderId="7" xfId="0" applyNumberFormat="1" applyFont="1" applyFill="1" applyBorder="1" applyAlignment="1">
      <alignment horizontal="left" vertical="center" wrapText="1"/>
    </xf>
    <xf numFmtId="4" fontId="19" fillId="2" borderId="3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left" vertical="center" wrapText="1"/>
    </xf>
    <xf numFmtId="4" fontId="19" fillId="2" borderId="3" xfId="0" applyNumberFormat="1" applyFont="1" applyFill="1" applyBorder="1" applyAlignment="1">
      <alignment horizontal="center" vertical="center" wrapText="1"/>
    </xf>
    <xf numFmtId="4" fontId="19" fillId="2" borderId="0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4" fontId="11" fillId="2" borderId="15" xfId="0" applyNumberFormat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center" vertical="center"/>
    </xf>
    <xf numFmtId="4" fontId="11" fillId="3" borderId="7" xfId="0" applyNumberFormat="1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left" vertical="center" wrapText="1"/>
    </xf>
    <xf numFmtId="0" fontId="11" fillId="2" borderId="19" xfId="0" applyFont="1" applyFill="1" applyBorder="1" applyAlignment="1">
      <alignment horizontal="center" vertical="center"/>
    </xf>
    <xf numFmtId="1" fontId="11" fillId="2" borderId="19" xfId="0" applyNumberFormat="1" applyFont="1" applyFill="1" applyBorder="1" applyAlignment="1">
      <alignment horizontal="left" vertical="center" wrapText="1"/>
    </xf>
    <xf numFmtId="4" fontId="11" fillId="2" borderId="19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4" fontId="11" fillId="0" borderId="20" xfId="0" applyNumberFormat="1" applyFont="1" applyFill="1" applyBorder="1" applyAlignment="1">
      <alignment horizontal="center" vertical="center"/>
    </xf>
    <xf numFmtId="4" fontId="11" fillId="0" borderId="19" xfId="0" applyNumberFormat="1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left" vertical="center" wrapText="1"/>
    </xf>
    <xf numFmtId="0" fontId="11" fillId="2" borderId="19" xfId="0" applyFont="1" applyFill="1" applyBorder="1" applyAlignment="1">
      <alignment horizontal="left" vertical="center"/>
    </xf>
    <xf numFmtId="4" fontId="11" fillId="2" borderId="18" xfId="0" applyNumberFormat="1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4" fontId="19" fillId="3" borderId="3" xfId="0" applyNumberFormat="1" applyFont="1" applyFill="1" applyBorder="1" applyAlignment="1">
      <alignment horizontal="center" vertical="center"/>
    </xf>
    <xf numFmtId="14" fontId="11" fillId="2" borderId="7" xfId="0" applyNumberFormat="1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11" fillId="2" borderId="11" xfId="0" applyNumberFormat="1" applyFont="1" applyFill="1" applyBorder="1" applyAlignment="1" applyProtection="1">
      <alignment horizontal="left" vertical="center" wrapText="1"/>
    </xf>
    <xf numFmtId="0" fontId="11" fillId="2" borderId="11" xfId="0" applyNumberFormat="1" applyFont="1" applyFill="1" applyBorder="1" applyAlignment="1" applyProtection="1">
      <alignment horizontal="center" vertical="center" wrapText="1"/>
    </xf>
    <xf numFmtId="165" fontId="11" fillId="2" borderId="3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4" fontId="19" fillId="2" borderId="7" xfId="0" applyNumberFormat="1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/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4" fontId="19" fillId="2" borderId="11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1"/>
  <sheetViews>
    <sheetView topLeftCell="A56" workbookViewId="0">
      <selection activeCell="B87" sqref="B87:I8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9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155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94" t="s">
        <v>130</v>
      </c>
      <c r="B3" s="194"/>
      <c r="C3" s="194"/>
      <c r="D3" s="194"/>
      <c r="E3" s="194"/>
      <c r="F3" s="194"/>
      <c r="G3" s="194"/>
      <c r="H3" s="194"/>
      <c r="I3" s="194"/>
      <c r="J3" s="3"/>
      <c r="K3" s="3"/>
      <c r="L3" s="3"/>
    </row>
    <row r="4" spans="1:13" ht="31.5" customHeight="1">
      <c r="A4" s="195" t="s">
        <v>120</v>
      </c>
      <c r="B4" s="195"/>
      <c r="C4" s="195"/>
      <c r="D4" s="195"/>
      <c r="E4" s="195"/>
      <c r="F4" s="195"/>
      <c r="G4" s="195"/>
      <c r="H4" s="195"/>
      <c r="I4" s="195"/>
    </row>
    <row r="5" spans="1:13" ht="15.75" customHeight="1">
      <c r="A5" s="194" t="s">
        <v>179</v>
      </c>
      <c r="B5" s="198"/>
      <c r="C5" s="198"/>
      <c r="D5" s="198"/>
      <c r="E5" s="198"/>
      <c r="F5" s="198"/>
      <c r="G5" s="198"/>
      <c r="H5" s="198"/>
      <c r="I5" s="198"/>
      <c r="J5" s="2"/>
      <c r="K5" s="2"/>
      <c r="L5" s="2"/>
      <c r="M5" s="2"/>
    </row>
    <row r="6" spans="1:13" ht="15.75" customHeight="1">
      <c r="A6" s="2"/>
      <c r="B6" s="60"/>
      <c r="C6" s="60"/>
      <c r="D6" s="60"/>
      <c r="E6" s="60"/>
      <c r="F6" s="74"/>
      <c r="G6" s="60"/>
      <c r="H6" s="74"/>
      <c r="I6" s="32">
        <v>43861</v>
      </c>
      <c r="J6" s="2"/>
      <c r="K6" s="2"/>
      <c r="L6" s="2"/>
      <c r="M6" s="2"/>
    </row>
    <row r="7" spans="1:13" ht="15.75" customHeight="1">
      <c r="B7" s="57"/>
      <c r="C7" s="57"/>
      <c r="D7" s="57"/>
      <c r="E7" s="3"/>
      <c r="F7" s="3"/>
      <c r="G7" s="3"/>
      <c r="H7" s="3"/>
      <c r="J7" s="3"/>
      <c r="K7" s="3"/>
      <c r="L7" s="3"/>
      <c r="M7" s="3"/>
    </row>
    <row r="8" spans="1:13" s="64" customFormat="1" ht="78.75" customHeight="1">
      <c r="A8" s="196" t="s">
        <v>156</v>
      </c>
      <c r="B8" s="196"/>
      <c r="C8" s="196"/>
      <c r="D8" s="196"/>
      <c r="E8" s="196"/>
      <c r="F8" s="196"/>
      <c r="G8" s="196"/>
      <c r="H8" s="196"/>
      <c r="I8" s="196"/>
      <c r="J8" s="61"/>
      <c r="K8" s="61"/>
      <c r="L8" s="61"/>
      <c r="M8" s="61"/>
    </row>
    <row r="9" spans="1:13" ht="15.75">
      <c r="A9" s="4"/>
      <c r="J9" s="2"/>
      <c r="K9" s="2"/>
      <c r="L9" s="2"/>
      <c r="M9" s="2"/>
    </row>
    <row r="10" spans="1:13" ht="47.25" customHeight="1">
      <c r="A10" s="197" t="s">
        <v>150</v>
      </c>
      <c r="B10" s="197"/>
      <c r="C10" s="197"/>
      <c r="D10" s="197"/>
      <c r="E10" s="197"/>
      <c r="F10" s="197"/>
      <c r="G10" s="197"/>
      <c r="H10" s="197"/>
      <c r="I10" s="19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 ht="15.7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9" t="s">
        <v>59</v>
      </c>
      <c r="B14" s="199"/>
      <c r="C14" s="199"/>
      <c r="D14" s="199"/>
      <c r="E14" s="199"/>
      <c r="F14" s="199"/>
      <c r="G14" s="199"/>
      <c r="H14" s="199"/>
      <c r="I14" s="199"/>
      <c r="J14" s="8"/>
      <c r="K14" s="8"/>
      <c r="L14" s="8"/>
      <c r="M14" s="8"/>
    </row>
    <row r="15" spans="1:13" ht="15.75" customHeight="1">
      <c r="A15" s="200" t="s">
        <v>4</v>
      </c>
      <c r="B15" s="200"/>
      <c r="C15" s="200"/>
      <c r="D15" s="200"/>
      <c r="E15" s="200"/>
      <c r="F15" s="200"/>
      <c r="G15" s="200"/>
      <c r="H15" s="200"/>
      <c r="I15" s="200"/>
      <c r="J15" s="8"/>
      <c r="K15" s="8"/>
      <c r="L15" s="8"/>
      <c r="M15" s="8"/>
    </row>
    <row r="16" spans="1:13" ht="15.75" customHeight="1">
      <c r="A16" s="31">
        <v>1</v>
      </c>
      <c r="B16" s="91" t="s">
        <v>83</v>
      </c>
      <c r="C16" s="92" t="s">
        <v>88</v>
      </c>
      <c r="D16" s="91" t="s">
        <v>161</v>
      </c>
      <c r="E16" s="93">
        <v>47.52</v>
      </c>
      <c r="F16" s="94">
        <f>SUM(E16*156/100)</f>
        <v>74.131200000000007</v>
      </c>
      <c r="G16" s="94">
        <v>175.38</v>
      </c>
      <c r="H16" s="95">
        <f t="shared" ref="H16:H27" si="0">SUM(F16*G16/1000)</f>
        <v>13.001129856000002</v>
      </c>
      <c r="I16" s="13">
        <f>F16/12*G16</f>
        <v>1083.427488</v>
      </c>
      <c r="J16" s="8"/>
      <c r="K16" s="8"/>
      <c r="L16" s="8"/>
      <c r="M16" s="8"/>
    </row>
    <row r="17" spans="1:13" ht="15.75" customHeight="1">
      <c r="A17" s="31">
        <v>2</v>
      </c>
      <c r="B17" s="91" t="s">
        <v>97</v>
      </c>
      <c r="C17" s="92" t="s">
        <v>88</v>
      </c>
      <c r="D17" s="91" t="s">
        <v>162</v>
      </c>
      <c r="E17" s="93">
        <v>190.08</v>
      </c>
      <c r="F17" s="94">
        <f>SUM(E17*104/100)</f>
        <v>197.6832</v>
      </c>
      <c r="G17" s="94">
        <v>175.38</v>
      </c>
      <c r="H17" s="95">
        <f t="shared" si="0"/>
        <v>34.669679616000003</v>
      </c>
      <c r="I17" s="13">
        <f>F17/12*G17</f>
        <v>2889.139968</v>
      </c>
      <c r="J17" s="8"/>
      <c r="K17" s="8"/>
      <c r="L17" s="8"/>
      <c r="M17" s="8"/>
    </row>
    <row r="18" spans="1:13" ht="15.75" customHeight="1">
      <c r="A18" s="31">
        <v>3</v>
      </c>
      <c r="B18" s="91" t="s">
        <v>98</v>
      </c>
      <c r="C18" s="92" t="s">
        <v>88</v>
      </c>
      <c r="D18" s="91" t="s">
        <v>163</v>
      </c>
      <c r="E18" s="93">
        <f>SUM(E16+E17)</f>
        <v>237.60000000000002</v>
      </c>
      <c r="F18" s="94">
        <f>SUM(E18*24/100)</f>
        <v>57.024000000000008</v>
      </c>
      <c r="G18" s="94">
        <v>504.5</v>
      </c>
      <c r="H18" s="95">
        <f t="shared" si="0"/>
        <v>28.768608000000004</v>
      </c>
      <c r="I18" s="13">
        <f>F18/12*G18</f>
        <v>2397.3840000000005</v>
      </c>
      <c r="J18" s="8"/>
      <c r="K18" s="8"/>
      <c r="L18" s="8"/>
      <c r="M18" s="8"/>
    </row>
    <row r="19" spans="1:13" ht="15.75" hidden="1" customHeight="1">
      <c r="A19" s="31">
        <v>4</v>
      </c>
      <c r="B19" s="91" t="s">
        <v>121</v>
      </c>
      <c r="C19" s="92" t="s">
        <v>122</v>
      </c>
      <c r="D19" s="91" t="s">
        <v>123</v>
      </c>
      <c r="E19" s="93">
        <v>18.48</v>
      </c>
      <c r="F19" s="94">
        <f>SUM(E19/10)</f>
        <v>1.8480000000000001</v>
      </c>
      <c r="G19" s="94">
        <v>170.16</v>
      </c>
      <c r="H19" s="95">
        <f t="shared" si="0"/>
        <v>0.31445568000000002</v>
      </c>
      <c r="I19" s="13">
        <v>0</v>
      </c>
      <c r="J19" s="8"/>
      <c r="K19" s="8"/>
      <c r="L19" s="8"/>
      <c r="M19" s="8"/>
    </row>
    <row r="20" spans="1:13" ht="15.75" customHeight="1">
      <c r="A20" s="31">
        <v>4</v>
      </c>
      <c r="B20" s="91" t="s">
        <v>87</v>
      </c>
      <c r="C20" s="92" t="s">
        <v>88</v>
      </c>
      <c r="D20" s="91" t="s">
        <v>164</v>
      </c>
      <c r="E20" s="93">
        <v>10.5</v>
      </c>
      <c r="F20" s="94">
        <f>SUM(E20*12/100)</f>
        <v>1.26</v>
      </c>
      <c r="G20" s="94">
        <v>217.88</v>
      </c>
      <c r="H20" s="95">
        <f t="shared" si="0"/>
        <v>0.27452880000000002</v>
      </c>
      <c r="I20" s="13">
        <f>F20/12*G20</f>
        <v>22.877399999999998</v>
      </c>
      <c r="J20" s="8"/>
      <c r="K20" s="8"/>
      <c r="L20" s="8"/>
      <c r="M20" s="8"/>
    </row>
    <row r="21" spans="1:13" ht="15.75" customHeight="1">
      <c r="A21" s="31">
        <v>5</v>
      </c>
      <c r="B21" s="91" t="s">
        <v>95</v>
      </c>
      <c r="C21" s="92" t="s">
        <v>88</v>
      </c>
      <c r="D21" s="91" t="s">
        <v>165</v>
      </c>
      <c r="E21" s="93">
        <v>2.7</v>
      </c>
      <c r="F21" s="94">
        <f>SUM(E21*12/100)</f>
        <v>0.32400000000000007</v>
      </c>
      <c r="G21" s="94">
        <v>203.5</v>
      </c>
      <c r="H21" s="95">
        <f t="shared" si="0"/>
        <v>6.5934000000000006E-2</v>
      </c>
      <c r="I21" s="13">
        <f>F21/12*G21</f>
        <v>5.4945000000000013</v>
      </c>
      <c r="J21" s="8"/>
      <c r="K21" s="8"/>
      <c r="L21" s="8"/>
      <c r="M21" s="8"/>
    </row>
    <row r="22" spans="1:13" ht="15.75" hidden="1" customHeight="1">
      <c r="A22" s="31">
        <v>7</v>
      </c>
      <c r="B22" s="91" t="s">
        <v>89</v>
      </c>
      <c r="C22" s="92" t="s">
        <v>53</v>
      </c>
      <c r="D22" s="91" t="s">
        <v>123</v>
      </c>
      <c r="E22" s="93">
        <v>267.75</v>
      </c>
      <c r="F22" s="94">
        <f>SUM(E22/100)</f>
        <v>2.6775000000000002</v>
      </c>
      <c r="G22" s="94">
        <v>269.26</v>
      </c>
      <c r="H22" s="95">
        <f t="shared" si="0"/>
        <v>0.72094365000000005</v>
      </c>
      <c r="I22" s="13">
        <v>0</v>
      </c>
      <c r="J22" s="8"/>
      <c r="K22" s="8"/>
      <c r="L22" s="8"/>
      <c r="M22" s="8"/>
    </row>
    <row r="23" spans="1:13" ht="15.75" hidden="1" customHeight="1">
      <c r="A23" s="31">
        <v>8</v>
      </c>
      <c r="B23" s="91" t="s">
        <v>90</v>
      </c>
      <c r="C23" s="92" t="s">
        <v>53</v>
      </c>
      <c r="D23" s="91" t="s">
        <v>123</v>
      </c>
      <c r="E23" s="96">
        <v>21.8</v>
      </c>
      <c r="F23" s="94">
        <f>SUM(E23/100)</f>
        <v>0.218</v>
      </c>
      <c r="G23" s="94">
        <v>44.29</v>
      </c>
      <c r="H23" s="95">
        <f t="shared" si="0"/>
        <v>9.6552199999999991E-3</v>
      </c>
      <c r="I23" s="13">
        <v>0</v>
      </c>
      <c r="J23" s="8"/>
      <c r="K23" s="8"/>
      <c r="L23" s="8"/>
      <c r="M23" s="8"/>
    </row>
    <row r="24" spans="1:13" ht="15.75" hidden="1" customHeight="1">
      <c r="A24" s="31">
        <v>9</v>
      </c>
      <c r="B24" s="91" t="s">
        <v>91</v>
      </c>
      <c r="C24" s="92" t="s">
        <v>53</v>
      </c>
      <c r="D24" s="91" t="s">
        <v>124</v>
      </c>
      <c r="E24" s="93">
        <v>15</v>
      </c>
      <c r="F24" s="94">
        <f>E24/100</f>
        <v>0.15</v>
      </c>
      <c r="G24" s="94">
        <v>389.72</v>
      </c>
      <c r="H24" s="95">
        <f t="shared" si="0"/>
        <v>5.8457999999999996E-2</v>
      </c>
      <c r="I24" s="13">
        <v>0</v>
      </c>
      <c r="J24" s="8"/>
      <c r="K24" s="8"/>
      <c r="L24" s="8"/>
      <c r="M24" s="8"/>
    </row>
    <row r="25" spans="1:13" ht="15.75" hidden="1" customHeight="1">
      <c r="A25" s="31">
        <v>10</v>
      </c>
      <c r="B25" s="91" t="s">
        <v>96</v>
      </c>
      <c r="C25" s="92" t="s">
        <v>88</v>
      </c>
      <c r="D25" s="91" t="s">
        <v>54</v>
      </c>
      <c r="E25" s="93">
        <v>14.25</v>
      </c>
      <c r="F25" s="94">
        <v>0.1</v>
      </c>
      <c r="G25" s="94">
        <v>216.12</v>
      </c>
      <c r="H25" s="95">
        <v>3.1E-2</v>
      </c>
      <c r="I25" s="13">
        <v>0</v>
      </c>
      <c r="J25" s="8"/>
      <c r="K25" s="8"/>
      <c r="L25" s="8"/>
      <c r="M25" s="8"/>
    </row>
    <row r="26" spans="1:13" ht="15.75" hidden="1" customHeight="1">
      <c r="A26" s="31">
        <v>11</v>
      </c>
      <c r="B26" s="91" t="s">
        <v>92</v>
      </c>
      <c r="C26" s="92" t="s">
        <v>53</v>
      </c>
      <c r="D26" s="91" t="s">
        <v>123</v>
      </c>
      <c r="E26" s="93">
        <v>6.38</v>
      </c>
      <c r="F26" s="94">
        <f>SUM(E26/100)</f>
        <v>6.3799999999999996E-2</v>
      </c>
      <c r="G26" s="94">
        <v>520.79999999999995</v>
      </c>
      <c r="H26" s="95">
        <f t="shared" si="0"/>
        <v>3.3227039999999992E-2</v>
      </c>
      <c r="I26" s="13">
        <v>0</v>
      </c>
      <c r="J26" s="8"/>
      <c r="K26" s="8"/>
      <c r="L26" s="8"/>
      <c r="M26" s="8"/>
    </row>
    <row r="27" spans="1:13" ht="15.75" customHeight="1">
      <c r="A27" s="31">
        <v>6</v>
      </c>
      <c r="B27" s="34" t="s">
        <v>160</v>
      </c>
      <c r="C27" s="40" t="s">
        <v>25</v>
      </c>
      <c r="D27" s="34" t="s">
        <v>166</v>
      </c>
      <c r="E27" s="133">
        <v>4.83</v>
      </c>
      <c r="F27" s="124">
        <f>SUM(E27*258)</f>
        <v>1246.1400000000001</v>
      </c>
      <c r="G27" s="124">
        <v>10.39</v>
      </c>
      <c r="H27" s="95">
        <f t="shared" si="0"/>
        <v>12.947394600000001</v>
      </c>
      <c r="I27" s="13">
        <f>F27/12*G27</f>
        <v>1078.9495500000003</v>
      </c>
      <c r="J27" s="8"/>
      <c r="K27" s="8"/>
      <c r="L27" s="8"/>
      <c r="M27" s="8"/>
    </row>
    <row r="28" spans="1:13" ht="15.75" customHeight="1">
      <c r="A28" s="200" t="s">
        <v>82</v>
      </c>
      <c r="B28" s="200"/>
      <c r="C28" s="200"/>
      <c r="D28" s="200"/>
      <c r="E28" s="200"/>
      <c r="F28" s="200"/>
      <c r="G28" s="200"/>
      <c r="H28" s="200"/>
      <c r="I28" s="200"/>
      <c r="J28" s="24"/>
      <c r="K28" s="8"/>
      <c r="L28" s="8"/>
      <c r="M28" s="8"/>
    </row>
    <row r="29" spans="1:13" ht="15.75" hidden="1" customHeight="1">
      <c r="A29" s="41"/>
      <c r="B29" s="51" t="s">
        <v>28</v>
      </c>
      <c r="C29" s="51"/>
      <c r="D29" s="51"/>
      <c r="E29" s="51"/>
      <c r="F29" s="51"/>
      <c r="G29" s="51"/>
      <c r="H29" s="51"/>
      <c r="I29" s="19"/>
      <c r="J29" s="24"/>
      <c r="K29" s="8"/>
      <c r="L29" s="8"/>
      <c r="M29" s="8"/>
    </row>
    <row r="30" spans="1:13" ht="15.75" hidden="1" customHeight="1">
      <c r="A30" s="41">
        <v>2</v>
      </c>
      <c r="B30" s="91" t="s">
        <v>99</v>
      </c>
      <c r="C30" s="92" t="s">
        <v>100</v>
      </c>
      <c r="D30" s="91" t="s">
        <v>101</v>
      </c>
      <c r="E30" s="94">
        <v>1167.4000000000001</v>
      </c>
      <c r="F30" s="94">
        <f>SUM(E30*52/1000)</f>
        <v>60.704800000000006</v>
      </c>
      <c r="G30" s="94">
        <v>155.88999999999999</v>
      </c>
      <c r="H30" s="95">
        <f t="shared" ref="H30:H32" si="1">SUM(F30*G30/1000)</f>
        <v>9.4632712720000001</v>
      </c>
      <c r="I30" s="13">
        <v>0</v>
      </c>
      <c r="J30" s="24"/>
      <c r="K30" s="8"/>
      <c r="L30" s="8"/>
      <c r="M30" s="8"/>
    </row>
    <row r="31" spans="1:13" ht="31.5" hidden="1" customHeight="1">
      <c r="A31" s="41">
        <v>3</v>
      </c>
      <c r="B31" s="91" t="s">
        <v>134</v>
      </c>
      <c r="C31" s="92" t="s">
        <v>100</v>
      </c>
      <c r="D31" s="91" t="s">
        <v>102</v>
      </c>
      <c r="E31" s="94">
        <v>540.04999999999995</v>
      </c>
      <c r="F31" s="94">
        <f>SUM(E31*78/1000)</f>
        <v>42.123899999999992</v>
      </c>
      <c r="G31" s="94">
        <v>258.63</v>
      </c>
      <c r="H31" s="95">
        <f t="shared" si="1"/>
        <v>10.894504256999998</v>
      </c>
      <c r="I31" s="13">
        <v>0</v>
      </c>
      <c r="J31" s="24"/>
      <c r="K31" s="8"/>
      <c r="L31" s="8"/>
      <c r="M31" s="8"/>
    </row>
    <row r="32" spans="1:13" ht="15.75" hidden="1" customHeight="1">
      <c r="A32" s="41">
        <v>4</v>
      </c>
      <c r="B32" s="91" t="s">
        <v>27</v>
      </c>
      <c r="C32" s="92" t="s">
        <v>100</v>
      </c>
      <c r="D32" s="91" t="s">
        <v>54</v>
      </c>
      <c r="E32" s="94">
        <v>1167.4000000000001</v>
      </c>
      <c r="F32" s="94">
        <f>SUM(E32/1000)</f>
        <v>1.1674</v>
      </c>
      <c r="G32" s="94">
        <v>3020.33</v>
      </c>
      <c r="H32" s="95">
        <f t="shared" si="1"/>
        <v>3.5259332420000002</v>
      </c>
      <c r="I32" s="13">
        <v>0</v>
      </c>
      <c r="J32" s="24"/>
      <c r="K32" s="8"/>
      <c r="L32" s="8"/>
      <c r="M32" s="8"/>
    </row>
    <row r="33" spans="1:13" ht="15.75" hidden="1" customHeight="1">
      <c r="A33" s="41">
        <v>5</v>
      </c>
      <c r="B33" s="91" t="s">
        <v>103</v>
      </c>
      <c r="C33" s="92" t="s">
        <v>30</v>
      </c>
      <c r="D33" s="91" t="s">
        <v>63</v>
      </c>
      <c r="E33" s="98">
        <v>0.33333333333333331</v>
      </c>
      <c r="F33" s="94">
        <f>155/3</f>
        <v>51.666666666666664</v>
      </c>
      <c r="G33" s="94">
        <v>56.69</v>
      </c>
      <c r="H33" s="95">
        <f>SUM(G33*155/3/1000)</f>
        <v>2.9289833333333331</v>
      </c>
      <c r="I33" s="13">
        <v>0</v>
      </c>
      <c r="J33" s="24"/>
      <c r="K33" s="8"/>
      <c r="L33" s="8"/>
      <c r="M33" s="8"/>
    </row>
    <row r="34" spans="1:13" ht="15.75" hidden="1" customHeight="1">
      <c r="A34" s="41">
        <v>4</v>
      </c>
      <c r="B34" s="91" t="s">
        <v>64</v>
      </c>
      <c r="C34" s="92" t="s">
        <v>32</v>
      </c>
      <c r="D34" s="91" t="s">
        <v>65</v>
      </c>
      <c r="E34" s="93"/>
      <c r="F34" s="94">
        <v>3</v>
      </c>
      <c r="G34" s="94">
        <v>191.32</v>
      </c>
      <c r="H34" s="95">
        <f t="shared" ref="H34" si="2">SUM(F34*G34/1000)</f>
        <v>0.57396000000000003</v>
      </c>
      <c r="I34" s="13">
        <v>0</v>
      </c>
      <c r="J34" s="24"/>
      <c r="K34" s="8"/>
      <c r="L34" s="8"/>
      <c r="M34" s="8"/>
    </row>
    <row r="35" spans="1:13" ht="15.75" customHeight="1">
      <c r="A35" s="41"/>
      <c r="B35" s="49" t="s">
        <v>5</v>
      </c>
      <c r="C35" s="49"/>
      <c r="D35" s="49"/>
      <c r="E35" s="13"/>
      <c r="F35" s="13"/>
      <c r="G35" s="14"/>
      <c r="H35" s="14"/>
      <c r="I35" s="19"/>
      <c r="J35" s="24"/>
      <c r="K35" s="8"/>
      <c r="L35" s="8"/>
      <c r="M35" s="8"/>
    </row>
    <row r="36" spans="1:13" ht="37.5" customHeight="1">
      <c r="A36" s="41">
        <v>7</v>
      </c>
      <c r="B36" s="91" t="s">
        <v>26</v>
      </c>
      <c r="C36" s="92" t="s">
        <v>31</v>
      </c>
      <c r="D36" s="91" t="s">
        <v>180</v>
      </c>
      <c r="E36" s="93"/>
      <c r="F36" s="94">
        <v>6</v>
      </c>
      <c r="G36" s="94">
        <v>1527.2</v>
      </c>
      <c r="H36" s="95">
        <f t="shared" ref="H36:H41" si="3">SUM(F36*G36/1000)</f>
        <v>9.1632000000000016</v>
      </c>
      <c r="I36" s="13">
        <f>G36*2</f>
        <v>3054.4</v>
      </c>
      <c r="J36" s="24"/>
      <c r="K36" s="8"/>
      <c r="L36" s="8"/>
      <c r="M36" s="8"/>
    </row>
    <row r="37" spans="1:13" ht="15.75" customHeight="1">
      <c r="A37" s="35">
        <v>8</v>
      </c>
      <c r="B37" s="91" t="s">
        <v>66</v>
      </c>
      <c r="C37" s="92" t="s">
        <v>29</v>
      </c>
      <c r="D37" s="91" t="s">
        <v>167</v>
      </c>
      <c r="E37" s="94">
        <v>1080.0999999999999</v>
      </c>
      <c r="F37" s="94">
        <f>SUM(E37*30/1000)</f>
        <v>32.402999999999999</v>
      </c>
      <c r="G37" s="94">
        <v>2102.6999999999998</v>
      </c>
      <c r="H37" s="95">
        <f t="shared" si="3"/>
        <v>68.13378809999999</v>
      </c>
      <c r="I37" s="13">
        <f t="shared" ref="I37:I39" si="4">F37/6*G37</f>
        <v>11355.63135</v>
      </c>
      <c r="J37" s="24"/>
      <c r="K37" s="8"/>
      <c r="L37" s="8"/>
      <c r="M37" s="8"/>
    </row>
    <row r="38" spans="1:13" ht="15.75" customHeight="1">
      <c r="A38" s="35">
        <v>9</v>
      </c>
      <c r="B38" s="91" t="s">
        <v>67</v>
      </c>
      <c r="C38" s="92" t="s">
        <v>29</v>
      </c>
      <c r="D38" s="91" t="s">
        <v>168</v>
      </c>
      <c r="E38" s="94">
        <v>45</v>
      </c>
      <c r="F38" s="94">
        <f>SUM(E38*155/1000)</f>
        <v>6.9749999999999996</v>
      </c>
      <c r="G38" s="94">
        <v>350.75</v>
      </c>
      <c r="H38" s="95">
        <f t="shared" si="3"/>
        <v>2.4464812499999997</v>
      </c>
      <c r="I38" s="13">
        <f t="shared" si="4"/>
        <v>407.74687499999993</v>
      </c>
      <c r="J38" s="24"/>
      <c r="K38" s="8"/>
      <c r="L38" s="8"/>
      <c r="M38" s="8"/>
    </row>
    <row r="39" spans="1:13" ht="47.25" customHeight="1">
      <c r="A39" s="35">
        <v>10</v>
      </c>
      <c r="B39" s="91" t="s">
        <v>81</v>
      </c>
      <c r="C39" s="92" t="s">
        <v>100</v>
      </c>
      <c r="D39" s="91" t="s">
        <v>169</v>
      </c>
      <c r="E39" s="94">
        <v>45</v>
      </c>
      <c r="F39" s="94">
        <f>SUM(E39*70/1000)</f>
        <v>3.15</v>
      </c>
      <c r="G39" s="94">
        <v>5803.28</v>
      </c>
      <c r="H39" s="95">
        <f t="shared" si="3"/>
        <v>18.280331999999998</v>
      </c>
      <c r="I39" s="13">
        <f t="shared" si="4"/>
        <v>3046.7220000000002</v>
      </c>
      <c r="J39" s="24"/>
      <c r="K39" s="8"/>
      <c r="L39" s="8"/>
      <c r="M39" s="8"/>
    </row>
    <row r="40" spans="1:13" ht="15.75" hidden="1" customHeight="1">
      <c r="A40" s="35">
        <v>11</v>
      </c>
      <c r="B40" s="91" t="s">
        <v>105</v>
      </c>
      <c r="C40" s="92" t="s">
        <v>100</v>
      </c>
      <c r="D40" s="91" t="s">
        <v>170</v>
      </c>
      <c r="E40" s="94">
        <v>45</v>
      </c>
      <c r="F40" s="94">
        <f>SUM(E40*45/1000)</f>
        <v>2.0249999999999999</v>
      </c>
      <c r="G40" s="94">
        <v>428.7</v>
      </c>
      <c r="H40" s="95">
        <f t="shared" si="3"/>
        <v>0.86811749999999999</v>
      </c>
      <c r="I40" s="13">
        <f>F40/7.5*G40</f>
        <v>115.74899999999998</v>
      </c>
      <c r="J40" s="24"/>
      <c r="K40" s="8"/>
      <c r="L40" s="8"/>
      <c r="M40" s="8"/>
    </row>
    <row r="41" spans="1:13" ht="15.75" hidden="1" customHeight="1">
      <c r="A41" s="35">
        <v>12</v>
      </c>
      <c r="B41" s="91" t="s">
        <v>70</v>
      </c>
      <c r="C41" s="92" t="s">
        <v>32</v>
      </c>
      <c r="D41" s="91"/>
      <c r="E41" s="93"/>
      <c r="F41" s="94">
        <v>0.6</v>
      </c>
      <c r="G41" s="94">
        <v>798</v>
      </c>
      <c r="H41" s="95">
        <f t="shared" si="3"/>
        <v>0.47879999999999995</v>
      </c>
      <c r="I41" s="13">
        <f>F41/7.5*G41</f>
        <v>63.84</v>
      </c>
      <c r="J41" s="24"/>
      <c r="K41" s="8"/>
      <c r="L41" s="8"/>
      <c r="M41" s="8"/>
    </row>
    <row r="42" spans="1:13" ht="15.75" customHeight="1">
      <c r="A42" s="201" t="s">
        <v>131</v>
      </c>
      <c r="B42" s="202"/>
      <c r="C42" s="202"/>
      <c r="D42" s="202"/>
      <c r="E42" s="202"/>
      <c r="F42" s="202"/>
      <c r="G42" s="202"/>
      <c r="H42" s="202"/>
      <c r="I42" s="203"/>
      <c r="J42" s="24"/>
      <c r="K42" s="8"/>
      <c r="L42" s="8"/>
      <c r="M42" s="8"/>
    </row>
    <row r="43" spans="1:13" ht="15.75" hidden="1" customHeight="1">
      <c r="A43" s="41">
        <v>15</v>
      </c>
      <c r="B43" s="91" t="s">
        <v>106</v>
      </c>
      <c r="C43" s="92" t="s">
        <v>100</v>
      </c>
      <c r="D43" s="91" t="s">
        <v>42</v>
      </c>
      <c r="E43" s="93">
        <v>965.8</v>
      </c>
      <c r="F43" s="94">
        <f>SUM(E43*2/1000)</f>
        <v>1.9316</v>
      </c>
      <c r="G43" s="13">
        <v>849.49</v>
      </c>
      <c r="H43" s="95">
        <f t="shared" ref="H43:H52" si="5">SUM(F43*G43/1000)</f>
        <v>1.640874884</v>
      </c>
      <c r="I43" s="13">
        <v>0</v>
      </c>
      <c r="J43" s="24"/>
      <c r="K43" s="8"/>
    </row>
    <row r="44" spans="1:13" ht="15.75" hidden="1" customHeight="1">
      <c r="A44" s="41">
        <v>16</v>
      </c>
      <c r="B44" s="91" t="s">
        <v>35</v>
      </c>
      <c r="C44" s="92" t="s">
        <v>100</v>
      </c>
      <c r="D44" s="91" t="s">
        <v>42</v>
      </c>
      <c r="E44" s="93">
        <v>36</v>
      </c>
      <c r="F44" s="94">
        <f>SUM(E44*2/1000)</f>
        <v>7.1999999999999995E-2</v>
      </c>
      <c r="G44" s="13">
        <v>579.48</v>
      </c>
      <c r="H44" s="95">
        <f t="shared" si="5"/>
        <v>4.1722559999999999E-2</v>
      </c>
      <c r="I44" s="13">
        <v>0</v>
      </c>
      <c r="J44" s="25"/>
    </row>
    <row r="45" spans="1:13" ht="15.75" hidden="1" customHeight="1">
      <c r="A45" s="41">
        <v>17</v>
      </c>
      <c r="B45" s="91" t="s">
        <v>36</v>
      </c>
      <c r="C45" s="92" t="s">
        <v>100</v>
      </c>
      <c r="D45" s="91" t="s">
        <v>42</v>
      </c>
      <c r="E45" s="93">
        <v>1197.7</v>
      </c>
      <c r="F45" s="94">
        <f>SUM(E45*2/1000)</f>
        <v>2.3954</v>
      </c>
      <c r="G45" s="13">
        <v>579.48</v>
      </c>
      <c r="H45" s="95">
        <f t="shared" si="5"/>
        <v>1.3880863919999999</v>
      </c>
      <c r="I45" s="13">
        <v>0</v>
      </c>
      <c r="J45" s="25"/>
    </row>
    <row r="46" spans="1:13" ht="15.75" hidden="1" customHeight="1">
      <c r="A46" s="41"/>
      <c r="B46" s="91" t="s">
        <v>37</v>
      </c>
      <c r="C46" s="92" t="s">
        <v>100</v>
      </c>
      <c r="D46" s="91" t="s">
        <v>42</v>
      </c>
      <c r="E46" s="93">
        <v>2275.92</v>
      </c>
      <c r="F46" s="94">
        <f>SUM(E46*2/1000)</f>
        <v>4.5518400000000003</v>
      </c>
      <c r="G46" s="13">
        <v>606.77</v>
      </c>
      <c r="H46" s="95">
        <f t="shared" si="5"/>
        <v>2.7619199567999999</v>
      </c>
      <c r="I46" s="13">
        <v>0</v>
      </c>
      <c r="J46" s="25"/>
    </row>
    <row r="47" spans="1:13" ht="15.75" hidden="1" customHeight="1">
      <c r="A47" s="41">
        <v>18</v>
      </c>
      <c r="B47" s="91" t="s">
        <v>33</v>
      </c>
      <c r="C47" s="92" t="s">
        <v>34</v>
      </c>
      <c r="D47" s="91" t="s">
        <v>42</v>
      </c>
      <c r="E47" s="93">
        <v>81.709999999999994</v>
      </c>
      <c r="F47" s="94">
        <f>SUM(E47*2/100)</f>
        <v>1.6341999999999999</v>
      </c>
      <c r="G47" s="13">
        <v>68.56</v>
      </c>
      <c r="H47" s="95">
        <f t="shared" si="5"/>
        <v>0.11204075199999999</v>
      </c>
      <c r="I47" s="13">
        <v>0</v>
      </c>
      <c r="J47" s="25"/>
    </row>
    <row r="48" spans="1:13" ht="15.75" customHeight="1">
      <c r="A48" s="41">
        <v>11</v>
      </c>
      <c r="B48" s="91" t="s">
        <v>56</v>
      </c>
      <c r="C48" s="92" t="s">
        <v>100</v>
      </c>
      <c r="D48" s="91" t="s">
        <v>165</v>
      </c>
      <c r="E48" s="93">
        <v>1711.8</v>
      </c>
      <c r="F48" s="94">
        <f>SUM(E48*5/1000)</f>
        <v>8.5589999999999993</v>
      </c>
      <c r="G48" s="13">
        <v>1213.55</v>
      </c>
      <c r="H48" s="95">
        <f t="shared" si="5"/>
        <v>10.386774449999999</v>
      </c>
      <c r="I48" s="13">
        <f>F48/5*G48</f>
        <v>2077.3548899999996</v>
      </c>
      <c r="J48" s="25"/>
    </row>
    <row r="49" spans="1:14" ht="31.5" hidden="1" customHeight="1">
      <c r="A49" s="41">
        <v>10</v>
      </c>
      <c r="B49" s="91" t="s">
        <v>107</v>
      </c>
      <c r="C49" s="92" t="s">
        <v>100</v>
      </c>
      <c r="D49" s="91" t="s">
        <v>42</v>
      </c>
      <c r="E49" s="93">
        <v>1711.8</v>
      </c>
      <c r="F49" s="94">
        <f>SUM(E49*2/1000)</f>
        <v>3.4236</v>
      </c>
      <c r="G49" s="13">
        <v>1213.55</v>
      </c>
      <c r="H49" s="95">
        <f t="shared" si="5"/>
        <v>4.1547097800000001</v>
      </c>
      <c r="I49" s="13">
        <v>0</v>
      </c>
      <c r="J49" s="25"/>
    </row>
    <row r="50" spans="1:14" ht="31.5" hidden="1" customHeight="1">
      <c r="A50" s="41">
        <v>11</v>
      </c>
      <c r="B50" s="91" t="s">
        <v>108</v>
      </c>
      <c r="C50" s="92" t="s">
        <v>38</v>
      </c>
      <c r="D50" s="91" t="s">
        <v>42</v>
      </c>
      <c r="E50" s="93">
        <v>15</v>
      </c>
      <c r="F50" s="94">
        <f>SUM(E50*2/100)</f>
        <v>0.3</v>
      </c>
      <c r="G50" s="13">
        <v>2730.49</v>
      </c>
      <c r="H50" s="95">
        <f t="shared" si="5"/>
        <v>0.81914699999999996</v>
      </c>
      <c r="I50" s="13">
        <v>0</v>
      </c>
      <c r="J50" s="25"/>
    </row>
    <row r="51" spans="1:14" ht="15.75" hidden="1" customHeight="1">
      <c r="A51" s="41">
        <v>12</v>
      </c>
      <c r="B51" s="91" t="s">
        <v>39</v>
      </c>
      <c r="C51" s="92" t="s">
        <v>40</v>
      </c>
      <c r="D51" s="91" t="s">
        <v>42</v>
      </c>
      <c r="E51" s="93">
        <v>1</v>
      </c>
      <c r="F51" s="94">
        <v>0.02</v>
      </c>
      <c r="G51" s="13">
        <v>5322.15</v>
      </c>
      <c r="H51" s="95">
        <f t="shared" si="5"/>
        <v>0.106443</v>
      </c>
      <c r="I51" s="13">
        <v>0</v>
      </c>
      <c r="J51" s="25"/>
      <c r="L51" s="21"/>
      <c r="M51" s="22"/>
      <c r="N51" s="23"/>
    </row>
    <row r="52" spans="1:14" ht="15.75" hidden="1" customHeight="1">
      <c r="A52" s="41">
        <v>14</v>
      </c>
      <c r="B52" s="91" t="s">
        <v>41</v>
      </c>
      <c r="C52" s="92" t="s">
        <v>85</v>
      </c>
      <c r="D52" s="134">
        <v>43488</v>
      </c>
      <c r="E52" s="93">
        <v>90</v>
      </c>
      <c r="F52" s="94">
        <f>SUM(E52)*3</f>
        <v>270</v>
      </c>
      <c r="G52" s="13">
        <v>65.67</v>
      </c>
      <c r="H52" s="95">
        <f t="shared" si="5"/>
        <v>17.730900000000002</v>
      </c>
      <c r="I52" s="13">
        <f>E52*G52</f>
        <v>5910.3</v>
      </c>
      <c r="J52" s="25"/>
      <c r="L52" s="21"/>
      <c r="M52" s="22"/>
      <c r="N52" s="23"/>
    </row>
    <row r="53" spans="1:14" ht="15.75" customHeight="1">
      <c r="A53" s="201" t="s">
        <v>132</v>
      </c>
      <c r="B53" s="202"/>
      <c r="C53" s="202"/>
      <c r="D53" s="202"/>
      <c r="E53" s="202"/>
      <c r="F53" s="202"/>
      <c r="G53" s="202"/>
      <c r="H53" s="202"/>
      <c r="I53" s="203"/>
      <c r="J53" s="25"/>
      <c r="L53" s="21"/>
      <c r="M53" s="22"/>
      <c r="N53" s="23"/>
    </row>
    <row r="54" spans="1:14" ht="15.75" hidden="1" customHeight="1">
      <c r="A54" s="53"/>
      <c r="B54" s="48" t="s">
        <v>43</v>
      </c>
      <c r="C54" s="17"/>
      <c r="D54" s="16"/>
      <c r="E54" s="16"/>
      <c r="F54" s="16"/>
      <c r="G54" s="31"/>
      <c r="H54" s="31"/>
      <c r="I54" s="19"/>
      <c r="J54" s="25"/>
      <c r="L54" s="21"/>
      <c r="M54" s="22"/>
      <c r="N54" s="23"/>
    </row>
    <row r="55" spans="1:14" ht="31.5" hidden="1" customHeight="1">
      <c r="A55" s="41">
        <v>16</v>
      </c>
      <c r="B55" s="91" t="s">
        <v>109</v>
      </c>
      <c r="C55" s="92" t="s">
        <v>88</v>
      </c>
      <c r="D55" s="91" t="s">
        <v>110</v>
      </c>
      <c r="E55" s="93">
        <v>96.58</v>
      </c>
      <c r="F55" s="94">
        <f>SUM(E55*6/100)</f>
        <v>5.7948000000000004</v>
      </c>
      <c r="G55" s="13">
        <v>1547.28</v>
      </c>
      <c r="H55" s="95">
        <f>SUM(F55*G55/1000)</f>
        <v>8.9661781440000006</v>
      </c>
      <c r="I55" s="13">
        <f>F55/6*G55</f>
        <v>1494.3630240000002</v>
      </c>
      <c r="J55" s="25"/>
      <c r="L55" s="21"/>
      <c r="M55" s="22"/>
      <c r="N55" s="23"/>
    </row>
    <row r="56" spans="1:14" ht="15.75" customHeight="1">
      <c r="A56" s="41"/>
      <c r="B56" s="67" t="s">
        <v>44</v>
      </c>
      <c r="C56" s="40"/>
      <c r="D56" s="34"/>
      <c r="E56" s="19"/>
      <c r="F56" s="85"/>
      <c r="G56" s="37"/>
      <c r="H56" s="68"/>
      <c r="I56" s="20"/>
      <c r="J56" s="25"/>
      <c r="L56" s="21"/>
      <c r="M56" s="22"/>
      <c r="N56" s="23"/>
    </row>
    <row r="57" spans="1:14" ht="15.75" hidden="1" customHeight="1">
      <c r="A57" s="41"/>
      <c r="B57" s="91" t="s">
        <v>45</v>
      </c>
      <c r="C57" s="92" t="s">
        <v>88</v>
      </c>
      <c r="D57" s="91" t="s">
        <v>54</v>
      </c>
      <c r="E57" s="93">
        <v>855.9</v>
      </c>
      <c r="F57" s="95">
        <v>8.6</v>
      </c>
      <c r="G57" s="13">
        <v>747.3</v>
      </c>
      <c r="H57" s="99">
        <v>6.4</v>
      </c>
      <c r="I57" s="13">
        <v>0</v>
      </c>
      <c r="J57" s="25"/>
      <c r="L57" s="21"/>
      <c r="M57" s="22"/>
      <c r="N57" s="23"/>
    </row>
    <row r="58" spans="1:14" ht="15.75" customHeight="1">
      <c r="A58" s="41">
        <v>12</v>
      </c>
      <c r="B58" s="34" t="s">
        <v>86</v>
      </c>
      <c r="C58" s="40" t="s">
        <v>25</v>
      </c>
      <c r="D58" s="34" t="s">
        <v>165</v>
      </c>
      <c r="E58" s="123">
        <v>130</v>
      </c>
      <c r="F58" s="124">
        <f>E58*12</f>
        <v>1560</v>
      </c>
      <c r="G58" s="68">
        <v>1.4</v>
      </c>
      <c r="H58" s="125">
        <f>F58*G58/1000</f>
        <v>2.1840000000000002</v>
      </c>
      <c r="I58" s="13">
        <f>F58/12*G58</f>
        <v>182</v>
      </c>
      <c r="J58" s="25"/>
      <c r="L58" s="21"/>
      <c r="M58" s="22"/>
      <c r="N58" s="23"/>
    </row>
    <row r="59" spans="1:14" ht="15.75" hidden="1" customHeight="1">
      <c r="A59" s="41"/>
      <c r="B59" s="67" t="s">
        <v>126</v>
      </c>
      <c r="C59" s="40"/>
      <c r="D59" s="34"/>
      <c r="E59" s="19"/>
      <c r="F59" s="85"/>
      <c r="G59" s="69"/>
      <c r="H59" s="68"/>
      <c r="I59" s="20"/>
      <c r="J59" s="25"/>
      <c r="L59" s="21"/>
      <c r="M59" s="22"/>
      <c r="N59" s="23"/>
    </row>
    <row r="60" spans="1:14" ht="15.75" hidden="1" customHeight="1">
      <c r="A60" s="41"/>
      <c r="B60" s="91" t="s">
        <v>127</v>
      </c>
      <c r="C60" s="92" t="s">
        <v>85</v>
      </c>
      <c r="D60" s="91" t="s">
        <v>65</v>
      </c>
      <c r="E60" s="93">
        <v>2</v>
      </c>
      <c r="F60" s="94">
        <f>SUM(E60)</f>
        <v>2</v>
      </c>
      <c r="G60" s="100">
        <v>237.75</v>
      </c>
      <c r="H60" s="95">
        <f t="shared" ref="H60" si="6">SUM(F60*G60/1000)</f>
        <v>0.47549999999999998</v>
      </c>
      <c r="I60" s="13">
        <v>0</v>
      </c>
      <c r="J60" s="25"/>
      <c r="L60" s="21"/>
      <c r="M60" s="22"/>
      <c r="N60" s="23"/>
    </row>
    <row r="61" spans="1:14" ht="15.75" customHeight="1">
      <c r="A61" s="41"/>
      <c r="B61" s="63" t="s">
        <v>46</v>
      </c>
      <c r="C61" s="17"/>
      <c r="D61" s="16"/>
      <c r="E61" s="16"/>
      <c r="F61" s="86"/>
      <c r="G61" s="65"/>
      <c r="H61" s="68"/>
      <c r="I61" s="19"/>
      <c r="J61" s="25"/>
      <c r="L61" s="21"/>
      <c r="M61" s="22"/>
      <c r="N61" s="23"/>
    </row>
    <row r="62" spans="1:14" ht="15.75" customHeight="1">
      <c r="A62" s="41">
        <v>13</v>
      </c>
      <c r="B62" s="15" t="s">
        <v>47</v>
      </c>
      <c r="C62" s="17" t="s">
        <v>85</v>
      </c>
      <c r="D62" s="91" t="s">
        <v>165</v>
      </c>
      <c r="E62" s="19">
        <v>10</v>
      </c>
      <c r="F62" s="94">
        <v>10</v>
      </c>
      <c r="G62" s="13">
        <v>222.4</v>
      </c>
      <c r="H62" s="101">
        <f t="shared" ref="H62:H69" si="7">SUM(F62*G62/1000)</f>
        <v>2.2240000000000002</v>
      </c>
      <c r="I62" s="13">
        <f>G62*1</f>
        <v>222.4</v>
      </c>
      <c r="J62" s="25"/>
      <c r="L62" s="21"/>
      <c r="M62" s="22"/>
      <c r="N62" s="23"/>
    </row>
    <row r="63" spans="1:14" ht="15.75" hidden="1" customHeight="1">
      <c r="A63" s="31">
        <v>29</v>
      </c>
      <c r="B63" s="15" t="s">
        <v>48</v>
      </c>
      <c r="C63" s="17" t="s">
        <v>85</v>
      </c>
      <c r="D63" s="91" t="s">
        <v>65</v>
      </c>
      <c r="E63" s="19">
        <v>5</v>
      </c>
      <c r="F63" s="94">
        <v>5</v>
      </c>
      <c r="G63" s="13">
        <v>75.25</v>
      </c>
      <c r="H63" s="101">
        <f t="shared" si="7"/>
        <v>0.37624999999999997</v>
      </c>
      <c r="I63" s="13">
        <v>0</v>
      </c>
      <c r="J63" s="25"/>
      <c r="L63" s="21"/>
      <c r="M63" s="22"/>
      <c r="N63" s="23"/>
    </row>
    <row r="64" spans="1:14" ht="15.75" hidden="1" customHeight="1">
      <c r="A64" s="31">
        <v>8</v>
      </c>
      <c r="B64" s="15" t="s">
        <v>49</v>
      </c>
      <c r="C64" s="17" t="s">
        <v>111</v>
      </c>
      <c r="D64" s="15" t="s">
        <v>54</v>
      </c>
      <c r="E64" s="93">
        <v>13018</v>
      </c>
      <c r="F64" s="13">
        <f>SUM(E64/100)</f>
        <v>130.18</v>
      </c>
      <c r="G64" s="13">
        <v>212.15</v>
      </c>
      <c r="H64" s="101">
        <f t="shared" si="7"/>
        <v>27.617687</v>
      </c>
      <c r="I64" s="13">
        <v>0</v>
      </c>
      <c r="J64" s="25"/>
      <c r="L64" s="21"/>
      <c r="M64" s="22"/>
      <c r="N64" s="23"/>
    </row>
    <row r="65" spans="1:14" ht="15.75" hidden="1" customHeight="1">
      <c r="A65" s="31">
        <v>9</v>
      </c>
      <c r="B65" s="15" t="s">
        <v>50</v>
      </c>
      <c r="C65" s="17" t="s">
        <v>112</v>
      </c>
      <c r="D65" s="15"/>
      <c r="E65" s="93">
        <v>13018</v>
      </c>
      <c r="F65" s="13">
        <f>SUM(E65/1000)</f>
        <v>13.018000000000001</v>
      </c>
      <c r="G65" s="13">
        <v>165.21</v>
      </c>
      <c r="H65" s="101">
        <f t="shared" si="7"/>
        <v>2.1507037800000002</v>
      </c>
      <c r="I65" s="13">
        <v>0</v>
      </c>
      <c r="J65" s="25"/>
      <c r="L65" s="21"/>
      <c r="M65" s="22"/>
      <c r="N65" s="23"/>
    </row>
    <row r="66" spans="1:14" ht="15.75" hidden="1" customHeight="1">
      <c r="A66" s="31">
        <v>10</v>
      </c>
      <c r="B66" s="15" t="s">
        <v>51</v>
      </c>
      <c r="C66" s="17" t="s">
        <v>76</v>
      </c>
      <c r="D66" s="15" t="s">
        <v>54</v>
      </c>
      <c r="E66" s="93">
        <v>1279</v>
      </c>
      <c r="F66" s="13">
        <f>SUM(E66/100)</f>
        <v>12.79</v>
      </c>
      <c r="G66" s="13">
        <v>2074.63</v>
      </c>
      <c r="H66" s="101">
        <f t="shared" si="7"/>
        <v>26.534517700000002</v>
      </c>
      <c r="I66" s="13">
        <v>0</v>
      </c>
      <c r="J66" s="25"/>
      <c r="L66" s="21"/>
      <c r="M66" s="22"/>
      <c r="N66" s="23"/>
    </row>
    <row r="67" spans="1:14" ht="15.75" hidden="1" customHeight="1">
      <c r="A67" s="31">
        <v>11</v>
      </c>
      <c r="B67" s="102" t="s">
        <v>113</v>
      </c>
      <c r="C67" s="17" t="s">
        <v>32</v>
      </c>
      <c r="D67" s="15"/>
      <c r="E67" s="93">
        <v>12</v>
      </c>
      <c r="F67" s="13">
        <f>SUM(E67)</f>
        <v>12</v>
      </c>
      <c r="G67" s="13">
        <v>45.32</v>
      </c>
      <c r="H67" s="101">
        <f t="shared" si="7"/>
        <v>0.54383999999999999</v>
      </c>
      <c r="I67" s="13">
        <v>0</v>
      </c>
      <c r="J67" s="25"/>
      <c r="L67" s="21"/>
      <c r="M67" s="22"/>
      <c r="N67" s="23"/>
    </row>
    <row r="68" spans="1:14" ht="15.75" hidden="1" customHeight="1">
      <c r="A68" s="31">
        <v>12</v>
      </c>
      <c r="B68" s="102" t="s">
        <v>114</v>
      </c>
      <c r="C68" s="17" t="s">
        <v>32</v>
      </c>
      <c r="D68" s="15"/>
      <c r="E68" s="93">
        <v>12</v>
      </c>
      <c r="F68" s="13">
        <f>SUM(E68)</f>
        <v>12</v>
      </c>
      <c r="G68" s="13">
        <v>42.28</v>
      </c>
      <c r="H68" s="101">
        <f t="shared" si="7"/>
        <v>0.50736000000000003</v>
      </c>
      <c r="I68" s="13">
        <v>0</v>
      </c>
      <c r="J68" s="25"/>
      <c r="L68" s="21"/>
      <c r="M68" s="22"/>
      <c r="N68" s="23"/>
    </row>
    <row r="69" spans="1:14" ht="15.75" hidden="1" customHeight="1">
      <c r="A69" s="31">
        <v>13</v>
      </c>
      <c r="B69" s="15" t="s">
        <v>57</v>
      </c>
      <c r="C69" s="17" t="s">
        <v>58</v>
      </c>
      <c r="D69" s="15" t="s">
        <v>54</v>
      </c>
      <c r="E69" s="19">
        <v>1</v>
      </c>
      <c r="F69" s="94">
        <f>SUM(E69)</f>
        <v>1</v>
      </c>
      <c r="G69" s="13">
        <v>49.88</v>
      </c>
      <c r="H69" s="101">
        <f t="shared" si="7"/>
        <v>4.9880000000000001E-2</v>
      </c>
      <c r="I69" s="13">
        <v>0</v>
      </c>
      <c r="J69" s="25"/>
      <c r="L69" s="21"/>
      <c r="M69" s="22"/>
      <c r="N69" s="23"/>
    </row>
    <row r="70" spans="1:14" ht="15.75" hidden="1" customHeight="1">
      <c r="A70" s="53"/>
      <c r="B70" s="63" t="s">
        <v>115</v>
      </c>
      <c r="C70" s="63"/>
      <c r="D70" s="63"/>
      <c r="E70" s="63"/>
      <c r="F70" s="75"/>
      <c r="G70" s="63"/>
      <c r="H70" s="75"/>
      <c r="I70" s="19"/>
      <c r="J70" s="25"/>
      <c r="L70" s="21"/>
      <c r="M70" s="22"/>
      <c r="N70" s="23"/>
    </row>
    <row r="71" spans="1:14" ht="15.75" hidden="1" customHeight="1">
      <c r="A71" s="31">
        <v>15</v>
      </c>
      <c r="B71" s="91" t="s">
        <v>116</v>
      </c>
      <c r="C71" s="17"/>
      <c r="D71" s="15"/>
      <c r="E71" s="85"/>
      <c r="F71" s="13">
        <v>1</v>
      </c>
      <c r="G71" s="13">
        <v>10041.700000000001</v>
      </c>
      <c r="H71" s="101">
        <f>G71*F71/1000</f>
        <v>10.041700000000001</v>
      </c>
      <c r="I71" s="13">
        <v>0</v>
      </c>
      <c r="J71" s="25"/>
      <c r="L71" s="21"/>
      <c r="M71" s="22"/>
      <c r="N71" s="23"/>
    </row>
    <row r="72" spans="1:14" ht="15.75" hidden="1" customHeight="1">
      <c r="A72" s="31"/>
      <c r="B72" s="49" t="s">
        <v>72</v>
      </c>
      <c r="C72" s="49"/>
      <c r="D72" s="49"/>
      <c r="E72" s="19"/>
      <c r="F72" s="19"/>
      <c r="G72" s="31"/>
      <c r="H72" s="31"/>
      <c r="I72" s="19"/>
      <c r="J72" s="25"/>
      <c r="L72" s="21"/>
      <c r="M72" s="22"/>
      <c r="N72" s="23"/>
    </row>
    <row r="73" spans="1:14" ht="15.75" hidden="1" customHeight="1">
      <c r="A73" s="31">
        <v>11</v>
      </c>
      <c r="B73" s="15" t="s">
        <v>73</v>
      </c>
      <c r="C73" s="17" t="s">
        <v>74</v>
      </c>
      <c r="D73" s="15" t="s">
        <v>65</v>
      </c>
      <c r="E73" s="19">
        <v>5</v>
      </c>
      <c r="F73" s="13">
        <v>0.5</v>
      </c>
      <c r="G73" s="13">
        <v>501.62</v>
      </c>
      <c r="H73" s="101">
        <f t="shared" ref="H73:H75" si="8">SUM(F73*G73/1000)</f>
        <v>0.25080999999999998</v>
      </c>
      <c r="I73" s="13">
        <v>0</v>
      </c>
      <c r="J73" s="25"/>
      <c r="L73" s="21"/>
      <c r="M73" s="22"/>
      <c r="N73" s="23"/>
    </row>
    <row r="74" spans="1:14" ht="15.75" hidden="1" customHeight="1">
      <c r="A74" s="31"/>
      <c r="B74" s="15" t="s">
        <v>128</v>
      </c>
      <c r="C74" s="17" t="s">
        <v>85</v>
      </c>
      <c r="D74" s="15"/>
      <c r="E74" s="19">
        <v>1</v>
      </c>
      <c r="F74" s="84">
        <f>E74</f>
        <v>1</v>
      </c>
      <c r="G74" s="13">
        <v>852.99</v>
      </c>
      <c r="H74" s="101">
        <f t="shared" si="8"/>
        <v>0.85299000000000003</v>
      </c>
      <c r="I74" s="13">
        <v>0</v>
      </c>
      <c r="J74" s="25"/>
      <c r="L74" s="21"/>
      <c r="M74" s="22"/>
      <c r="N74" s="23"/>
    </row>
    <row r="75" spans="1:14" ht="15.75" hidden="1" customHeight="1">
      <c r="A75" s="31"/>
      <c r="B75" s="15" t="s">
        <v>129</v>
      </c>
      <c r="C75" s="17" t="s">
        <v>85</v>
      </c>
      <c r="D75" s="15"/>
      <c r="E75" s="19">
        <v>1</v>
      </c>
      <c r="F75" s="94">
        <f>SUM(E75)</f>
        <v>1</v>
      </c>
      <c r="G75" s="13">
        <v>358.51</v>
      </c>
      <c r="H75" s="101">
        <f t="shared" si="8"/>
        <v>0.35851</v>
      </c>
      <c r="I75" s="13">
        <v>0</v>
      </c>
      <c r="J75" s="25"/>
      <c r="L75" s="21"/>
      <c r="M75" s="22"/>
      <c r="N75" s="23"/>
    </row>
    <row r="76" spans="1:14" ht="15.75" hidden="1" customHeight="1">
      <c r="A76" s="31"/>
      <c r="B76" s="50" t="s">
        <v>75</v>
      </c>
      <c r="C76" s="38"/>
      <c r="D76" s="31"/>
      <c r="E76" s="19"/>
      <c r="F76" s="19"/>
      <c r="G76" s="37" t="s">
        <v>117</v>
      </c>
      <c r="H76" s="37"/>
      <c r="I76" s="19"/>
      <c r="J76" s="25"/>
      <c r="L76" s="21"/>
      <c r="M76" s="22"/>
      <c r="N76" s="23"/>
    </row>
    <row r="77" spans="1:14" ht="15.75" hidden="1" customHeight="1">
      <c r="A77" s="31">
        <v>12</v>
      </c>
      <c r="B77" s="52" t="s">
        <v>118</v>
      </c>
      <c r="C77" s="17" t="s">
        <v>76</v>
      </c>
      <c r="D77" s="15"/>
      <c r="E77" s="19"/>
      <c r="F77" s="13">
        <v>0.3</v>
      </c>
      <c r="G77" s="13">
        <v>2759.44</v>
      </c>
      <c r="H77" s="101">
        <f t="shared" ref="H77" si="9">SUM(F77*G77/1000)</f>
        <v>0.82783200000000001</v>
      </c>
      <c r="I77" s="13">
        <v>0</v>
      </c>
      <c r="J77" s="25"/>
      <c r="L77" s="21"/>
      <c r="M77" s="22"/>
      <c r="N77" s="23"/>
    </row>
    <row r="78" spans="1:14" ht="15.75" customHeight="1">
      <c r="A78" s="136"/>
      <c r="B78" s="139" t="s">
        <v>174</v>
      </c>
      <c r="C78" s="140"/>
      <c r="D78" s="141"/>
      <c r="E78" s="142"/>
      <c r="F78" s="143"/>
      <c r="G78" s="135"/>
      <c r="H78" s="137"/>
      <c r="I78" s="138"/>
      <c r="J78" s="25"/>
      <c r="L78" s="21"/>
      <c r="M78" s="22"/>
      <c r="N78" s="23"/>
    </row>
    <row r="79" spans="1:14" ht="15.75" customHeight="1">
      <c r="A79" s="136">
        <v>14</v>
      </c>
      <c r="B79" s="121" t="s">
        <v>175</v>
      </c>
      <c r="C79" s="41" t="s">
        <v>176</v>
      </c>
      <c r="D79" s="121"/>
      <c r="E79" s="18">
        <v>2581.1999999999998</v>
      </c>
      <c r="F79" s="37">
        <f>E79*12</f>
        <v>30974.399999999998</v>
      </c>
      <c r="G79" s="37">
        <v>2.4900000000000002</v>
      </c>
      <c r="H79" s="137"/>
      <c r="I79" s="138">
        <f>G79*F79/12</f>
        <v>6427.1879999999992</v>
      </c>
      <c r="J79" s="25"/>
      <c r="L79" s="21"/>
      <c r="M79" s="22"/>
      <c r="N79" s="23"/>
    </row>
    <row r="80" spans="1:14" ht="15.75" customHeight="1">
      <c r="A80" s="205" t="s">
        <v>133</v>
      </c>
      <c r="B80" s="206"/>
      <c r="C80" s="206"/>
      <c r="D80" s="206"/>
      <c r="E80" s="206"/>
      <c r="F80" s="206"/>
      <c r="G80" s="206"/>
      <c r="H80" s="206"/>
      <c r="I80" s="207"/>
      <c r="J80" s="25"/>
      <c r="L80" s="21"/>
      <c r="M80" s="22"/>
      <c r="N80" s="23"/>
    </row>
    <row r="81" spans="1:22" ht="15.75" customHeight="1">
      <c r="A81" s="31">
        <v>15</v>
      </c>
      <c r="B81" s="91" t="s">
        <v>119</v>
      </c>
      <c r="C81" s="17" t="s">
        <v>55</v>
      </c>
      <c r="D81" s="104"/>
      <c r="E81" s="13">
        <v>2581.1999999999998</v>
      </c>
      <c r="F81" s="13">
        <f>SUM(E81*12)</f>
        <v>30974.399999999998</v>
      </c>
      <c r="G81" s="13">
        <v>2.1</v>
      </c>
      <c r="H81" s="101">
        <f>SUM(F81*G81/1000)</f>
        <v>65.046239999999997</v>
      </c>
      <c r="I81" s="13">
        <f>F81/12*G81</f>
        <v>5420.5199999999995</v>
      </c>
      <c r="J81" s="25"/>
      <c r="L81" s="21"/>
    </row>
    <row r="82" spans="1:22" ht="31.5" customHeight="1">
      <c r="A82" s="31">
        <v>16</v>
      </c>
      <c r="B82" s="15" t="s">
        <v>77</v>
      </c>
      <c r="C82" s="17"/>
      <c r="D82" s="104"/>
      <c r="E82" s="93">
        <v>2581.1999999999998</v>
      </c>
      <c r="F82" s="13">
        <f>E82*12</f>
        <v>30974.399999999998</v>
      </c>
      <c r="G82" s="13">
        <v>1.63</v>
      </c>
      <c r="H82" s="101">
        <f>F82*G82/1000</f>
        <v>50.488271999999988</v>
      </c>
      <c r="I82" s="13">
        <f>F82/12*G82</f>
        <v>4207.3559999999998</v>
      </c>
    </row>
    <row r="83" spans="1:22" ht="15.75" customHeight="1">
      <c r="A83" s="53"/>
      <c r="B83" s="39" t="s">
        <v>79</v>
      </c>
      <c r="C83" s="41"/>
      <c r="D83" s="16"/>
      <c r="E83" s="16"/>
      <c r="F83" s="16"/>
      <c r="G83" s="19"/>
      <c r="H83" s="19"/>
      <c r="I83" s="33">
        <f>I82+I81+I79+I62+I58+I48+I39+I38+I37+I36+I27+I21+I20+I18+I17+I16</f>
        <v>43878.592020999997</v>
      </c>
    </row>
    <row r="84" spans="1:22" ht="15.75" customHeight="1">
      <c r="A84" s="208" t="s">
        <v>60</v>
      </c>
      <c r="B84" s="209"/>
      <c r="C84" s="209"/>
      <c r="D84" s="209"/>
      <c r="E84" s="209"/>
      <c r="F84" s="209"/>
      <c r="G84" s="209"/>
      <c r="H84" s="209"/>
      <c r="I84" s="210"/>
    </row>
    <row r="85" spans="1:22" ht="30" customHeight="1">
      <c r="A85" s="31">
        <v>17</v>
      </c>
      <c r="B85" s="122" t="s">
        <v>157</v>
      </c>
      <c r="C85" s="41" t="s">
        <v>29</v>
      </c>
      <c r="D85" s="121"/>
      <c r="E85" s="18"/>
      <c r="F85" s="131">
        <f>0.599*6/1000</f>
        <v>3.594E-3</v>
      </c>
      <c r="G85" s="37">
        <v>20547.34</v>
      </c>
      <c r="H85" s="101">
        <f t="shared" ref="H85" si="10">G85*F85/1000</f>
        <v>7.3847139960000002E-2</v>
      </c>
      <c r="I85" s="126">
        <f>G85*0.599*6/1000</f>
        <v>73.847139960000007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9"/>
    </row>
    <row r="86" spans="1:22" ht="15" customHeight="1">
      <c r="A86" s="31">
        <v>18</v>
      </c>
      <c r="B86" s="119" t="s">
        <v>93</v>
      </c>
      <c r="C86" s="120" t="s">
        <v>85</v>
      </c>
      <c r="D86" s="52"/>
      <c r="E86" s="13"/>
      <c r="F86" s="13"/>
      <c r="G86" s="37">
        <v>60.72</v>
      </c>
      <c r="H86" s="101"/>
      <c r="I86" s="211">
        <f>G86*1</f>
        <v>60.72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9"/>
    </row>
    <row r="87" spans="1:22" ht="15" customHeight="1">
      <c r="A87" s="31">
        <v>19</v>
      </c>
      <c r="B87" s="119" t="s">
        <v>281</v>
      </c>
      <c r="C87" s="120" t="s">
        <v>282</v>
      </c>
      <c r="D87" s="66" t="s">
        <v>94</v>
      </c>
      <c r="E87" s="37"/>
      <c r="F87" s="37">
        <v>2</v>
      </c>
      <c r="G87" s="37">
        <v>222.63</v>
      </c>
      <c r="H87" s="101"/>
      <c r="I87" s="211">
        <v>0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9"/>
    </row>
    <row r="88" spans="1:22" ht="15.75" customHeight="1">
      <c r="A88" s="31"/>
      <c r="B88" s="46" t="s">
        <v>52</v>
      </c>
      <c r="C88" s="42"/>
      <c r="D88" s="54"/>
      <c r="E88" s="42">
        <v>1</v>
      </c>
      <c r="F88" s="42"/>
      <c r="G88" s="42"/>
      <c r="H88" s="42"/>
      <c r="I88" s="33">
        <f>SUM(I85:I86)</f>
        <v>134.56713996000002</v>
      </c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</row>
    <row r="89" spans="1:22" ht="15.75" customHeight="1">
      <c r="A89" s="31"/>
      <c r="B89" s="52" t="s">
        <v>78</v>
      </c>
      <c r="C89" s="16"/>
      <c r="D89" s="16"/>
      <c r="E89" s="43"/>
      <c r="F89" s="43"/>
      <c r="G89" s="44"/>
      <c r="H89" s="44"/>
      <c r="I89" s="18">
        <v>0</v>
      </c>
    </row>
    <row r="90" spans="1:22" ht="15.75" customHeight="1">
      <c r="A90" s="55"/>
      <c r="B90" s="47" t="s">
        <v>136</v>
      </c>
      <c r="C90" s="36"/>
      <c r="D90" s="36"/>
      <c r="E90" s="36"/>
      <c r="F90" s="36"/>
      <c r="G90" s="36"/>
      <c r="H90" s="36"/>
      <c r="I90" s="45">
        <f>I88+I83</f>
        <v>44013.15916096</v>
      </c>
    </row>
    <row r="91" spans="1:22" ht="15.75" customHeight="1">
      <c r="A91" s="204" t="s">
        <v>269</v>
      </c>
      <c r="B91" s="204"/>
      <c r="C91" s="204"/>
      <c r="D91" s="204"/>
      <c r="E91" s="204"/>
      <c r="F91" s="204"/>
      <c r="G91" s="204"/>
      <c r="H91" s="204"/>
      <c r="I91" s="204"/>
    </row>
    <row r="92" spans="1:22" ht="15.75" customHeight="1">
      <c r="A92" s="62"/>
      <c r="B92" s="185" t="s">
        <v>270</v>
      </c>
      <c r="C92" s="185"/>
      <c r="D92" s="185"/>
      <c r="E92" s="185"/>
      <c r="F92" s="185"/>
      <c r="G92" s="185"/>
      <c r="H92" s="89"/>
      <c r="I92" s="3"/>
    </row>
    <row r="93" spans="1:22" ht="15.75" customHeight="1">
      <c r="A93" s="56"/>
      <c r="B93" s="186" t="s">
        <v>6</v>
      </c>
      <c r="C93" s="186"/>
      <c r="D93" s="186"/>
      <c r="E93" s="186"/>
      <c r="F93" s="186"/>
      <c r="G93" s="186"/>
      <c r="H93" s="26"/>
      <c r="I93" s="5"/>
    </row>
    <row r="94" spans="1:22" ht="15.75" customHeight="1">
      <c r="A94" s="10"/>
      <c r="B94" s="10"/>
      <c r="C94" s="10"/>
      <c r="D94" s="10"/>
      <c r="E94" s="10"/>
      <c r="F94" s="10"/>
      <c r="G94" s="10"/>
      <c r="H94" s="10"/>
      <c r="I94" s="10"/>
    </row>
    <row r="95" spans="1:22" ht="15.75" customHeight="1">
      <c r="A95" s="187" t="s">
        <v>7</v>
      </c>
      <c r="B95" s="187"/>
      <c r="C95" s="187"/>
      <c r="D95" s="187"/>
      <c r="E95" s="187"/>
      <c r="F95" s="187"/>
      <c r="G95" s="187"/>
      <c r="H95" s="187"/>
      <c r="I95" s="187"/>
    </row>
    <row r="96" spans="1:22" ht="15.75" customHeight="1">
      <c r="A96" s="187" t="s">
        <v>8</v>
      </c>
      <c r="B96" s="187"/>
      <c r="C96" s="187"/>
      <c r="D96" s="187"/>
      <c r="E96" s="187"/>
      <c r="F96" s="187"/>
      <c r="G96" s="187"/>
      <c r="H96" s="187"/>
      <c r="I96" s="187"/>
    </row>
    <row r="97" spans="1:9" ht="15.75" customHeight="1">
      <c r="A97" s="190" t="s">
        <v>61</v>
      </c>
      <c r="B97" s="190"/>
      <c r="C97" s="190"/>
      <c r="D97" s="190"/>
      <c r="E97" s="190"/>
      <c r="F97" s="190"/>
      <c r="G97" s="190"/>
      <c r="H97" s="190"/>
      <c r="I97" s="190"/>
    </row>
    <row r="98" spans="1:9" ht="15.75" customHeight="1">
      <c r="A98" s="11"/>
    </row>
    <row r="99" spans="1:9" ht="15.75" customHeight="1">
      <c r="A99" s="191" t="s">
        <v>9</v>
      </c>
      <c r="B99" s="191"/>
      <c r="C99" s="191"/>
      <c r="D99" s="191"/>
      <c r="E99" s="191"/>
      <c r="F99" s="191"/>
      <c r="G99" s="191"/>
      <c r="H99" s="191"/>
      <c r="I99" s="191"/>
    </row>
    <row r="100" spans="1:9" ht="15.75" customHeight="1">
      <c r="A100" s="4"/>
    </row>
    <row r="101" spans="1:9" ht="15.75" customHeight="1">
      <c r="B101" s="57" t="s">
        <v>10</v>
      </c>
      <c r="C101" s="192" t="s">
        <v>84</v>
      </c>
      <c r="D101" s="192"/>
      <c r="E101" s="192"/>
      <c r="F101" s="87"/>
      <c r="I101" s="59"/>
    </row>
    <row r="102" spans="1:9" ht="15.75" customHeight="1">
      <c r="A102" s="56"/>
      <c r="C102" s="186" t="s">
        <v>11</v>
      </c>
      <c r="D102" s="186"/>
      <c r="E102" s="186"/>
      <c r="F102" s="26"/>
      <c r="I102" s="58" t="s">
        <v>12</v>
      </c>
    </row>
    <row r="103" spans="1:9" ht="15.75" customHeight="1">
      <c r="A103" s="27"/>
      <c r="C103" s="12"/>
      <c r="D103" s="12"/>
      <c r="G103" s="12"/>
      <c r="H103" s="12"/>
    </row>
    <row r="104" spans="1:9" ht="15.75" customHeight="1">
      <c r="B104" s="57" t="s">
        <v>13</v>
      </c>
      <c r="C104" s="193"/>
      <c r="D104" s="193"/>
      <c r="E104" s="193"/>
      <c r="F104" s="88"/>
      <c r="I104" s="59"/>
    </row>
    <row r="105" spans="1:9" ht="15.75" customHeight="1">
      <c r="A105" s="56"/>
      <c r="C105" s="189" t="s">
        <v>11</v>
      </c>
      <c r="D105" s="189"/>
      <c r="E105" s="189"/>
      <c r="F105" s="70"/>
      <c r="I105" s="58" t="s">
        <v>12</v>
      </c>
    </row>
    <row r="106" spans="1:9" ht="15.75" customHeight="1">
      <c r="A106" s="4" t="s">
        <v>14</v>
      </c>
    </row>
    <row r="107" spans="1:9">
      <c r="A107" s="188" t="s">
        <v>15</v>
      </c>
      <c r="B107" s="188"/>
      <c r="C107" s="188"/>
      <c r="D107" s="188"/>
      <c r="E107" s="188"/>
      <c r="F107" s="188"/>
      <c r="G107" s="188"/>
      <c r="H107" s="188"/>
      <c r="I107" s="188"/>
    </row>
    <row r="108" spans="1:9" ht="45" customHeight="1">
      <c r="A108" s="184" t="s">
        <v>16</v>
      </c>
      <c r="B108" s="184"/>
      <c r="C108" s="184"/>
      <c r="D108" s="184"/>
      <c r="E108" s="184"/>
      <c r="F108" s="184"/>
      <c r="G108" s="184"/>
      <c r="H108" s="184"/>
      <c r="I108" s="184"/>
    </row>
    <row r="109" spans="1:9" ht="30" customHeight="1">
      <c r="A109" s="184" t="s">
        <v>17</v>
      </c>
      <c r="B109" s="184"/>
      <c r="C109" s="184"/>
      <c r="D109" s="184"/>
      <c r="E109" s="184"/>
      <c r="F109" s="184"/>
      <c r="G109" s="184"/>
      <c r="H109" s="184"/>
      <c r="I109" s="184"/>
    </row>
    <row r="110" spans="1:9" ht="30" customHeight="1">
      <c r="A110" s="184" t="s">
        <v>21</v>
      </c>
      <c r="B110" s="184"/>
      <c r="C110" s="184"/>
      <c r="D110" s="184"/>
      <c r="E110" s="184"/>
      <c r="F110" s="184"/>
      <c r="G110" s="184"/>
      <c r="H110" s="184"/>
      <c r="I110" s="184"/>
    </row>
    <row r="111" spans="1:9" ht="15" customHeight="1">
      <c r="A111" s="184" t="s">
        <v>20</v>
      </c>
      <c r="B111" s="184"/>
      <c r="C111" s="184"/>
      <c r="D111" s="184"/>
      <c r="E111" s="184"/>
      <c r="F111" s="184"/>
      <c r="G111" s="184"/>
      <c r="H111" s="184"/>
      <c r="I111" s="184"/>
    </row>
  </sheetData>
  <autoFilter ref="I12:I83"/>
  <mergeCells count="28">
    <mergeCell ref="A14:I14"/>
    <mergeCell ref="A15:I15"/>
    <mergeCell ref="A28:I28"/>
    <mergeCell ref="A42:I42"/>
    <mergeCell ref="A91:I91"/>
    <mergeCell ref="A53:I53"/>
    <mergeCell ref="A80:I80"/>
    <mergeCell ref="A84:I84"/>
    <mergeCell ref="A3:I3"/>
    <mergeCell ref="A4:I4"/>
    <mergeCell ref="A8:I8"/>
    <mergeCell ref="A10:I10"/>
    <mergeCell ref="A5:I5"/>
    <mergeCell ref="A108:I108"/>
    <mergeCell ref="A109:I109"/>
    <mergeCell ref="A110:I110"/>
    <mergeCell ref="A111:I111"/>
    <mergeCell ref="B92:G92"/>
    <mergeCell ref="B93:G93"/>
    <mergeCell ref="A95:I95"/>
    <mergeCell ref="A96:I96"/>
    <mergeCell ref="A107:I107"/>
    <mergeCell ref="C105:E105"/>
    <mergeCell ref="A97:I97"/>
    <mergeCell ref="A99:I99"/>
    <mergeCell ref="C101:E101"/>
    <mergeCell ref="C102:E102"/>
    <mergeCell ref="C104:E10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5"/>
  <sheetViews>
    <sheetView topLeftCell="A78" workbookViewId="0">
      <selection activeCell="L90" sqref="L9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5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155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94" t="s">
        <v>149</v>
      </c>
      <c r="B3" s="194"/>
      <c r="C3" s="194"/>
      <c r="D3" s="194"/>
      <c r="E3" s="194"/>
      <c r="F3" s="194"/>
      <c r="G3" s="194"/>
      <c r="H3" s="194"/>
      <c r="I3" s="194"/>
      <c r="J3" s="3"/>
      <c r="K3" s="3"/>
      <c r="L3" s="3"/>
    </row>
    <row r="4" spans="1:13" ht="31.5" customHeight="1">
      <c r="A4" s="195" t="s">
        <v>120</v>
      </c>
      <c r="B4" s="195"/>
      <c r="C4" s="195"/>
      <c r="D4" s="195"/>
      <c r="E4" s="195"/>
      <c r="F4" s="195"/>
      <c r="G4" s="195"/>
      <c r="H4" s="195"/>
      <c r="I4" s="195"/>
    </row>
    <row r="5" spans="1:13" ht="15.75" customHeight="1">
      <c r="A5" s="194" t="s">
        <v>241</v>
      </c>
      <c r="B5" s="198"/>
      <c r="C5" s="198"/>
      <c r="D5" s="198"/>
      <c r="E5" s="198"/>
      <c r="F5" s="198"/>
      <c r="G5" s="198"/>
      <c r="H5" s="198"/>
      <c r="I5" s="198"/>
      <c r="J5" s="2"/>
      <c r="K5" s="2"/>
      <c r="L5" s="2"/>
      <c r="M5" s="2"/>
    </row>
    <row r="6" spans="1:13" ht="15.75" customHeight="1">
      <c r="A6" s="2"/>
      <c r="B6" s="82"/>
      <c r="C6" s="82"/>
      <c r="D6" s="82"/>
      <c r="E6" s="82"/>
      <c r="F6" s="82"/>
      <c r="G6" s="82"/>
      <c r="H6" s="82"/>
      <c r="I6" s="32">
        <v>44135</v>
      </c>
      <c r="J6" s="2"/>
      <c r="K6" s="2"/>
      <c r="L6" s="2"/>
      <c r="M6" s="2"/>
    </row>
    <row r="7" spans="1:13" ht="15.75" customHeight="1">
      <c r="B7" s="83"/>
      <c r="C7" s="83"/>
      <c r="D7" s="83"/>
      <c r="E7" s="3"/>
      <c r="F7" s="3"/>
      <c r="G7" s="3"/>
      <c r="H7" s="3"/>
      <c r="J7" s="3"/>
      <c r="K7" s="3"/>
      <c r="L7" s="3"/>
      <c r="M7" s="3"/>
    </row>
    <row r="8" spans="1:13" s="64" customFormat="1" ht="78.75" customHeight="1">
      <c r="A8" s="196" t="s">
        <v>156</v>
      </c>
      <c r="B8" s="196"/>
      <c r="C8" s="196"/>
      <c r="D8" s="196"/>
      <c r="E8" s="196"/>
      <c r="F8" s="196"/>
      <c r="G8" s="196"/>
      <c r="H8" s="196"/>
      <c r="I8" s="196"/>
      <c r="J8" s="76"/>
      <c r="K8" s="76"/>
      <c r="L8" s="76"/>
      <c r="M8" s="76"/>
    </row>
    <row r="9" spans="1:13" ht="15.75">
      <c r="A9" s="4"/>
      <c r="J9" s="2"/>
      <c r="K9" s="2"/>
      <c r="L9" s="2"/>
      <c r="M9" s="2"/>
    </row>
    <row r="10" spans="1:13" ht="47.25" customHeight="1">
      <c r="A10" s="197" t="s">
        <v>150</v>
      </c>
      <c r="B10" s="197"/>
      <c r="C10" s="197"/>
      <c r="D10" s="197"/>
      <c r="E10" s="197"/>
      <c r="F10" s="197"/>
      <c r="G10" s="197"/>
      <c r="H10" s="197"/>
      <c r="I10" s="19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 ht="15.7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9" t="s">
        <v>59</v>
      </c>
      <c r="B14" s="199"/>
      <c r="C14" s="199"/>
      <c r="D14" s="199"/>
      <c r="E14" s="199"/>
      <c r="F14" s="199"/>
      <c r="G14" s="199"/>
      <c r="H14" s="199"/>
      <c r="I14" s="199"/>
      <c r="J14" s="8"/>
      <c r="K14" s="8"/>
      <c r="L14" s="8"/>
      <c r="M14" s="8"/>
    </row>
    <row r="15" spans="1:13" ht="15.75" customHeight="1">
      <c r="A15" s="200" t="s">
        <v>4</v>
      </c>
      <c r="B15" s="200"/>
      <c r="C15" s="200"/>
      <c r="D15" s="200"/>
      <c r="E15" s="200"/>
      <c r="F15" s="200"/>
      <c r="G15" s="200"/>
      <c r="H15" s="200"/>
      <c r="I15" s="200"/>
      <c r="J15" s="8"/>
      <c r="K15" s="8"/>
      <c r="L15" s="8"/>
      <c r="M15" s="8"/>
    </row>
    <row r="16" spans="1:13" ht="15.75" customHeight="1">
      <c r="A16" s="31">
        <v>1</v>
      </c>
      <c r="B16" s="34" t="s">
        <v>83</v>
      </c>
      <c r="C16" s="40" t="s">
        <v>88</v>
      </c>
      <c r="D16" s="34" t="s">
        <v>161</v>
      </c>
      <c r="E16" s="123">
        <v>47.52</v>
      </c>
      <c r="F16" s="124">
        <f>SUM(E16*156/100)</f>
        <v>74.131200000000007</v>
      </c>
      <c r="G16" s="124">
        <v>261.45</v>
      </c>
      <c r="H16" s="95">
        <f t="shared" ref="H16:H18" si="0">SUM(F16*G16/1000)</f>
        <v>19.381602239999999</v>
      </c>
      <c r="I16" s="13">
        <f>F16/12*G16</f>
        <v>1615.1335200000001</v>
      </c>
      <c r="J16" s="8"/>
      <c r="K16" s="8"/>
      <c r="L16" s="8"/>
      <c r="M16" s="8"/>
    </row>
    <row r="17" spans="1:13" ht="15.75" customHeight="1">
      <c r="A17" s="31">
        <v>2</v>
      </c>
      <c r="B17" s="34" t="s">
        <v>97</v>
      </c>
      <c r="C17" s="40" t="s">
        <v>88</v>
      </c>
      <c r="D17" s="34" t="s">
        <v>162</v>
      </c>
      <c r="E17" s="123">
        <v>190.08</v>
      </c>
      <c r="F17" s="124">
        <f>SUM(E17*104/100)</f>
        <v>197.6832</v>
      </c>
      <c r="G17" s="124">
        <v>261.45</v>
      </c>
      <c r="H17" s="95">
        <f t="shared" si="0"/>
        <v>51.684272639999996</v>
      </c>
      <c r="I17" s="13">
        <f>F17/12*G17</f>
        <v>4307.0227199999999</v>
      </c>
      <c r="J17" s="8"/>
      <c r="K17" s="8"/>
      <c r="L17" s="8"/>
      <c r="M17" s="8"/>
    </row>
    <row r="18" spans="1:13" ht="15.75" customHeight="1">
      <c r="A18" s="31">
        <v>3</v>
      </c>
      <c r="B18" s="34" t="s">
        <v>98</v>
      </c>
      <c r="C18" s="40" t="s">
        <v>88</v>
      </c>
      <c r="D18" s="34" t="s">
        <v>163</v>
      </c>
      <c r="E18" s="123">
        <f>SUM(E16+E17)</f>
        <v>237.60000000000002</v>
      </c>
      <c r="F18" s="124">
        <f>SUM(E18*18/100)</f>
        <v>42.768000000000001</v>
      </c>
      <c r="G18" s="124">
        <v>752.16</v>
      </c>
      <c r="H18" s="95">
        <f t="shared" si="0"/>
        <v>32.168378879999999</v>
      </c>
      <c r="I18" s="13">
        <f>F18/18*2*G18</f>
        <v>3574.2643199999998</v>
      </c>
      <c r="J18" s="8"/>
      <c r="K18" s="8"/>
      <c r="L18" s="8"/>
      <c r="M18" s="8"/>
    </row>
    <row r="19" spans="1:13" ht="15.75" hidden="1" customHeight="1">
      <c r="A19" s="31">
        <v>4</v>
      </c>
      <c r="B19" s="34" t="s">
        <v>121</v>
      </c>
      <c r="C19" s="40" t="s">
        <v>122</v>
      </c>
      <c r="D19" s="34" t="s">
        <v>210</v>
      </c>
      <c r="E19" s="123">
        <v>18.48</v>
      </c>
      <c r="F19" s="124">
        <f>SUM(E19/10)</f>
        <v>1.8480000000000001</v>
      </c>
      <c r="G19" s="124">
        <v>253.7</v>
      </c>
      <c r="H19" s="95">
        <f t="shared" ref="H19:H27" si="1">SUM(F19*G19/1000)</f>
        <v>0.46883760000000002</v>
      </c>
      <c r="I19" s="13">
        <f>G19*F19</f>
        <v>468.83760000000001</v>
      </c>
      <c r="J19" s="8"/>
      <c r="K19" s="8"/>
      <c r="L19" s="8"/>
      <c r="M19" s="8"/>
    </row>
    <row r="20" spans="1:13" ht="15.75" customHeight="1">
      <c r="A20" s="31">
        <v>4</v>
      </c>
      <c r="B20" s="34" t="s">
        <v>87</v>
      </c>
      <c r="C20" s="40" t="s">
        <v>88</v>
      </c>
      <c r="D20" s="34" t="s">
        <v>164</v>
      </c>
      <c r="E20" s="123">
        <v>10.5</v>
      </c>
      <c r="F20" s="124">
        <f>SUM(E20*12/100)</f>
        <v>1.26</v>
      </c>
      <c r="G20" s="124">
        <v>324.83999999999997</v>
      </c>
      <c r="H20" s="95">
        <f t="shared" si="1"/>
        <v>0.40929839999999995</v>
      </c>
      <c r="I20" s="13">
        <f>F20/12*G20</f>
        <v>34.108199999999997</v>
      </c>
      <c r="J20" s="8"/>
      <c r="K20" s="8"/>
      <c r="L20" s="8"/>
      <c r="M20" s="8"/>
    </row>
    <row r="21" spans="1:13" ht="15.75" customHeight="1">
      <c r="A21" s="31">
        <v>5</v>
      </c>
      <c r="B21" s="34" t="s">
        <v>95</v>
      </c>
      <c r="C21" s="40" t="s">
        <v>88</v>
      </c>
      <c r="D21" s="34" t="s">
        <v>164</v>
      </c>
      <c r="E21" s="123">
        <v>2.7</v>
      </c>
      <c r="F21" s="124">
        <f>SUM(E21*12/100)</f>
        <v>0.32400000000000007</v>
      </c>
      <c r="G21" s="124">
        <v>322.20999999999998</v>
      </c>
      <c r="H21" s="95">
        <f t="shared" si="1"/>
        <v>0.10439604000000001</v>
      </c>
      <c r="I21" s="13">
        <f>F21/12*G21</f>
        <v>8.6996700000000011</v>
      </c>
      <c r="J21" s="8"/>
      <c r="K21" s="8"/>
      <c r="L21" s="8"/>
      <c r="M21" s="8"/>
    </row>
    <row r="22" spans="1:13" ht="15.75" hidden="1" customHeight="1">
      <c r="A22" s="31">
        <v>7</v>
      </c>
      <c r="B22" s="34" t="s">
        <v>89</v>
      </c>
      <c r="C22" s="40" t="s">
        <v>53</v>
      </c>
      <c r="D22" s="34" t="s">
        <v>210</v>
      </c>
      <c r="E22" s="123">
        <v>267.75</v>
      </c>
      <c r="F22" s="124">
        <f>SUM(E22/100)</f>
        <v>2.6775000000000002</v>
      </c>
      <c r="G22" s="124">
        <v>401.44</v>
      </c>
      <c r="H22" s="95">
        <f t="shared" si="1"/>
        <v>1.0748556</v>
      </c>
      <c r="I22" s="13">
        <f>G22*F22</f>
        <v>1074.8556000000001</v>
      </c>
      <c r="J22" s="8"/>
      <c r="K22" s="8"/>
      <c r="L22" s="8"/>
      <c r="M22" s="8"/>
    </row>
    <row r="23" spans="1:13" ht="15.75" hidden="1" customHeight="1">
      <c r="A23" s="31">
        <v>8</v>
      </c>
      <c r="B23" s="34" t="s">
        <v>90</v>
      </c>
      <c r="C23" s="40" t="s">
        <v>53</v>
      </c>
      <c r="D23" s="34" t="s">
        <v>211</v>
      </c>
      <c r="E23" s="154">
        <v>36</v>
      </c>
      <c r="F23" s="124">
        <f>SUM(E23/100)</f>
        <v>0.36</v>
      </c>
      <c r="G23" s="124">
        <v>66.03</v>
      </c>
      <c r="H23" s="95">
        <f t="shared" si="1"/>
        <v>2.3770800000000002E-2</v>
      </c>
      <c r="I23" s="13">
        <f>G23*F23</f>
        <v>23.770800000000001</v>
      </c>
      <c r="J23" s="8"/>
      <c r="K23" s="8"/>
      <c r="L23" s="8"/>
      <c r="M23" s="8"/>
    </row>
    <row r="24" spans="1:13" ht="15.75" hidden="1" customHeight="1">
      <c r="A24" s="31">
        <v>9</v>
      </c>
      <c r="B24" s="34" t="s">
        <v>91</v>
      </c>
      <c r="C24" s="40" t="s">
        <v>53</v>
      </c>
      <c r="D24" s="34" t="s">
        <v>211</v>
      </c>
      <c r="E24" s="123">
        <v>15</v>
      </c>
      <c r="F24" s="124">
        <f>E24/100</f>
        <v>0.15</v>
      </c>
      <c r="G24" s="124">
        <v>581.02</v>
      </c>
      <c r="H24" s="95">
        <f t="shared" si="1"/>
        <v>8.7152999999999994E-2</v>
      </c>
      <c r="I24" s="13">
        <f>G24*F24</f>
        <v>87.152999999999992</v>
      </c>
      <c r="J24" s="8"/>
      <c r="K24" s="8"/>
      <c r="L24" s="8"/>
      <c r="M24" s="8"/>
    </row>
    <row r="25" spans="1:13" ht="15.75" hidden="1" customHeight="1">
      <c r="A25" s="31">
        <v>10</v>
      </c>
      <c r="B25" s="34" t="s">
        <v>96</v>
      </c>
      <c r="C25" s="40" t="s">
        <v>88</v>
      </c>
      <c r="D25" s="34" t="s">
        <v>164</v>
      </c>
      <c r="E25" s="123">
        <v>14.25</v>
      </c>
      <c r="F25" s="124">
        <v>0.1</v>
      </c>
      <c r="G25" s="124">
        <v>322.20999999999998</v>
      </c>
      <c r="H25" s="95">
        <v>3.1E-2</v>
      </c>
      <c r="I25" s="13">
        <f>G25*F25</f>
        <v>32.220999999999997</v>
      </c>
      <c r="J25" s="8"/>
      <c r="K25" s="8"/>
      <c r="L25" s="8"/>
      <c r="M25" s="8"/>
    </row>
    <row r="26" spans="1:13" ht="15.75" hidden="1" customHeight="1">
      <c r="A26" s="31">
        <v>11</v>
      </c>
      <c r="B26" s="34" t="s">
        <v>92</v>
      </c>
      <c r="C26" s="40" t="s">
        <v>53</v>
      </c>
      <c r="D26" s="34" t="s">
        <v>211</v>
      </c>
      <c r="E26" s="123">
        <v>6.38</v>
      </c>
      <c r="F26" s="124">
        <f>SUM(E26/100)</f>
        <v>6.3799999999999996E-2</v>
      </c>
      <c r="G26" s="124">
        <v>776.46</v>
      </c>
      <c r="H26" s="95">
        <f t="shared" si="1"/>
        <v>4.9538147999999997E-2</v>
      </c>
      <c r="I26" s="13">
        <f>G26*F26</f>
        <v>49.538148</v>
      </c>
      <c r="J26" s="8"/>
      <c r="K26" s="8"/>
      <c r="L26" s="8"/>
      <c r="M26" s="8"/>
    </row>
    <row r="27" spans="1:13" ht="15.75" customHeight="1">
      <c r="A27" s="31">
        <v>6</v>
      </c>
      <c r="B27" s="34" t="s">
        <v>160</v>
      </c>
      <c r="C27" s="40" t="s">
        <v>25</v>
      </c>
      <c r="D27" s="34" t="s">
        <v>166</v>
      </c>
      <c r="E27" s="133">
        <v>4.83</v>
      </c>
      <c r="F27" s="124">
        <f>SUM(E27*258)</f>
        <v>1246.1400000000001</v>
      </c>
      <c r="G27" s="124">
        <v>10.81</v>
      </c>
      <c r="H27" s="95">
        <f t="shared" si="1"/>
        <v>13.470773400000002</v>
      </c>
      <c r="I27" s="13">
        <f>F27/12*G27</f>
        <v>1122.5644500000003</v>
      </c>
      <c r="J27" s="8"/>
      <c r="K27" s="8"/>
      <c r="L27" s="8"/>
      <c r="M27" s="8"/>
    </row>
    <row r="28" spans="1:13" ht="15.75" customHeight="1">
      <c r="A28" s="200" t="s">
        <v>82</v>
      </c>
      <c r="B28" s="200"/>
      <c r="C28" s="200"/>
      <c r="D28" s="200"/>
      <c r="E28" s="200"/>
      <c r="F28" s="200"/>
      <c r="G28" s="200"/>
      <c r="H28" s="200"/>
      <c r="I28" s="200"/>
      <c r="J28" s="24"/>
      <c r="K28" s="8"/>
      <c r="L28" s="8"/>
      <c r="M28" s="8"/>
    </row>
    <row r="29" spans="1:13" ht="15.75" customHeight="1">
      <c r="A29" s="41"/>
      <c r="B29" s="51" t="s">
        <v>28</v>
      </c>
      <c r="C29" s="51"/>
      <c r="D29" s="51"/>
      <c r="E29" s="51"/>
      <c r="F29" s="51"/>
      <c r="G29" s="51"/>
      <c r="H29" s="51"/>
      <c r="I29" s="19"/>
      <c r="J29" s="24"/>
      <c r="K29" s="8"/>
      <c r="L29" s="8"/>
      <c r="M29" s="8"/>
    </row>
    <row r="30" spans="1:13" ht="15.75" customHeight="1">
      <c r="A30" s="41">
        <v>7</v>
      </c>
      <c r="B30" s="34" t="s">
        <v>99</v>
      </c>
      <c r="C30" s="40" t="s">
        <v>100</v>
      </c>
      <c r="D30" s="34" t="s">
        <v>205</v>
      </c>
      <c r="E30" s="124">
        <v>313</v>
      </c>
      <c r="F30" s="124">
        <f>SUM(E30*24/1000)</f>
        <v>7.5119999999999996</v>
      </c>
      <c r="G30" s="124">
        <v>232.4</v>
      </c>
      <c r="H30" s="95">
        <f t="shared" ref="H30:H31" si="2">SUM(F30*G30/1000)</f>
        <v>1.7457888000000001</v>
      </c>
      <c r="I30" s="13">
        <f>F30/6*G30</f>
        <v>290.96480000000003</v>
      </c>
      <c r="J30" s="24"/>
      <c r="K30" s="8"/>
      <c r="L30" s="8"/>
      <c r="M30" s="8"/>
    </row>
    <row r="31" spans="1:13" ht="31.5" customHeight="1">
      <c r="A31" s="41">
        <v>8</v>
      </c>
      <c r="B31" s="34" t="s">
        <v>134</v>
      </c>
      <c r="C31" s="40" t="s">
        <v>100</v>
      </c>
      <c r="D31" s="34" t="s">
        <v>161</v>
      </c>
      <c r="E31" s="124">
        <v>26.33</v>
      </c>
      <c r="F31" s="124">
        <f>SUM(E31*78/1000)</f>
        <v>2.0537399999999999</v>
      </c>
      <c r="G31" s="124">
        <v>385.6</v>
      </c>
      <c r="H31" s="95">
        <f t="shared" si="2"/>
        <v>0.79192214400000005</v>
      </c>
      <c r="I31" s="13">
        <f t="shared" ref="I31" si="3">F31/6*G31</f>
        <v>131.98702399999999</v>
      </c>
      <c r="J31" s="24"/>
      <c r="K31" s="8"/>
      <c r="L31" s="8"/>
      <c r="M31" s="8"/>
    </row>
    <row r="32" spans="1:13" ht="15.75" hidden="1" customHeight="1">
      <c r="A32" s="41">
        <v>16</v>
      </c>
      <c r="B32" s="91" t="s">
        <v>27</v>
      </c>
      <c r="C32" s="92" t="s">
        <v>100</v>
      </c>
      <c r="D32" s="91" t="s">
        <v>54</v>
      </c>
      <c r="E32" s="94">
        <v>1167.4000000000001</v>
      </c>
      <c r="F32" s="94">
        <f>SUM(E32/1000)</f>
        <v>1.1674</v>
      </c>
      <c r="G32" s="94">
        <v>3020.33</v>
      </c>
      <c r="H32" s="95">
        <f t="shared" ref="H32" si="4">SUM(F32*G32/1000)</f>
        <v>3.5259332420000002</v>
      </c>
      <c r="I32" s="13">
        <f>F32*G32</f>
        <v>3525.9332420000001</v>
      </c>
      <c r="J32" s="24"/>
      <c r="K32" s="8"/>
      <c r="L32" s="8"/>
      <c r="M32" s="8"/>
    </row>
    <row r="33" spans="1:13" ht="15.75" hidden="1" customHeight="1">
      <c r="A33" s="41">
        <v>4</v>
      </c>
      <c r="B33" s="91" t="s">
        <v>64</v>
      </c>
      <c r="C33" s="92" t="s">
        <v>32</v>
      </c>
      <c r="D33" s="91" t="s">
        <v>65</v>
      </c>
      <c r="E33" s="93"/>
      <c r="F33" s="94">
        <v>3</v>
      </c>
      <c r="G33" s="94">
        <v>191.32</v>
      </c>
      <c r="H33" s="95">
        <f t="shared" ref="H33" si="5">SUM(F33*G33/1000)</f>
        <v>0.57396000000000003</v>
      </c>
      <c r="I33" s="13">
        <v>0</v>
      </c>
      <c r="J33" s="24"/>
      <c r="K33" s="8"/>
      <c r="L33" s="8"/>
      <c r="M33" s="8"/>
    </row>
    <row r="34" spans="1:13" ht="15.75" hidden="1" customHeight="1">
      <c r="A34" s="41"/>
      <c r="B34" s="49" t="s">
        <v>5</v>
      </c>
      <c r="C34" s="49"/>
      <c r="D34" s="49"/>
      <c r="E34" s="13"/>
      <c r="F34" s="13"/>
      <c r="G34" s="14"/>
      <c r="H34" s="14"/>
      <c r="I34" s="19"/>
      <c r="J34" s="24"/>
      <c r="K34" s="8"/>
      <c r="L34" s="8"/>
      <c r="M34" s="8"/>
    </row>
    <row r="35" spans="1:13" ht="15.75" hidden="1" customHeight="1">
      <c r="A35" s="41">
        <v>8</v>
      </c>
      <c r="B35" s="91" t="s">
        <v>26</v>
      </c>
      <c r="C35" s="92" t="s">
        <v>31</v>
      </c>
      <c r="D35" s="91"/>
      <c r="E35" s="93"/>
      <c r="F35" s="94">
        <v>6</v>
      </c>
      <c r="G35" s="94">
        <v>1527.2</v>
      </c>
      <c r="H35" s="95">
        <f t="shared" ref="H35:H40" si="6">SUM(F35*G35/1000)</f>
        <v>9.1632000000000016</v>
      </c>
      <c r="I35" s="13">
        <f t="shared" ref="I35:I40" si="7">F35/6*G35</f>
        <v>1527.2</v>
      </c>
      <c r="J35" s="24"/>
      <c r="K35" s="8"/>
      <c r="L35" s="8"/>
      <c r="M35" s="8"/>
    </row>
    <row r="36" spans="1:13" ht="15.75" hidden="1" customHeight="1">
      <c r="A36" s="35">
        <v>9</v>
      </c>
      <c r="B36" s="91" t="s">
        <v>66</v>
      </c>
      <c r="C36" s="92" t="s">
        <v>29</v>
      </c>
      <c r="D36" s="91" t="s">
        <v>125</v>
      </c>
      <c r="E36" s="94">
        <v>1080.0999999999999</v>
      </c>
      <c r="F36" s="94">
        <f>SUM(E36*30/1000)</f>
        <v>32.402999999999999</v>
      </c>
      <c r="G36" s="94">
        <v>2102.6999999999998</v>
      </c>
      <c r="H36" s="95">
        <f t="shared" si="6"/>
        <v>68.13378809999999</v>
      </c>
      <c r="I36" s="13">
        <f t="shared" si="7"/>
        <v>11355.63135</v>
      </c>
      <c r="J36" s="24"/>
      <c r="K36" s="8"/>
      <c r="L36" s="8"/>
      <c r="M36" s="8"/>
    </row>
    <row r="37" spans="1:13" ht="15.75" hidden="1" customHeight="1">
      <c r="A37" s="35">
        <v>10</v>
      </c>
      <c r="B37" s="91" t="s">
        <v>67</v>
      </c>
      <c r="C37" s="92" t="s">
        <v>29</v>
      </c>
      <c r="D37" s="91" t="s">
        <v>104</v>
      </c>
      <c r="E37" s="94">
        <v>45</v>
      </c>
      <c r="F37" s="94">
        <f>SUM(E37*155/1000)</f>
        <v>6.9749999999999996</v>
      </c>
      <c r="G37" s="94">
        <v>350.75</v>
      </c>
      <c r="H37" s="95">
        <f t="shared" si="6"/>
        <v>2.4464812499999997</v>
      </c>
      <c r="I37" s="13">
        <f t="shared" si="7"/>
        <v>407.74687499999993</v>
      </c>
      <c r="J37" s="24"/>
      <c r="K37" s="8"/>
      <c r="L37" s="8"/>
      <c r="M37" s="8"/>
    </row>
    <row r="38" spans="1:13" ht="47.25" hidden="1" customHeight="1">
      <c r="A38" s="35">
        <v>11</v>
      </c>
      <c r="B38" s="91" t="s">
        <v>81</v>
      </c>
      <c r="C38" s="92" t="s">
        <v>100</v>
      </c>
      <c r="D38" s="91" t="s">
        <v>68</v>
      </c>
      <c r="E38" s="94">
        <v>45</v>
      </c>
      <c r="F38" s="94">
        <f>SUM(E38*70/1000)</f>
        <v>3.15</v>
      </c>
      <c r="G38" s="94">
        <v>5803.28</v>
      </c>
      <c r="H38" s="95">
        <f t="shared" si="6"/>
        <v>18.280331999999998</v>
      </c>
      <c r="I38" s="13">
        <f t="shared" si="7"/>
        <v>3046.7220000000002</v>
      </c>
      <c r="J38" s="24"/>
      <c r="K38" s="8"/>
      <c r="L38" s="8"/>
      <c r="M38" s="8"/>
    </row>
    <row r="39" spans="1:13" ht="15.75" hidden="1" customHeight="1">
      <c r="A39" s="35">
        <v>12</v>
      </c>
      <c r="B39" s="91" t="s">
        <v>105</v>
      </c>
      <c r="C39" s="92" t="s">
        <v>100</v>
      </c>
      <c r="D39" s="91" t="s">
        <v>69</v>
      </c>
      <c r="E39" s="94">
        <v>45</v>
      </c>
      <c r="F39" s="94">
        <f>SUM(E39*45/1000)</f>
        <v>2.0249999999999999</v>
      </c>
      <c r="G39" s="94">
        <v>428.7</v>
      </c>
      <c r="H39" s="95">
        <f t="shared" si="6"/>
        <v>0.86811749999999999</v>
      </c>
      <c r="I39" s="13">
        <f t="shared" si="7"/>
        <v>144.68624999999997</v>
      </c>
      <c r="J39" s="24"/>
      <c r="K39" s="8"/>
      <c r="L39" s="8"/>
      <c r="M39" s="8"/>
    </row>
    <row r="40" spans="1:13" ht="15.75" hidden="1" customHeight="1">
      <c r="A40" s="35">
        <v>13</v>
      </c>
      <c r="B40" s="91" t="s">
        <v>70</v>
      </c>
      <c r="C40" s="92" t="s">
        <v>32</v>
      </c>
      <c r="D40" s="91"/>
      <c r="E40" s="93"/>
      <c r="F40" s="94">
        <v>0.6</v>
      </c>
      <c r="G40" s="94">
        <v>798</v>
      </c>
      <c r="H40" s="95">
        <f t="shared" si="6"/>
        <v>0.47879999999999995</v>
      </c>
      <c r="I40" s="13">
        <f t="shared" si="7"/>
        <v>79.8</v>
      </c>
      <c r="J40" s="24"/>
      <c r="K40" s="8"/>
      <c r="L40" s="8"/>
      <c r="M40" s="8"/>
    </row>
    <row r="41" spans="1:13" ht="15.75" hidden="1" customHeight="1">
      <c r="A41" s="201" t="s">
        <v>131</v>
      </c>
      <c r="B41" s="202"/>
      <c r="C41" s="202"/>
      <c r="D41" s="202"/>
      <c r="E41" s="202"/>
      <c r="F41" s="202"/>
      <c r="G41" s="202"/>
      <c r="H41" s="202"/>
      <c r="I41" s="203"/>
      <c r="J41" s="24"/>
      <c r="K41" s="8"/>
      <c r="L41" s="8"/>
      <c r="M41" s="8"/>
    </row>
    <row r="42" spans="1:13" ht="15.75" hidden="1" customHeight="1">
      <c r="A42" s="41">
        <v>11</v>
      </c>
      <c r="B42" s="91" t="s">
        <v>106</v>
      </c>
      <c r="C42" s="92" t="s">
        <v>100</v>
      </c>
      <c r="D42" s="91" t="s">
        <v>42</v>
      </c>
      <c r="E42" s="93">
        <v>965.8</v>
      </c>
      <c r="F42" s="94">
        <f>SUM(E42*2/1000)</f>
        <v>1.9316</v>
      </c>
      <c r="G42" s="13">
        <v>849.49</v>
      </c>
      <c r="H42" s="95">
        <f t="shared" ref="H42:H51" si="8">SUM(F42*G42/1000)</f>
        <v>1.640874884</v>
      </c>
      <c r="I42" s="13">
        <f t="shared" ref="I42:I45" si="9">F42/2*G42</f>
        <v>820.43744200000003</v>
      </c>
      <c r="J42" s="24"/>
      <c r="K42" s="8"/>
    </row>
    <row r="43" spans="1:13" ht="15.75" hidden="1" customHeight="1">
      <c r="A43" s="41">
        <v>12</v>
      </c>
      <c r="B43" s="91" t="s">
        <v>35</v>
      </c>
      <c r="C43" s="92" t="s">
        <v>100</v>
      </c>
      <c r="D43" s="91" t="s">
        <v>42</v>
      </c>
      <c r="E43" s="93">
        <v>36</v>
      </c>
      <c r="F43" s="94">
        <f>SUM(E43*2/1000)</f>
        <v>7.1999999999999995E-2</v>
      </c>
      <c r="G43" s="13">
        <v>579.48</v>
      </c>
      <c r="H43" s="95">
        <f t="shared" si="8"/>
        <v>4.1722559999999999E-2</v>
      </c>
      <c r="I43" s="13">
        <f t="shared" si="9"/>
        <v>20.861280000000001</v>
      </c>
      <c r="J43" s="25"/>
    </row>
    <row r="44" spans="1:13" ht="15.75" hidden="1" customHeight="1">
      <c r="A44" s="41">
        <v>13</v>
      </c>
      <c r="B44" s="91" t="s">
        <v>36</v>
      </c>
      <c r="C44" s="92" t="s">
        <v>100</v>
      </c>
      <c r="D44" s="91" t="s">
        <v>42</v>
      </c>
      <c r="E44" s="93">
        <v>1197.7</v>
      </c>
      <c r="F44" s="94">
        <f>SUM(E44*2/1000)</f>
        <v>2.3954</v>
      </c>
      <c r="G44" s="13">
        <v>579.48</v>
      </c>
      <c r="H44" s="95">
        <f t="shared" si="8"/>
        <v>1.3880863919999999</v>
      </c>
      <c r="I44" s="13">
        <f t="shared" si="9"/>
        <v>694.04319599999997</v>
      </c>
      <c r="J44" s="25"/>
    </row>
    <row r="45" spans="1:13" ht="15.75" hidden="1" customHeight="1">
      <c r="A45" s="41">
        <v>14</v>
      </c>
      <c r="B45" s="91" t="s">
        <v>37</v>
      </c>
      <c r="C45" s="92" t="s">
        <v>100</v>
      </c>
      <c r="D45" s="91" t="s">
        <v>42</v>
      </c>
      <c r="E45" s="93">
        <v>2275.92</v>
      </c>
      <c r="F45" s="94">
        <f>SUM(E45*2/1000)</f>
        <v>4.5518400000000003</v>
      </c>
      <c r="G45" s="13">
        <v>606.77</v>
      </c>
      <c r="H45" s="95">
        <f t="shared" si="8"/>
        <v>2.7619199567999999</v>
      </c>
      <c r="I45" s="13">
        <f t="shared" si="9"/>
        <v>1380.9599784</v>
      </c>
      <c r="J45" s="25"/>
    </row>
    <row r="46" spans="1:13" ht="15.75" hidden="1" customHeight="1">
      <c r="A46" s="41">
        <v>15</v>
      </c>
      <c r="B46" s="91" t="s">
        <v>33</v>
      </c>
      <c r="C46" s="92" t="s">
        <v>34</v>
      </c>
      <c r="D46" s="91" t="s">
        <v>42</v>
      </c>
      <c r="E46" s="93">
        <v>81.709999999999994</v>
      </c>
      <c r="F46" s="94">
        <f>SUM(E46*2/100)</f>
        <v>1.6341999999999999</v>
      </c>
      <c r="G46" s="13">
        <v>68.56</v>
      </c>
      <c r="H46" s="95">
        <f t="shared" si="8"/>
        <v>0.11204075199999999</v>
      </c>
      <c r="I46" s="13">
        <f>F46/2*G46</f>
        <v>56.020375999999999</v>
      </c>
      <c r="J46" s="25"/>
    </row>
    <row r="47" spans="1:13" ht="15.75" hidden="1" customHeight="1">
      <c r="A47" s="41">
        <v>16</v>
      </c>
      <c r="B47" s="91" t="s">
        <v>56</v>
      </c>
      <c r="C47" s="92" t="s">
        <v>100</v>
      </c>
      <c r="D47" s="91" t="s">
        <v>135</v>
      </c>
      <c r="E47" s="93">
        <v>1711.8</v>
      </c>
      <c r="F47" s="94">
        <f>SUM(E47*5/1000)</f>
        <v>8.5589999999999993</v>
      </c>
      <c r="G47" s="13">
        <v>1213.55</v>
      </c>
      <c r="H47" s="95">
        <f t="shared" si="8"/>
        <v>10.386774449999999</v>
      </c>
      <c r="I47" s="13">
        <f>F47/5*G47</f>
        <v>2077.3548899999996</v>
      </c>
      <c r="J47" s="25"/>
    </row>
    <row r="48" spans="1:13" ht="13.5" hidden="1" customHeight="1">
      <c r="A48" s="41">
        <v>11</v>
      </c>
      <c r="B48" s="91" t="s">
        <v>107</v>
      </c>
      <c r="C48" s="92" t="s">
        <v>100</v>
      </c>
      <c r="D48" s="91" t="s">
        <v>42</v>
      </c>
      <c r="E48" s="93">
        <v>1711.8</v>
      </c>
      <c r="F48" s="94">
        <f>SUM(E48*2/1000)</f>
        <v>3.4236</v>
      </c>
      <c r="G48" s="13">
        <v>1213.55</v>
      </c>
      <c r="H48" s="95">
        <f t="shared" si="8"/>
        <v>4.1547097800000001</v>
      </c>
      <c r="I48" s="13">
        <f>F48/2*G48</f>
        <v>2077.3548900000001</v>
      </c>
      <c r="J48" s="25"/>
    </row>
    <row r="49" spans="1:14" ht="15" hidden="1" customHeight="1">
      <c r="A49" s="41">
        <v>12</v>
      </c>
      <c r="B49" s="91" t="s">
        <v>108</v>
      </c>
      <c r="C49" s="92" t="s">
        <v>38</v>
      </c>
      <c r="D49" s="91" t="s">
        <v>42</v>
      </c>
      <c r="E49" s="93">
        <v>15</v>
      </c>
      <c r="F49" s="94">
        <f>SUM(E49*2/100)</f>
        <v>0.3</v>
      </c>
      <c r="G49" s="13">
        <v>2730.49</v>
      </c>
      <c r="H49" s="95">
        <f t="shared" si="8"/>
        <v>0.81914699999999996</v>
      </c>
      <c r="I49" s="13">
        <f t="shared" ref="I49:I50" si="10">F49/2*G49</f>
        <v>409.57349999999997</v>
      </c>
      <c r="J49" s="25"/>
    </row>
    <row r="50" spans="1:14" ht="15.75" hidden="1" customHeight="1">
      <c r="A50" s="41">
        <v>13</v>
      </c>
      <c r="B50" s="91" t="s">
        <v>39</v>
      </c>
      <c r="C50" s="92" t="s">
        <v>40</v>
      </c>
      <c r="D50" s="91" t="s">
        <v>42</v>
      </c>
      <c r="E50" s="93">
        <v>1</v>
      </c>
      <c r="F50" s="94">
        <v>0.02</v>
      </c>
      <c r="G50" s="13">
        <v>5322.15</v>
      </c>
      <c r="H50" s="95">
        <f t="shared" si="8"/>
        <v>0.106443</v>
      </c>
      <c r="I50" s="13">
        <f t="shared" si="10"/>
        <v>53.221499999999999</v>
      </c>
      <c r="J50" s="25"/>
      <c r="L50" s="21"/>
      <c r="M50" s="22"/>
      <c r="N50" s="23"/>
    </row>
    <row r="51" spans="1:14" ht="15.75" hidden="1" customHeight="1">
      <c r="A51" s="41">
        <v>14</v>
      </c>
      <c r="B51" s="91" t="s">
        <v>41</v>
      </c>
      <c r="C51" s="92" t="s">
        <v>85</v>
      </c>
      <c r="D51" s="91" t="s">
        <v>71</v>
      </c>
      <c r="E51" s="93">
        <v>90</v>
      </c>
      <c r="F51" s="94">
        <f>SUM(E51)*3</f>
        <v>270</v>
      </c>
      <c r="G51" s="13">
        <v>65.67</v>
      </c>
      <c r="H51" s="95">
        <f t="shared" si="8"/>
        <v>17.730900000000002</v>
      </c>
      <c r="I51" s="13">
        <f>E51*G51</f>
        <v>5910.3</v>
      </c>
      <c r="J51" s="25"/>
      <c r="L51" s="21"/>
      <c r="M51" s="22"/>
      <c r="N51" s="23"/>
    </row>
    <row r="52" spans="1:14" ht="15.75" customHeight="1">
      <c r="A52" s="201" t="s">
        <v>142</v>
      </c>
      <c r="B52" s="202"/>
      <c r="C52" s="202"/>
      <c r="D52" s="202"/>
      <c r="E52" s="202"/>
      <c r="F52" s="202"/>
      <c r="G52" s="202"/>
      <c r="H52" s="202"/>
      <c r="I52" s="203"/>
      <c r="J52" s="25"/>
      <c r="L52" s="21"/>
      <c r="M52" s="22"/>
      <c r="N52" s="23"/>
    </row>
    <row r="53" spans="1:14" ht="15.75" hidden="1" customHeight="1">
      <c r="A53" s="90"/>
      <c r="B53" s="48" t="s">
        <v>43</v>
      </c>
      <c r="C53" s="17"/>
      <c r="D53" s="16"/>
      <c r="E53" s="16"/>
      <c r="F53" s="16"/>
      <c r="G53" s="31"/>
      <c r="H53" s="31"/>
      <c r="I53" s="19"/>
      <c r="J53" s="25"/>
      <c r="L53" s="21"/>
      <c r="M53" s="22"/>
      <c r="N53" s="23"/>
    </row>
    <row r="54" spans="1:14" ht="31.5" hidden="1" customHeight="1">
      <c r="A54" s="41">
        <v>14</v>
      </c>
      <c r="B54" s="91" t="s">
        <v>109</v>
      </c>
      <c r="C54" s="92" t="s">
        <v>88</v>
      </c>
      <c r="D54" s="91" t="s">
        <v>110</v>
      </c>
      <c r="E54" s="93">
        <v>96.58</v>
      </c>
      <c r="F54" s="94">
        <f>SUM(E54*6/100)</f>
        <v>5.7948000000000004</v>
      </c>
      <c r="G54" s="13">
        <v>1547.28</v>
      </c>
      <c r="H54" s="95">
        <f>SUM(F54*G54/1000)</f>
        <v>8.9661781440000006</v>
      </c>
      <c r="I54" s="13">
        <f>F54/6*G54</f>
        <v>1494.3630240000002</v>
      </c>
      <c r="J54" s="25"/>
      <c r="L54" s="21"/>
      <c r="M54" s="22"/>
      <c r="N54" s="23"/>
    </row>
    <row r="55" spans="1:14" ht="15.75" customHeight="1">
      <c r="A55" s="41"/>
      <c r="B55" s="67" t="s">
        <v>44</v>
      </c>
      <c r="C55" s="40"/>
      <c r="D55" s="34"/>
      <c r="E55" s="19"/>
      <c r="F55" s="85"/>
      <c r="G55" s="37"/>
      <c r="H55" s="68"/>
      <c r="I55" s="20"/>
      <c r="J55" s="25"/>
      <c r="L55" s="21"/>
      <c r="M55" s="22"/>
      <c r="N55" s="23"/>
    </row>
    <row r="56" spans="1:14" ht="15.75" hidden="1" customHeight="1">
      <c r="A56" s="41"/>
      <c r="B56" s="91" t="s">
        <v>45</v>
      </c>
      <c r="C56" s="92" t="s">
        <v>88</v>
      </c>
      <c r="D56" s="91" t="s">
        <v>54</v>
      </c>
      <c r="E56" s="93">
        <v>855.9</v>
      </c>
      <c r="F56" s="95">
        <v>8.6</v>
      </c>
      <c r="G56" s="13">
        <v>747.3</v>
      </c>
      <c r="H56" s="99">
        <v>6.4</v>
      </c>
      <c r="I56" s="13">
        <v>0</v>
      </c>
      <c r="J56" s="25"/>
      <c r="L56" s="21"/>
      <c r="M56" s="22"/>
      <c r="N56" s="23"/>
    </row>
    <row r="57" spans="1:14" ht="15.75" customHeight="1">
      <c r="A57" s="41">
        <v>9</v>
      </c>
      <c r="B57" s="91" t="s">
        <v>86</v>
      </c>
      <c r="C57" s="92" t="s">
        <v>25</v>
      </c>
      <c r="D57" s="91" t="s">
        <v>165</v>
      </c>
      <c r="E57" s="93">
        <v>256</v>
      </c>
      <c r="F57" s="95">
        <f>E57*12</f>
        <v>3072</v>
      </c>
      <c r="G57" s="13">
        <v>1.4</v>
      </c>
      <c r="H57" s="99">
        <f>F57*G57/1000</f>
        <v>4.3007999999999988</v>
      </c>
      <c r="I57" s="13">
        <f>1560/12*G57</f>
        <v>182</v>
      </c>
      <c r="J57" s="25"/>
      <c r="L57" s="21"/>
      <c r="M57" s="22"/>
      <c r="N57" s="23"/>
    </row>
    <row r="58" spans="1:14" ht="15.75" hidden="1" customHeight="1">
      <c r="A58" s="41"/>
      <c r="B58" s="67" t="s">
        <v>126</v>
      </c>
      <c r="C58" s="40"/>
      <c r="D58" s="34"/>
      <c r="E58" s="19"/>
      <c r="F58" s="85"/>
      <c r="G58" s="69"/>
      <c r="H58" s="68"/>
      <c r="I58" s="20"/>
      <c r="J58" s="25"/>
      <c r="L58" s="21"/>
      <c r="M58" s="22"/>
      <c r="N58" s="23"/>
    </row>
    <row r="59" spans="1:14" ht="15.75" hidden="1" customHeight="1">
      <c r="A59" s="41"/>
      <c r="B59" s="91" t="s">
        <v>127</v>
      </c>
      <c r="C59" s="92" t="s">
        <v>85</v>
      </c>
      <c r="D59" s="91" t="s">
        <v>65</v>
      </c>
      <c r="E59" s="93">
        <v>2</v>
      </c>
      <c r="F59" s="94">
        <f>SUM(E59)</f>
        <v>2</v>
      </c>
      <c r="G59" s="100">
        <v>237.75</v>
      </c>
      <c r="H59" s="95">
        <f t="shared" ref="H59" si="11">SUM(F59*G59/1000)</f>
        <v>0.47549999999999998</v>
      </c>
      <c r="I59" s="13">
        <v>0</v>
      </c>
      <c r="J59" s="25"/>
      <c r="L59" s="21"/>
      <c r="M59" s="22"/>
      <c r="N59" s="23"/>
    </row>
    <row r="60" spans="1:14" ht="15.75" customHeight="1">
      <c r="A60" s="41"/>
      <c r="B60" s="81" t="s">
        <v>46</v>
      </c>
      <c r="C60" s="17"/>
      <c r="D60" s="16"/>
      <c r="E60" s="16"/>
      <c r="F60" s="86"/>
      <c r="G60" s="65"/>
      <c r="H60" s="68"/>
      <c r="I60" s="19"/>
      <c r="J60" s="25"/>
      <c r="L60" s="21"/>
      <c r="M60" s="22"/>
      <c r="N60" s="23"/>
    </row>
    <row r="61" spans="1:14" ht="15.75" customHeight="1">
      <c r="A61" s="41">
        <v>10</v>
      </c>
      <c r="B61" s="15" t="s">
        <v>47</v>
      </c>
      <c r="C61" s="17" t="s">
        <v>85</v>
      </c>
      <c r="D61" s="91" t="s">
        <v>165</v>
      </c>
      <c r="E61" s="19">
        <v>10</v>
      </c>
      <c r="F61" s="94">
        <v>10</v>
      </c>
      <c r="G61" s="135">
        <v>331.57</v>
      </c>
      <c r="H61" s="101">
        <f t="shared" ref="H61:H68" si="12">SUM(F61*G61/1000)</f>
        <v>3.3156999999999996</v>
      </c>
      <c r="I61" s="13">
        <f>G61*1</f>
        <v>331.57</v>
      </c>
      <c r="J61" s="25"/>
      <c r="L61" s="21"/>
      <c r="M61" s="22"/>
      <c r="N61" s="23"/>
    </row>
    <row r="62" spans="1:14" ht="15.75" hidden="1" customHeight="1">
      <c r="A62" s="31">
        <v>29</v>
      </c>
      <c r="B62" s="15" t="s">
        <v>48</v>
      </c>
      <c r="C62" s="17" t="s">
        <v>85</v>
      </c>
      <c r="D62" s="91" t="s">
        <v>65</v>
      </c>
      <c r="E62" s="19">
        <v>5</v>
      </c>
      <c r="F62" s="94">
        <v>5</v>
      </c>
      <c r="G62" s="13">
        <v>75.25</v>
      </c>
      <c r="H62" s="101">
        <f t="shared" si="12"/>
        <v>0.37624999999999997</v>
      </c>
      <c r="I62" s="13">
        <v>0</v>
      </c>
      <c r="J62" s="25"/>
      <c r="L62" s="21"/>
      <c r="M62" s="22"/>
      <c r="N62" s="23"/>
    </row>
    <row r="63" spans="1:14" ht="15.75" hidden="1" customHeight="1">
      <c r="A63" s="31">
        <v>25</v>
      </c>
      <c r="B63" s="15" t="s">
        <v>49</v>
      </c>
      <c r="C63" s="17" t="s">
        <v>111</v>
      </c>
      <c r="D63" s="15" t="s">
        <v>54</v>
      </c>
      <c r="E63" s="93">
        <v>13018</v>
      </c>
      <c r="F63" s="13">
        <f>SUM(E63/100)</f>
        <v>130.18</v>
      </c>
      <c r="G63" s="13">
        <v>212.15</v>
      </c>
      <c r="H63" s="101">
        <f t="shared" si="12"/>
        <v>27.617687</v>
      </c>
      <c r="I63" s="13">
        <f>F63*G63</f>
        <v>27617.687000000002</v>
      </c>
      <c r="J63" s="25"/>
      <c r="L63" s="21"/>
      <c r="M63" s="22"/>
      <c r="N63" s="23"/>
    </row>
    <row r="64" spans="1:14" ht="15.75" hidden="1" customHeight="1">
      <c r="A64" s="31">
        <v>26</v>
      </c>
      <c r="B64" s="15" t="s">
        <v>50</v>
      </c>
      <c r="C64" s="17" t="s">
        <v>112</v>
      </c>
      <c r="D64" s="15"/>
      <c r="E64" s="93">
        <v>13018</v>
      </c>
      <c r="F64" s="13">
        <f>SUM(E64/1000)</f>
        <v>13.018000000000001</v>
      </c>
      <c r="G64" s="13">
        <v>165.21</v>
      </c>
      <c r="H64" s="101">
        <f t="shared" si="12"/>
        <v>2.1507037800000002</v>
      </c>
      <c r="I64" s="13">
        <f t="shared" ref="I64:I68" si="13">F64*G64</f>
        <v>2150.7037800000003</v>
      </c>
      <c r="J64" s="25"/>
      <c r="L64" s="21"/>
      <c r="M64" s="22"/>
      <c r="N64" s="23"/>
    </row>
    <row r="65" spans="1:14" ht="15.75" hidden="1" customHeight="1">
      <c r="A65" s="31">
        <v>27</v>
      </c>
      <c r="B65" s="15" t="s">
        <v>51</v>
      </c>
      <c r="C65" s="17" t="s">
        <v>76</v>
      </c>
      <c r="D65" s="15" t="s">
        <v>54</v>
      </c>
      <c r="E65" s="93">
        <v>1279</v>
      </c>
      <c r="F65" s="13">
        <f>SUM(E65/100)</f>
        <v>12.79</v>
      </c>
      <c r="G65" s="13">
        <v>2074.63</v>
      </c>
      <c r="H65" s="101">
        <f t="shared" si="12"/>
        <v>26.534517700000002</v>
      </c>
      <c r="I65" s="13">
        <f t="shared" si="13"/>
        <v>26534.5177</v>
      </c>
      <c r="J65" s="25"/>
      <c r="L65" s="21"/>
      <c r="M65" s="22"/>
      <c r="N65" s="23"/>
    </row>
    <row r="66" spans="1:14" ht="15.75" hidden="1" customHeight="1">
      <c r="A66" s="31">
        <v>28</v>
      </c>
      <c r="B66" s="102" t="s">
        <v>113</v>
      </c>
      <c r="C66" s="17" t="s">
        <v>32</v>
      </c>
      <c r="D66" s="15"/>
      <c r="E66" s="93">
        <v>12</v>
      </c>
      <c r="F66" s="13">
        <f>SUM(E66)</f>
        <v>12</v>
      </c>
      <c r="G66" s="13">
        <v>45.32</v>
      </c>
      <c r="H66" s="101">
        <f t="shared" si="12"/>
        <v>0.54383999999999999</v>
      </c>
      <c r="I66" s="13">
        <f t="shared" si="13"/>
        <v>543.84</v>
      </c>
      <c r="J66" s="25"/>
      <c r="L66" s="21"/>
      <c r="M66" s="22"/>
      <c r="N66" s="23"/>
    </row>
    <row r="67" spans="1:14" ht="15.75" hidden="1" customHeight="1">
      <c r="A67" s="31">
        <v>29</v>
      </c>
      <c r="B67" s="102" t="s">
        <v>114</v>
      </c>
      <c r="C67" s="17" t="s">
        <v>32</v>
      </c>
      <c r="D67" s="15"/>
      <c r="E67" s="93">
        <v>12</v>
      </c>
      <c r="F67" s="13">
        <f>SUM(E67)</f>
        <v>12</v>
      </c>
      <c r="G67" s="13">
        <v>42.28</v>
      </c>
      <c r="H67" s="101">
        <f t="shared" si="12"/>
        <v>0.50736000000000003</v>
      </c>
      <c r="I67" s="13">
        <f t="shared" si="13"/>
        <v>507.36</v>
      </c>
      <c r="J67" s="25"/>
      <c r="L67" s="21"/>
      <c r="M67" s="22"/>
      <c r="N67" s="23"/>
    </row>
    <row r="68" spans="1:14" ht="15.75" hidden="1" customHeight="1">
      <c r="A68" s="31">
        <v>22</v>
      </c>
      <c r="B68" s="15" t="s">
        <v>57</v>
      </c>
      <c r="C68" s="17" t="s">
        <v>58</v>
      </c>
      <c r="D68" s="15" t="s">
        <v>54</v>
      </c>
      <c r="E68" s="19">
        <v>1</v>
      </c>
      <c r="F68" s="94">
        <f>SUM(E68)</f>
        <v>1</v>
      </c>
      <c r="G68" s="13">
        <v>49.88</v>
      </c>
      <c r="H68" s="101">
        <f t="shared" si="12"/>
        <v>4.9880000000000001E-2</v>
      </c>
      <c r="I68" s="13">
        <f t="shared" si="13"/>
        <v>49.88</v>
      </c>
      <c r="J68" s="25"/>
      <c r="L68" s="21"/>
      <c r="M68" s="22"/>
      <c r="N68" s="23"/>
    </row>
    <row r="69" spans="1:14" ht="15.75" hidden="1" customHeight="1">
      <c r="A69" s="90"/>
      <c r="B69" s="81" t="s">
        <v>115</v>
      </c>
      <c r="C69" s="81"/>
      <c r="D69" s="81"/>
      <c r="E69" s="81"/>
      <c r="F69" s="81"/>
      <c r="G69" s="81"/>
      <c r="H69" s="81"/>
      <c r="I69" s="19"/>
      <c r="J69" s="25"/>
      <c r="L69" s="21"/>
      <c r="M69" s="22"/>
      <c r="N69" s="23"/>
    </row>
    <row r="70" spans="1:14" ht="15.75" hidden="1" customHeight="1">
      <c r="A70" s="31">
        <v>16</v>
      </c>
      <c r="B70" s="91" t="s">
        <v>116</v>
      </c>
      <c r="C70" s="17"/>
      <c r="D70" s="15"/>
      <c r="E70" s="85"/>
      <c r="F70" s="13">
        <v>1</v>
      </c>
      <c r="G70" s="13">
        <v>10041.700000000001</v>
      </c>
      <c r="H70" s="101">
        <f>G70*F70/1000</f>
        <v>10.041700000000001</v>
      </c>
      <c r="I70" s="13">
        <f>G70</f>
        <v>10041.700000000001</v>
      </c>
      <c r="J70" s="25"/>
      <c r="L70" s="21"/>
      <c r="M70" s="22"/>
      <c r="N70" s="23"/>
    </row>
    <row r="71" spans="1:14" ht="21.75" customHeight="1">
      <c r="A71" s="31"/>
      <c r="B71" s="49" t="s">
        <v>72</v>
      </c>
      <c r="C71" s="49"/>
      <c r="D71" s="49"/>
      <c r="E71" s="19"/>
      <c r="F71" s="19"/>
      <c r="G71" s="31"/>
      <c r="H71" s="31"/>
      <c r="I71" s="19"/>
      <c r="J71" s="25"/>
      <c r="L71" s="21"/>
      <c r="M71" s="22"/>
      <c r="N71" s="23"/>
    </row>
    <row r="72" spans="1:14" ht="15" hidden="1" customHeight="1">
      <c r="A72" s="31">
        <v>17</v>
      </c>
      <c r="B72" s="15" t="s">
        <v>73</v>
      </c>
      <c r="C72" s="17" t="s">
        <v>74</v>
      </c>
      <c r="D72" s="15" t="s">
        <v>65</v>
      </c>
      <c r="E72" s="19">
        <v>5</v>
      </c>
      <c r="F72" s="13">
        <v>0.5</v>
      </c>
      <c r="G72" s="13">
        <v>501.62</v>
      </c>
      <c r="H72" s="101">
        <f t="shared" ref="H72:H74" si="14">SUM(F72*G72/1000)</f>
        <v>0.25080999999999998</v>
      </c>
      <c r="I72" s="13">
        <f>G72*0.1</f>
        <v>50.162000000000006</v>
      </c>
      <c r="J72" s="25"/>
      <c r="L72" s="21"/>
      <c r="M72" s="22"/>
      <c r="N72" s="23"/>
    </row>
    <row r="73" spans="1:14" ht="24.75" hidden="1" customHeight="1">
      <c r="A73" s="31"/>
      <c r="B73" s="15" t="s">
        <v>128</v>
      </c>
      <c r="C73" s="17" t="s">
        <v>85</v>
      </c>
      <c r="D73" s="15"/>
      <c r="E73" s="19">
        <v>1</v>
      </c>
      <c r="F73" s="84">
        <f>E73</f>
        <v>1</v>
      </c>
      <c r="G73" s="13">
        <v>852.99</v>
      </c>
      <c r="H73" s="101">
        <f t="shared" si="14"/>
        <v>0.85299000000000003</v>
      </c>
      <c r="I73" s="13">
        <v>0</v>
      </c>
      <c r="J73" s="25"/>
      <c r="L73" s="21"/>
      <c r="M73" s="22"/>
      <c r="N73" s="23"/>
    </row>
    <row r="74" spans="1:14" ht="28.5" hidden="1" customHeight="1">
      <c r="A74" s="31"/>
      <c r="B74" s="15" t="s">
        <v>129</v>
      </c>
      <c r="C74" s="17" t="s">
        <v>85</v>
      </c>
      <c r="D74" s="15"/>
      <c r="E74" s="19">
        <v>1</v>
      </c>
      <c r="F74" s="94">
        <f>SUM(E74)</f>
        <v>1</v>
      </c>
      <c r="G74" s="13">
        <v>358.51</v>
      </c>
      <c r="H74" s="101">
        <f t="shared" si="14"/>
        <v>0.35851</v>
      </c>
      <c r="I74" s="13">
        <v>0</v>
      </c>
      <c r="J74" s="25"/>
      <c r="L74" s="21"/>
      <c r="M74" s="22"/>
      <c r="N74" s="23"/>
    </row>
    <row r="75" spans="1:14" ht="16.5" customHeight="1">
      <c r="A75" s="31">
        <v>11</v>
      </c>
      <c r="B75" s="121" t="s">
        <v>194</v>
      </c>
      <c r="C75" s="38" t="s">
        <v>85</v>
      </c>
      <c r="D75" s="121" t="s">
        <v>164</v>
      </c>
      <c r="E75" s="18">
        <v>2</v>
      </c>
      <c r="F75" s="68">
        <f>E75*12</f>
        <v>24</v>
      </c>
      <c r="G75" s="37">
        <v>420</v>
      </c>
      <c r="H75" s="101"/>
      <c r="I75" s="13">
        <f>G75*2</f>
        <v>840</v>
      </c>
      <c r="J75" s="25"/>
      <c r="L75" s="21"/>
      <c r="M75" s="22"/>
      <c r="N75" s="23"/>
    </row>
    <row r="76" spans="1:14" ht="25.5" hidden="1" customHeight="1">
      <c r="A76" s="31"/>
      <c r="B76" s="50" t="s">
        <v>75</v>
      </c>
      <c r="C76" s="38"/>
      <c r="D76" s="31"/>
      <c r="E76" s="19"/>
      <c r="F76" s="19"/>
      <c r="G76" s="37" t="s">
        <v>117</v>
      </c>
      <c r="H76" s="37"/>
      <c r="I76" s="19"/>
      <c r="J76" s="25"/>
      <c r="L76" s="21"/>
      <c r="M76" s="22"/>
      <c r="N76" s="23"/>
    </row>
    <row r="77" spans="1:14" ht="25.5" hidden="1" customHeight="1">
      <c r="A77" s="31">
        <v>12</v>
      </c>
      <c r="B77" s="52" t="s">
        <v>118</v>
      </c>
      <c r="C77" s="17" t="s">
        <v>76</v>
      </c>
      <c r="D77" s="15"/>
      <c r="E77" s="19"/>
      <c r="F77" s="13">
        <v>0.3</v>
      </c>
      <c r="G77" s="13">
        <v>2759.44</v>
      </c>
      <c r="H77" s="101">
        <f t="shared" ref="H77" si="15">SUM(F77*G77/1000)</f>
        <v>0.82783200000000001</v>
      </c>
      <c r="I77" s="13">
        <v>0</v>
      </c>
      <c r="J77" s="25"/>
      <c r="L77" s="21"/>
      <c r="M77" s="22"/>
      <c r="N77" s="23"/>
    </row>
    <row r="78" spans="1:14" ht="15.75" customHeight="1">
      <c r="A78" s="31"/>
      <c r="B78" s="144" t="s">
        <v>174</v>
      </c>
      <c r="C78" s="38"/>
      <c r="D78" s="121"/>
      <c r="E78" s="18"/>
      <c r="F78" s="68"/>
      <c r="G78" s="37"/>
      <c r="H78" s="137"/>
      <c r="I78" s="138"/>
      <c r="J78" s="25"/>
      <c r="L78" s="21"/>
      <c r="M78" s="22"/>
      <c r="N78" s="23"/>
    </row>
    <row r="79" spans="1:14" ht="31.5" customHeight="1">
      <c r="A79" s="31">
        <v>12</v>
      </c>
      <c r="B79" s="121" t="s">
        <v>175</v>
      </c>
      <c r="C79" s="41" t="s">
        <v>176</v>
      </c>
      <c r="D79" s="121"/>
      <c r="E79" s="18">
        <v>2581.1999999999998</v>
      </c>
      <c r="F79" s="37">
        <f>E79*12</f>
        <v>30974.399999999998</v>
      </c>
      <c r="G79" s="37">
        <v>2.6</v>
      </c>
      <c r="H79" s="137"/>
      <c r="I79" s="138">
        <f>G79*F79/12</f>
        <v>6711.12</v>
      </c>
      <c r="J79" s="25"/>
      <c r="L79" s="21"/>
      <c r="M79" s="22"/>
      <c r="N79" s="23"/>
    </row>
    <row r="80" spans="1:14" ht="15.75" customHeight="1">
      <c r="A80" s="205" t="s">
        <v>143</v>
      </c>
      <c r="B80" s="206"/>
      <c r="C80" s="206"/>
      <c r="D80" s="206"/>
      <c r="E80" s="206"/>
      <c r="F80" s="206"/>
      <c r="G80" s="206"/>
      <c r="H80" s="206"/>
      <c r="I80" s="207"/>
      <c r="J80" s="25"/>
      <c r="L80" s="21"/>
      <c r="M80" s="22"/>
      <c r="N80" s="23"/>
    </row>
    <row r="81" spans="1:22" ht="15.75" customHeight="1">
      <c r="A81" s="31">
        <v>13</v>
      </c>
      <c r="B81" s="121" t="s">
        <v>119</v>
      </c>
      <c r="C81" s="38" t="s">
        <v>55</v>
      </c>
      <c r="D81" s="169"/>
      <c r="E81" s="37">
        <v>2581.1999999999998</v>
      </c>
      <c r="F81" s="37">
        <f>SUM(E81*12)</f>
        <v>30974.399999999998</v>
      </c>
      <c r="G81" s="37">
        <v>3.5</v>
      </c>
      <c r="H81" s="164">
        <f>SUM(F81*G81/1000)</f>
        <v>108.4104</v>
      </c>
      <c r="I81" s="13">
        <f>F81/12*G81</f>
        <v>9034.1999999999989</v>
      </c>
      <c r="J81" s="25"/>
      <c r="L81" s="21"/>
    </row>
    <row r="82" spans="1:22" ht="31.5" customHeight="1">
      <c r="A82" s="31">
        <v>14</v>
      </c>
      <c r="B82" s="166" t="s">
        <v>195</v>
      </c>
      <c r="C82" s="159" t="s">
        <v>55</v>
      </c>
      <c r="D82" s="167"/>
      <c r="E82" s="168">
        <f>E81</f>
        <v>2581.1999999999998</v>
      </c>
      <c r="F82" s="161">
        <f>E82*12</f>
        <v>30974.399999999998</v>
      </c>
      <c r="G82" s="161">
        <v>3.2</v>
      </c>
      <c r="H82" s="101">
        <f>F82*G82/1000</f>
        <v>99.118080000000006</v>
      </c>
      <c r="I82" s="13">
        <f>F82/12*G82</f>
        <v>8259.84</v>
      </c>
    </row>
    <row r="83" spans="1:22" ht="15.75" customHeight="1">
      <c r="A83" s="90"/>
      <c r="B83" s="39" t="s">
        <v>79</v>
      </c>
      <c r="C83" s="41"/>
      <c r="D83" s="16"/>
      <c r="E83" s="16"/>
      <c r="F83" s="16"/>
      <c r="G83" s="19"/>
      <c r="H83" s="19"/>
      <c r="I83" s="33">
        <f>I82+I81+I79+I75+I57+I31+I30+I27+I21+I20+I18+I17+I16+I61</f>
        <v>36443.474704</v>
      </c>
    </row>
    <row r="84" spans="1:22" ht="15.75" customHeight="1">
      <c r="A84" s="208" t="s">
        <v>60</v>
      </c>
      <c r="B84" s="209"/>
      <c r="C84" s="209"/>
      <c r="D84" s="209"/>
      <c r="E84" s="209"/>
      <c r="F84" s="209"/>
      <c r="G84" s="209"/>
      <c r="H84" s="209"/>
      <c r="I84" s="210"/>
    </row>
    <row r="85" spans="1:22" ht="15.75" customHeight="1">
      <c r="A85" s="31">
        <v>15</v>
      </c>
      <c r="B85" s="119" t="s">
        <v>242</v>
      </c>
      <c r="C85" s="120" t="s">
        <v>53</v>
      </c>
      <c r="D85" s="66"/>
      <c r="E85" s="37"/>
      <c r="F85" s="179">
        <v>1.1999999999999999E-3</v>
      </c>
      <c r="G85" s="37">
        <v>82207.5</v>
      </c>
      <c r="H85" s="101"/>
      <c r="I85" s="13">
        <f>G85*0.0012</f>
        <v>98.648999999999987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9"/>
    </row>
    <row r="86" spans="1:22" ht="15.75" customHeight="1">
      <c r="A86" s="31">
        <v>16</v>
      </c>
      <c r="B86" s="119" t="s">
        <v>243</v>
      </c>
      <c r="C86" s="120" t="s">
        <v>244</v>
      </c>
      <c r="D86" s="66" t="s">
        <v>227</v>
      </c>
      <c r="E86" s="37"/>
      <c r="F86" s="179">
        <v>1E-4</v>
      </c>
      <c r="G86" s="37">
        <v>1181661.8</v>
      </c>
      <c r="H86" s="101"/>
      <c r="I86" s="13">
        <f>G86*0.0001</f>
        <v>118.16618000000001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9"/>
    </row>
    <row r="87" spans="1:22" ht="50.25" customHeight="1">
      <c r="A87" s="31">
        <v>17</v>
      </c>
      <c r="B87" s="119" t="s">
        <v>152</v>
      </c>
      <c r="C87" s="120" t="s">
        <v>153</v>
      </c>
      <c r="D87" s="66" t="s">
        <v>227</v>
      </c>
      <c r="E87" s="37"/>
      <c r="F87" s="37">
        <v>0.1</v>
      </c>
      <c r="G87" s="37">
        <v>11682.48</v>
      </c>
      <c r="H87" s="101"/>
      <c r="I87" s="13">
        <f>G87*0.1</f>
        <v>1168.248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9"/>
    </row>
    <row r="88" spans="1:22" ht="17.25" customHeight="1">
      <c r="A88" s="31">
        <v>18</v>
      </c>
      <c r="B88" s="177" t="s">
        <v>245</v>
      </c>
      <c r="C88" s="178" t="s">
        <v>246</v>
      </c>
      <c r="D88" s="66" t="s">
        <v>227</v>
      </c>
      <c r="E88" s="37"/>
      <c r="F88" s="37">
        <v>1</v>
      </c>
      <c r="G88" s="37">
        <v>959.5</v>
      </c>
      <c r="H88" s="101"/>
      <c r="I88" s="13">
        <f>G88*1</f>
        <v>959.5</v>
      </c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9"/>
    </row>
    <row r="89" spans="1:22" ht="16.5" customHeight="1">
      <c r="A89" s="31">
        <v>19</v>
      </c>
      <c r="B89" s="119" t="s">
        <v>247</v>
      </c>
      <c r="C89" s="120" t="s">
        <v>94</v>
      </c>
      <c r="D89" s="66"/>
      <c r="E89" s="37"/>
      <c r="F89" s="37">
        <v>1</v>
      </c>
      <c r="G89" s="37">
        <v>331.57</v>
      </c>
      <c r="H89" s="101"/>
      <c r="I89" s="13">
        <f>G89*1</f>
        <v>331.57</v>
      </c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9"/>
    </row>
    <row r="90" spans="1:22" ht="15.75" customHeight="1">
      <c r="A90" s="31">
        <v>20</v>
      </c>
      <c r="B90" s="119" t="s">
        <v>248</v>
      </c>
      <c r="C90" s="120" t="s">
        <v>249</v>
      </c>
      <c r="D90" s="66" t="s">
        <v>251</v>
      </c>
      <c r="E90" s="37"/>
      <c r="F90" s="37">
        <v>2</v>
      </c>
      <c r="G90" s="37">
        <v>647</v>
      </c>
      <c r="H90" s="101"/>
      <c r="I90" s="13">
        <f>G90*2</f>
        <v>1294</v>
      </c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9"/>
    </row>
    <row r="91" spans="1:22" ht="15.75" customHeight="1">
      <c r="A91" s="31">
        <v>21</v>
      </c>
      <c r="B91" s="119" t="s">
        <v>284</v>
      </c>
      <c r="C91" s="120" t="s">
        <v>282</v>
      </c>
      <c r="D91" s="66" t="s">
        <v>288</v>
      </c>
      <c r="E91" s="37"/>
      <c r="F91" s="37">
        <v>4</v>
      </c>
      <c r="G91" s="37">
        <v>222.63</v>
      </c>
      <c r="H91" s="101"/>
      <c r="I91" s="13">
        <v>0</v>
      </c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9"/>
    </row>
    <row r="92" spans="1:22" ht="15.75" customHeight="1">
      <c r="A92" s="31"/>
      <c r="B92" s="46" t="s">
        <v>52</v>
      </c>
      <c r="C92" s="42"/>
      <c r="D92" s="54"/>
      <c r="E92" s="42">
        <v>1</v>
      </c>
      <c r="F92" s="42"/>
      <c r="G92" s="42"/>
      <c r="H92" s="42"/>
      <c r="I92" s="33">
        <f>SUM(I85:I90)</f>
        <v>3970.1331800000003</v>
      </c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</row>
    <row r="93" spans="1:22" ht="15.75" customHeight="1">
      <c r="A93" s="31"/>
      <c r="B93" s="52" t="s">
        <v>78</v>
      </c>
      <c r="C93" s="16"/>
      <c r="D93" s="16"/>
      <c r="E93" s="43"/>
      <c r="F93" s="43"/>
      <c r="G93" s="44"/>
      <c r="H93" s="44"/>
      <c r="I93" s="18">
        <v>0</v>
      </c>
    </row>
    <row r="94" spans="1:22" ht="15.75" customHeight="1">
      <c r="A94" s="55"/>
      <c r="B94" s="47" t="s">
        <v>136</v>
      </c>
      <c r="C94" s="36"/>
      <c r="D94" s="36"/>
      <c r="E94" s="36"/>
      <c r="F94" s="36"/>
      <c r="G94" s="36"/>
      <c r="H94" s="36"/>
      <c r="I94" s="45">
        <f>I83+I92</f>
        <v>40413.607883999997</v>
      </c>
    </row>
    <row r="95" spans="1:22" ht="15.75" customHeight="1">
      <c r="A95" s="204" t="s">
        <v>279</v>
      </c>
      <c r="B95" s="204"/>
      <c r="C95" s="204"/>
      <c r="D95" s="204"/>
      <c r="E95" s="204"/>
      <c r="F95" s="204"/>
      <c r="G95" s="204"/>
      <c r="H95" s="204"/>
      <c r="I95" s="204"/>
    </row>
    <row r="96" spans="1:22" ht="15.75" customHeight="1">
      <c r="A96" s="77"/>
      <c r="B96" s="185" t="s">
        <v>280</v>
      </c>
      <c r="C96" s="185"/>
      <c r="D96" s="185"/>
      <c r="E96" s="185"/>
      <c r="F96" s="185"/>
      <c r="G96" s="185"/>
      <c r="H96" s="89"/>
      <c r="I96" s="3"/>
    </row>
    <row r="97" spans="1:9" ht="15.75" customHeight="1">
      <c r="A97" s="80"/>
      <c r="B97" s="186" t="s">
        <v>6</v>
      </c>
      <c r="C97" s="186"/>
      <c r="D97" s="186"/>
      <c r="E97" s="186"/>
      <c r="F97" s="186"/>
      <c r="G97" s="186"/>
      <c r="H97" s="26"/>
      <c r="I97" s="5"/>
    </row>
    <row r="98" spans="1:9" ht="15.75" customHeight="1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 customHeight="1">
      <c r="A99" s="187" t="s">
        <v>7</v>
      </c>
      <c r="B99" s="187"/>
      <c r="C99" s="187"/>
      <c r="D99" s="187"/>
      <c r="E99" s="187"/>
      <c r="F99" s="187"/>
      <c r="G99" s="187"/>
      <c r="H99" s="187"/>
      <c r="I99" s="187"/>
    </row>
    <row r="100" spans="1:9" ht="15.75" customHeight="1">
      <c r="A100" s="187" t="s">
        <v>8</v>
      </c>
      <c r="B100" s="187"/>
      <c r="C100" s="187"/>
      <c r="D100" s="187"/>
      <c r="E100" s="187"/>
      <c r="F100" s="187"/>
      <c r="G100" s="187"/>
      <c r="H100" s="187"/>
      <c r="I100" s="187"/>
    </row>
    <row r="101" spans="1:9" ht="15.75" customHeight="1">
      <c r="A101" s="190" t="s">
        <v>61</v>
      </c>
      <c r="B101" s="190"/>
      <c r="C101" s="190"/>
      <c r="D101" s="190"/>
      <c r="E101" s="190"/>
      <c r="F101" s="190"/>
      <c r="G101" s="190"/>
      <c r="H101" s="190"/>
      <c r="I101" s="190"/>
    </row>
    <row r="102" spans="1:9" ht="15.75" customHeight="1">
      <c r="A102" s="11"/>
    </row>
    <row r="103" spans="1:9" ht="15.75" customHeight="1">
      <c r="A103" s="191" t="s">
        <v>9</v>
      </c>
      <c r="B103" s="191"/>
      <c r="C103" s="191"/>
      <c r="D103" s="191"/>
      <c r="E103" s="191"/>
      <c r="F103" s="191"/>
      <c r="G103" s="191"/>
      <c r="H103" s="191"/>
      <c r="I103" s="191"/>
    </row>
    <row r="104" spans="1:9" ht="15.75" customHeight="1">
      <c r="A104" s="4"/>
    </row>
    <row r="105" spans="1:9" ht="15.75" customHeight="1">
      <c r="B105" s="83" t="s">
        <v>10</v>
      </c>
      <c r="C105" s="192" t="s">
        <v>250</v>
      </c>
      <c r="D105" s="192"/>
      <c r="E105" s="192"/>
      <c r="F105" s="87"/>
      <c r="I105" s="79"/>
    </row>
    <row r="106" spans="1:9" ht="15.75" customHeight="1">
      <c r="A106" s="80"/>
      <c r="C106" s="186" t="s">
        <v>11</v>
      </c>
      <c r="D106" s="186"/>
      <c r="E106" s="186"/>
      <c r="F106" s="26"/>
      <c r="I106" s="78" t="s">
        <v>12</v>
      </c>
    </row>
    <row r="107" spans="1:9" ht="15.75" customHeight="1">
      <c r="A107" s="27"/>
      <c r="C107" s="12"/>
      <c r="D107" s="12"/>
      <c r="G107" s="12"/>
      <c r="H107" s="12"/>
    </row>
    <row r="108" spans="1:9" ht="15.75" customHeight="1">
      <c r="B108" s="83" t="s">
        <v>13</v>
      </c>
      <c r="C108" s="193"/>
      <c r="D108" s="193"/>
      <c r="E108" s="193"/>
      <c r="F108" s="88"/>
      <c r="I108" s="79"/>
    </row>
    <row r="109" spans="1:9" ht="15.75" customHeight="1">
      <c r="A109" s="80"/>
      <c r="C109" s="189" t="s">
        <v>11</v>
      </c>
      <c r="D109" s="189"/>
      <c r="E109" s="189"/>
      <c r="F109" s="80"/>
      <c r="I109" s="78" t="s">
        <v>12</v>
      </c>
    </row>
    <row r="110" spans="1:9" ht="15.75" customHeight="1">
      <c r="A110" s="4" t="s">
        <v>14</v>
      </c>
    </row>
    <row r="111" spans="1:9">
      <c r="A111" s="188" t="s">
        <v>15</v>
      </c>
      <c r="B111" s="188"/>
      <c r="C111" s="188"/>
      <c r="D111" s="188"/>
      <c r="E111" s="188"/>
      <c r="F111" s="188"/>
      <c r="G111" s="188"/>
      <c r="H111" s="188"/>
      <c r="I111" s="188"/>
    </row>
    <row r="112" spans="1:9" ht="45" customHeight="1">
      <c r="A112" s="184" t="s">
        <v>16</v>
      </c>
      <c r="B112" s="184"/>
      <c r="C112" s="184"/>
      <c r="D112" s="184"/>
      <c r="E112" s="184"/>
      <c r="F112" s="184"/>
      <c r="G112" s="184"/>
      <c r="H112" s="184"/>
      <c r="I112" s="184"/>
    </row>
    <row r="113" spans="1:9" ht="30" customHeight="1">
      <c r="A113" s="184" t="s">
        <v>17</v>
      </c>
      <c r="B113" s="184"/>
      <c r="C113" s="184"/>
      <c r="D113" s="184"/>
      <c r="E113" s="184"/>
      <c r="F113" s="184"/>
      <c r="G113" s="184"/>
      <c r="H113" s="184"/>
      <c r="I113" s="184"/>
    </row>
    <row r="114" spans="1:9" ht="30" customHeight="1">
      <c r="A114" s="184" t="s">
        <v>21</v>
      </c>
      <c r="B114" s="184"/>
      <c r="C114" s="184"/>
      <c r="D114" s="184"/>
      <c r="E114" s="184"/>
      <c r="F114" s="184"/>
      <c r="G114" s="184"/>
      <c r="H114" s="184"/>
      <c r="I114" s="184"/>
    </row>
    <row r="115" spans="1:9" ht="15" customHeight="1">
      <c r="A115" s="184" t="s">
        <v>20</v>
      </c>
      <c r="B115" s="184"/>
      <c r="C115" s="184"/>
      <c r="D115" s="184"/>
      <c r="E115" s="184"/>
      <c r="F115" s="184"/>
      <c r="G115" s="184"/>
      <c r="H115" s="184"/>
      <c r="I115" s="184"/>
    </row>
  </sheetData>
  <autoFilter ref="I12:I83"/>
  <mergeCells count="28">
    <mergeCell ref="A112:I112"/>
    <mergeCell ref="A113:I113"/>
    <mergeCell ref="A114:I114"/>
    <mergeCell ref="A115:I115"/>
    <mergeCell ref="A103:I103"/>
    <mergeCell ref="C105:E105"/>
    <mergeCell ref="C106:E106"/>
    <mergeCell ref="C108:E108"/>
    <mergeCell ref="C109:E109"/>
    <mergeCell ref="A111:I111"/>
    <mergeCell ref="A101:I101"/>
    <mergeCell ref="A15:I15"/>
    <mergeCell ref="A28:I28"/>
    <mergeCell ref="A41:I41"/>
    <mergeCell ref="A52:I52"/>
    <mergeCell ref="A80:I80"/>
    <mergeCell ref="A84:I84"/>
    <mergeCell ref="A95:I95"/>
    <mergeCell ref="B96:G96"/>
    <mergeCell ref="B97:G97"/>
    <mergeCell ref="A99:I99"/>
    <mergeCell ref="A100:I100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4" orientation="portrait" r:id="rId1"/>
  <rowBreaks count="1" manualBreakCount="1">
    <brk id="109" max="8" man="1"/>
  </rowBreaks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9"/>
  <sheetViews>
    <sheetView tabSelected="1" topLeftCell="A74" workbookViewId="0">
      <selection activeCell="B88" sqref="B88:I8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7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155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94" t="s">
        <v>151</v>
      </c>
      <c r="B3" s="194"/>
      <c r="C3" s="194"/>
      <c r="D3" s="194"/>
      <c r="E3" s="194"/>
      <c r="F3" s="194"/>
      <c r="G3" s="194"/>
      <c r="H3" s="194"/>
      <c r="I3" s="194"/>
      <c r="J3" s="3"/>
      <c r="K3" s="3"/>
      <c r="L3" s="3"/>
    </row>
    <row r="4" spans="1:13" ht="31.5" customHeight="1">
      <c r="A4" s="195" t="s">
        <v>120</v>
      </c>
      <c r="B4" s="195"/>
      <c r="C4" s="195"/>
      <c r="D4" s="195"/>
      <c r="E4" s="195"/>
      <c r="F4" s="195"/>
      <c r="G4" s="195"/>
      <c r="H4" s="195"/>
      <c r="I4" s="195"/>
    </row>
    <row r="5" spans="1:13" ht="15.75" customHeight="1">
      <c r="A5" s="194" t="s">
        <v>252</v>
      </c>
      <c r="B5" s="198"/>
      <c r="C5" s="198"/>
      <c r="D5" s="198"/>
      <c r="E5" s="198"/>
      <c r="F5" s="198"/>
      <c r="G5" s="198"/>
      <c r="H5" s="198"/>
      <c r="I5" s="198"/>
      <c r="J5" s="2"/>
      <c r="K5" s="2"/>
      <c r="L5" s="2"/>
      <c r="M5" s="2"/>
    </row>
    <row r="6" spans="1:13" ht="15.75" customHeight="1">
      <c r="A6" s="2"/>
      <c r="B6" s="107"/>
      <c r="C6" s="107"/>
      <c r="D6" s="107"/>
      <c r="E6" s="107"/>
      <c r="F6" s="107"/>
      <c r="G6" s="107"/>
      <c r="H6" s="107"/>
      <c r="I6" s="32">
        <v>44165</v>
      </c>
      <c r="J6" s="2"/>
      <c r="K6" s="2"/>
      <c r="L6" s="2"/>
      <c r="M6" s="2"/>
    </row>
    <row r="7" spans="1:13" ht="15.75" customHeight="1">
      <c r="B7" s="110"/>
      <c r="C7" s="110"/>
      <c r="D7" s="110"/>
      <c r="E7" s="3"/>
      <c r="F7" s="3"/>
      <c r="G7" s="3"/>
      <c r="H7" s="3"/>
      <c r="J7" s="3"/>
      <c r="K7" s="3"/>
      <c r="L7" s="3"/>
      <c r="M7" s="3"/>
    </row>
    <row r="8" spans="1:13" s="64" customFormat="1" ht="78.75" customHeight="1">
      <c r="A8" s="196" t="s">
        <v>253</v>
      </c>
      <c r="B8" s="196"/>
      <c r="C8" s="196"/>
      <c r="D8" s="196"/>
      <c r="E8" s="196"/>
      <c r="F8" s="196"/>
      <c r="G8" s="196"/>
      <c r="H8" s="196"/>
      <c r="I8" s="196"/>
      <c r="J8" s="76"/>
      <c r="K8" s="76"/>
      <c r="L8" s="76"/>
      <c r="M8" s="76"/>
    </row>
    <row r="9" spans="1:13" ht="15.75">
      <c r="A9" s="4"/>
      <c r="J9" s="2"/>
      <c r="K9" s="2"/>
      <c r="L9" s="2"/>
      <c r="M9" s="2"/>
    </row>
    <row r="10" spans="1:13" ht="47.25" customHeight="1">
      <c r="A10" s="197" t="s">
        <v>150</v>
      </c>
      <c r="B10" s="197"/>
      <c r="C10" s="197"/>
      <c r="D10" s="197"/>
      <c r="E10" s="197"/>
      <c r="F10" s="197"/>
      <c r="G10" s="197"/>
      <c r="H10" s="197"/>
      <c r="I10" s="19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 ht="15.7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9" t="s">
        <v>59</v>
      </c>
      <c r="B14" s="199"/>
      <c r="C14" s="199"/>
      <c r="D14" s="199"/>
      <c r="E14" s="199"/>
      <c r="F14" s="199"/>
      <c r="G14" s="199"/>
      <c r="H14" s="199"/>
      <c r="I14" s="199"/>
      <c r="J14" s="8"/>
      <c r="K14" s="8"/>
      <c r="L14" s="8"/>
      <c r="M14" s="8"/>
    </row>
    <row r="15" spans="1:13" ht="15.75" customHeight="1">
      <c r="A15" s="200" t="s">
        <v>4</v>
      </c>
      <c r="B15" s="200"/>
      <c r="C15" s="200"/>
      <c r="D15" s="200"/>
      <c r="E15" s="200"/>
      <c r="F15" s="200"/>
      <c r="G15" s="200"/>
      <c r="H15" s="200"/>
      <c r="I15" s="200"/>
      <c r="J15" s="8"/>
      <c r="K15" s="8"/>
      <c r="L15" s="8"/>
      <c r="M15" s="8"/>
    </row>
    <row r="16" spans="1:13" ht="15.75" customHeight="1">
      <c r="A16" s="31">
        <v>1</v>
      </c>
      <c r="B16" s="34" t="s">
        <v>83</v>
      </c>
      <c r="C16" s="40" t="s">
        <v>88</v>
      </c>
      <c r="D16" s="34" t="s">
        <v>161</v>
      </c>
      <c r="E16" s="123">
        <v>47.52</v>
      </c>
      <c r="F16" s="124">
        <f>SUM(E16*156/100)</f>
        <v>74.131200000000007</v>
      </c>
      <c r="G16" s="124">
        <v>261.45</v>
      </c>
      <c r="H16" s="95">
        <f t="shared" ref="H16:H18" si="0">SUM(F16*G16/1000)</f>
        <v>19.381602239999999</v>
      </c>
      <c r="I16" s="13">
        <f>F16/12*G16</f>
        <v>1615.1335200000001</v>
      </c>
      <c r="J16" s="8"/>
      <c r="K16" s="8"/>
      <c r="L16" s="8"/>
      <c r="M16" s="8"/>
    </row>
    <row r="17" spans="1:13" ht="15.75" customHeight="1">
      <c r="A17" s="31">
        <v>2</v>
      </c>
      <c r="B17" s="34" t="s">
        <v>97</v>
      </c>
      <c r="C17" s="40" t="s">
        <v>88</v>
      </c>
      <c r="D17" s="34" t="s">
        <v>162</v>
      </c>
      <c r="E17" s="123">
        <v>190.08</v>
      </c>
      <c r="F17" s="124">
        <f>SUM(E17*104/100)</f>
        <v>197.6832</v>
      </c>
      <c r="G17" s="124">
        <v>261.45</v>
      </c>
      <c r="H17" s="95">
        <f t="shared" si="0"/>
        <v>51.684272639999996</v>
      </c>
      <c r="I17" s="13">
        <f>F17/12*G17</f>
        <v>4307.0227199999999</v>
      </c>
      <c r="J17" s="8"/>
      <c r="K17" s="8"/>
      <c r="L17" s="8"/>
      <c r="M17" s="8"/>
    </row>
    <row r="18" spans="1:13" ht="15.75" customHeight="1">
      <c r="A18" s="31">
        <v>3</v>
      </c>
      <c r="B18" s="34" t="s">
        <v>98</v>
      </c>
      <c r="C18" s="40" t="s">
        <v>88</v>
      </c>
      <c r="D18" s="34" t="s">
        <v>165</v>
      </c>
      <c r="E18" s="123">
        <f>SUM(E16+E17)</f>
        <v>237.60000000000002</v>
      </c>
      <c r="F18" s="124">
        <f>SUM(E18*18/100)</f>
        <v>42.768000000000001</v>
      </c>
      <c r="G18" s="124">
        <v>752.16</v>
      </c>
      <c r="H18" s="95">
        <f t="shared" si="0"/>
        <v>32.168378879999999</v>
      </c>
      <c r="I18" s="13">
        <f>F18/18*1*G18</f>
        <v>1787.1321599999999</v>
      </c>
      <c r="J18" s="8"/>
      <c r="K18" s="8"/>
      <c r="L18" s="8"/>
      <c r="M18" s="8"/>
    </row>
    <row r="19" spans="1:13" ht="15.75" hidden="1" customHeight="1">
      <c r="A19" s="31">
        <v>4</v>
      </c>
      <c r="B19" s="34" t="s">
        <v>121</v>
      </c>
      <c r="C19" s="40" t="s">
        <v>122</v>
      </c>
      <c r="D19" s="34" t="s">
        <v>210</v>
      </c>
      <c r="E19" s="123">
        <v>18.48</v>
      </c>
      <c r="F19" s="124">
        <f>SUM(E19/10)</f>
        <v>1.8480000000000001</v>
      </c>
      <c r="G19" s="124">
        <v>253.7</v>
      </c>
      <c r="H19" s="95">
        <f t="shared" ref="H19:H27" si="1">SUM(F19*G19/1000)</f>
        <v>0.46883760000000002</v>
      </c>
      <c r="I19" s="13">
        <f>G19*F19</f>
        <v>468.83760000000001</v>
      </c>
      <c r="J19" s="8"/>
      <c r="K19" s="8"/>
      <c r="L19" s="8"/>
      <c r="M19" s="8"/>
    </row>
    <row r="20" spans="1:13" ht="15.75" customHeight="1">
      <c r="A20" s="31">
        <v>4</v>
      </c>
      <c r="B20" s="34" t="s">
        <v>87</v>
      </c>
      <c r="C20" s="40" t="s">
        <v>88</v>
      </c>
      <c r="D20" s="34" t="s">
        <v>164</v>
      </c>
      <c r="E20" s="123">
        <v>10.5</v>
      </c>
      <c r="F20" s="124">
        <f>SUM(E20*12/100)</f>
        <v>1.26</v>
      </c>
      <c r="G20" s="124">
        <v>324.83999999999997</v>
      </c>
      <c r="H20" s="95">
        <f t="shared" si="1"/>
        <v>0.40929839999999995</v>
      </c>
      <c r="I20" s="13">
        <f>F20/12*G20</f>
        <v>34.108199999999997</v>
      </c>
      <c r="J20" s="8"/>
      <c r="K20" s="8"/>
      <c r="L20" s="8"/>
      <c r="M20" s="8"/>
    </row>
    <row r="21" spans="1:13" ht="15.75" customHeight="1">
      <c r="A21" s="31">
        <v>5</v>
      </c>
      <c r="B21" s="34" t="s">
        <v>95</v>
      </c>
      <c r="C21" s="40" t="s">
        <v>88</v>
      </c>
      <c r="D21" s="34" t="s">
        <v>164</v>
      </c>
      <c r="E21" s="123">
        <v>2.7</v>
      </c>
      <c r="F21" s="124">
        <f>SUM(E21*12/100)</f>
        <v>0.32400000000000007</v>
      </c>
      <c r="G21" s="124">
        <v>322.20999999999998</v>
      </c>
      <c r="H21" s="95">
        <f t="shared" si="1"/>
        <v>0.10439604000000001</v>
      </c>
      <c r="I21" s="13">
        <f>F21/12*G21</f>
        <v>8.6996700000000011</v>
      </c>
      <c r="J21" s="8"/>
      <c r="K21" s="8"/>
      <c r="L21" s="8"/>
      <c r="M21" s="8"/>
    </row>
    <row r="22" spans="1:13" ht="15.75" hidden="1" customHeight="1">
      <c r="A22" s="31">
        <v>7</v>
      </c>
      <c r="B22" s="34" t="s">
        <v>89</v>
      </c>
      <c r="C22" s="40" t="s">
        <v>53</v>
      </c>
      <c r="D22" s="34" t="s">
        <v>210</v>
      </c>
      <c r="E22" s="123">
        <v>267.75</v>
      </c>
      <c r="F22" s="124">
        <f>SUM(E22/100)</f>
        <v>2.6775000000000002</v>
      </c>
      <c r="G22" s="124">
        <v>401.44</v>
      </c>
      <c r="H22" s="95">
        <f t="shared" si="1"/>
        <v>1.0748556</v>
      </c>
      <c r="I22" s="13">
        <f>G22*F22</f>
        <v>1074.8556000000001</v>
      </c>
      <c r="J22" s="8"/>
      <c r="K22" s="8"/>
      <c r="L22" s="8"/>
      <c r="M22" s="8"/>
    </row>
    <row r="23" spans="1:13" ht="15.75" hidden="1" customHeight="1">
      <c r="A23" s="31">
        <v>8</v>
      </c>
      <c r="B23" s="34" t="s">
        <v>90</v>
      </c>
      <c r="C23" s="40" t="s">
        <v>53</v>
      </c>
      <c r="D23" s="34" t="s">
        <v>211</v>
      </c>
      <c r="E23" s="154">
        <v>36</v>
      </c>
      <c r="F23" s="124">
        <f>SUM(E23/100)</f>
        <v>0.36</v>
      </c>
      <c r="G23" s="124">
        <v>66.03</v>
      </c>
      <c r="H23" s="95">
        <f t="shared" si="1"/>
        <v>2.3770800000000002E-2</v>
      </c>
      <c r="I23" s="13">
        <f>G23*F23</f>
        <v>23.770800000000001</v>
      </c>
      <c r="J23" s="8"/>
      <c r="K23" s="8"/>
      <c r="L23" s="8"/>
      <c r="M23" s="8"/>
    </row>
    <row r="24" spans="1:13" ht="15.75" hidden="1" customHeight="1">
      <c r="A24" s="31">
        <v>9</v>
      </c>
      <c r="B24" s="34" t="s">
        <v>91</v>
      </c>
      <c r="C24" s="40" t="s">
        <v>53</v>
      </c>
      <c r="D24" s="34" t="s">
        <v>211</v>
      </c>
      <c r="E24" s="123">
        <v>15</v>
      </c>
      <c r="F24" s="124">
        <f>E24/100</f>
        <v>0.15</v>
      </c>
      <c r="G24" s="124">
        <v>581.02</v>
      </c>
      <c r="H24" s="95">
        <f t="shared" si="1"/>
        <v>8.7152999999999994E-2</v>
      </c>
      <c r="I24" s="13">
        <f>G24*F24</f>
        <v>87.152999999999992</v>
      </c>
      <c r="J24" s="8"/>
      <c r="K24" s="8"/>
      <c r="L24" s="8"/>
      <c r="M24" s="8"/>
    </row>
    <row r="25" spans="1:13" ht="15.75" hidden="1" customHeight="1">
      <c r="A25" s="31">
        <v>10</v>
      </c>
      <c r="B25" s="34" t="s">
        <v>96</v>
      </c>
      <c r="C25" s="40" t="s">
        <v>88</v>
      </c>
      <c r="D25" s="34" t="s">
        <v>164</v>
      </c>
      <c r="E25" s="123">
        <v>14.25</v>
      </c>
      <c r="F25" s="124">
        <v>0.1</v>
      </c>
      <c r="G25" s="124">
        <v>322.20999999999998</v>
      </c>
      <c r="H25" s="95">
        <v>3.1E-2</v>
      </c>
      <c r="I25" s="13">
        <f>G25*F25</f>
        <v>32.220999999999997</v>
      </c>
      <c r="J25" s="8"/>
      <c r="K25" s="8"/>
      <c r="L25" s="8"/>
      <c r="M25" s="8"/>
    </row>
    <row r="26" spans="1:13" ht="15.75" hidden="1" customHeight="1">
      <c r="A26" s="31">
        <v>11</v>
      </c>
      <c r="B26" s="34" t="s">
        <v>92</v>
      </c>
      <c r="C26" s="40" t="s">
        <v>53</v>
      </c>
      <c r="D26" s="34" t="s">
        <v>211</v>
      </c>
      <c r="E26" s="123">
        <v>6.38</v>
      </c>
      <c r="F26" s="124">
        <f>SUM(E26/100)</f>
        <v>6.3799999999999996E-2</v>
      </c>
      <c r="G26" s="124">
        <v>776.46</v>
      </c>
      <c r="H26" s="95">
        <f t="shared" si="1"/>
        <v>4.9538147999999997E-2</v>
      </c>
      <c r="I26" s="13">
        <f>G26*F26</f>
        <v>49.538148</v>
      </c>
      <c r="J26" s="8"/>
      <c r="K26" s="8"/>
      <c r="L26" s="8"/>
      <c r="M26" s="8"/>
    </row>
    <row r="27" spans="1:13" ht="15.75" customHeight="1">
      <c r="A27" s="31">
        <v>6</v>
      </c>
      <c r="B27" s="34" t="s">
        <v>160</v>
      </c>
      <c r="C27" s="40" t="s">
        <v>25</v>
      </c>
      <c r="D27" s="34" t="s">
        <v>166</v>
      </c>
      <c r="E27" s="133">
        <v>4.83</v>
      </c>
      <c r="F27" s="124">
        <f>SUM(E27*258)</f>
        <v>1246.1400000000001</v>
      </c>
      <c r="G27" s="124">
        <v>10.81</v>
      </c>
      <c r="H27" s="95">
        <f t="shared" si="1"/>
        <v>13.470773400000002</v>
      </c>
      <c r="I27" s="13">
        <f>F27/12*G27</f>
        <v>1122.5644500000003</v>
      </c>
      <c r="J27" s="8"/>
      <c r="K27" s="8"/>
      <c r="L27" s="8"/>
      <c r="M27" s="8"/>
    </row>
    <row r="28" spans="1:13" ht="15.75" hidden="1" customHeight="1">
      <c r="A28" s="31">
        <v>7</v>
      </c>
      <c r="B28" s="97" t="s">
        <v>23</v>
      </c>
      <c r="C28" s="92" t="s">
        <v>24</v>
      </c>
      <c r="D28" s="34"/>
      <c r="E28" s="93">
        <v>2581.1999999999998</v>
      </c>
      <c r="F28" s="94">
        <f>SUM(E28*12)</f>
        <v>30974.399999999998</v>
      </c>
      <c r="G28" s="94">
        <v>4.8099999999999996</v>
      </c>
      <c r="H28" s="95">
        <f t="shared" ref="H28" si="2">SUM(F28*G28/1000)</f>
        <v>148.98686399999997</v>
      </c>
      <c r="I28" s="13">
        <f>F28/12*G28</f>
        <v>12415.571999999998</v>
      </c>
      <c r="J28" s="24"/>
      <c r="K28" s="8"/>
      <c r="L28" s="8"/>
      <c r="M28" s="8"/>
    </row>
    <row r="29" spans="1:13" ht="15.75" customHeight="1">
      <c r="A29" s="200" t="s">
        <v>82</v>
      </c>
      <c r="B29" s="200"/>
      <c r="C29" s="200"/>
      <c r="D29" s="200"/>
      <c r="E29" s="200"/>
      <c r="F29" s="200"/>
      <c r="G29" s="200"/>
      <c r="H29" s="200"/>
      <c r="I29" s="200"/>
      <c r="J29" s="24"/>
      <c r="K29" s="8"/>
      <c r="L29" s="8"/>
      <c r="M29" s="8"/>
    </row>
    <row r="30" spans="1:13" ht="15.75" hidden="1" customHeight="1">
      <c r="A30" s="41"/>
      <c r="B30" s="51" t="s">
        <v>28</v>
      </c>
      <c r="C30" s="51"/>
      <c r="D30" s="51"/>
      <c r="E30" s="51"/>
      <c r="F30" s="51"/>
      <c r="G30" s="51"/>
      <c r="H30" s="51"/>
      <c r="I30" s="19"/>
      <c r="J30" s="24"/>
      <c r="K30" s="8"/>
      <c r="L30" s="8"/>
      <c r="M30" s="8"/>
    </row>
    <row r="31" spans="1:13" ht="15.75" hidden="1" customHeight="1">
      <c r="A31" s="41">
        <v>8</v>
      </c>
      <c r="B31" s="91" t="s">
        <v>99</v>
      </c>
      <c r="C31" s="92" t="s">
        <v>100</v>
      </c>
      <c r="D31" s="91" t="s">
        <v>101</v>
      </c>
      <c r="E31" s="94">
        <v>1167.4000000000001</v>
      </c>
      <c r="F31" s="94">
        <f>SUM(E31*52/1000)</f>
        <v>60.704800000000006</v>
      </c>
      <c r="G31" s="94">
        <v>155.88999999999999</v>
      </c>
      <c r="H31" s="95">
        <f t="shared" ref="H31:H33" si="3">SUM(F31*G31/1000)</f>
        <v>9.4632712720000001</v>
      </c>
      <c r="I31" s="13">
        <f>F31/6*G31</f>
        <v>1577.2118786666665</v>
      </c>
      <c r="J31" s="24"/>
      <c r="K31" s="8"/>
      <c r="L31" s="8"/>
      <c r="M31" s="8"/>
    </row>
    <row r="32" spans="1:13" ht="31.5" hidden="1" customHeight="1">
      <c r="A32" s="41">
        <v>9</v>
      </c>
      <c r="B32" s="91" t="s">
        <v>134</v>
      </c>
      <c r="C32" s="92" t="s">
        <v>100</v>
      </c>
      <c r="D32" s="91" t="s">
        <v>102</v>
      </c>
      <c r="E32" s="94">
        <v>540.04999999999995</v>
      </c>
      <c r="F32" s="94">
        <f>SUM(E32*78/1000)</f>
        <v>42.123899999999992</v>
      </c>
      <c r="G32" s="94">
        <v>258.63</v>
      </c>
      <c r="H32" s="95">
        <f t="shared" si="3"/>
        <v>10.894504256999998</v>
      </c>
      <c r="I32" s="13">
        <f t="shared" ref="I32:I34" si="4">F32/6*G32</f>
        <v>1815.7507094999996</v>
      </c>
      <c r="J32" s="24"/>
      <c r="K32" s="8"/>
      <c r="L32" s="8"/>
      <c r="M32" s="8"/>
    </row>
    <row r="33" spans="1:13" ht="15.75" hidden="1" customHeight="1">
      <c r="A33" s="41">
        <v>16</v>
      </c>
      <c r="B33" s="91" t="s">
        <v>27</v>
      </c>
      <c r="C33" s="92" t="s">
        <v>100</v>
      </c>
      <c r="D33" s="91" t="s">
        <v>54</v>
      </c>
      <c r="E33" s="94">
        <v>1167.4000000000001</v>
      </c>
      <c r="F33" s="94">
        <f>SUM(E33/1000)</f>
        <v>1.1674</v>
      </c>
      <c r="G33" s="94">
        <v>3020.33</v>
      </c>
      <c r="H33" s="95">
        <f t="shared" si="3"/>
        <v>3.5259332420000002</v>
      </c>
      <c r="I33" s="13">
        <f>F33*G33</f>
        <v>3525.9332420000001</v>
      </c>
      <c r="J33" s="24"/>
      <c r="K33" s="8"/>
      <c r="L33" s="8"/>
      <c r="M33" s="8"/>
    </row>
    <row r="34" spans="1:13" ht="15.75" hidden="1" customHeight="1">
      <c r="A34" s="41">
        <v>10</v>
      </c>
      <c r="B34" s="91" t="s">
        <v>103</v>
      </c>
      <c r="C34" s="92" t="s">
        <v>30</v>
      </c>
      <c r="D34" s="91" t="s">
        <v>63</v>
      </c>
      <c r="E34" s="98">
        <v>0.33333333333333331</v>
      </c>
      <c r="F34" s="94">
        <f>155/3</f>
        <v>51.666666666666664</v>
      </c>
      <c r="G34" s="94">
        <v>56.69</v>
      </c>
      <c r="H34" s="95">
        <f>SUM(G34*155/3/1000)</f>
        <v>2.9289833333333331</v>
      </c>
      <c r="I34" s="13">
        <f t="shared" si="4"/>
        <v>488.16388888888883</v>
      </c>
      <c r="J34" s="24"/>
      <c r="K34" s="8"/>
      <c r="L34" s="8"/>
      <c r="M34" s="8"/>
    </row>
    <row r="35" spans="1:13" ht="15.75" hidden="1" customHeight="1">
      <c r="A35" s="41">
        <v>4</v>
      </c>
      <c r="B35" s="91" t="s">
        <v>64</v>
      </c>
      <c r="C35" s="92" t="s">
        <v>32</v>
      </c>
      <c r="D35" s="91" t="s">
        <v>65</v>
      </c>
      <c r="E35" s="93"/>
      <c r="F35" s="94">
        <v>3</v>
      </c>
      <c r="G35" s="94">
        <v>191.32</v>
      </c>
      <c r="H35" s="95">
        <f t="shared" ref="H35" si="5">SUM(F35*G35/1000)</f>
        <v>0.57396000000000003</v>
      </c>
      <c r="I35" s="13">
        <v>0</v>
      </c>
      <c r="J35" s="24"/>
      <c r="K35" s="8"/>
      <c r="L35" s="8"/>
      <c r="M35" s="8"/>
    </row>
    <row r="36" spans="1:13" ht="15.75" customHeight="1">
      <c r="A36" s="41"/>
      <c r="B36" s="49" t="s">
        <v>5</v>
      </c>
      <c r="C36" s="49"/>
      <c r="D36" s="49"/>
      <c r="E36" s="13"/>
      <c r="F36" s="13"/>
      <c r="G36" s="14"/>
      <c r="H36" s="14"/>
      <c r="I36" s="19"/>
      <c r="J36" s="24"/>
      <c r="K36" s="8"/>
      <c r="L36" s="8"/>
      <c r="M36" s="8"/>
    </row>
    <row r="37" spans="1:13" ht="15.75" hidden="1" customHeight="1">
      <c r="A37" s="41">
        <v>7</v>
      </c>
      <c r="B37" s="155" t="s">
        <v>26</v>
      </c>
      <c r="C37" s="40" t="s">
        <v>31</v>
      </c>
      <c r="D37" s="34"/>
      <c r="E37" s="123"/>
      <c r="F37" s="124">
        <v>6</v>
      </c>
      <c r="G37" s="124">
        <v>1930</v>
      </c>
      <c r="H37" s="95">
        <f t="shared" ref="H37:H42" si="6">SUM(F37*G37/1000)</f>
        <v>11.58</v>
      </c>
      <c r="I37" s="13">
        <f>G37*0.7</f>
        <v>1351</v>
      </c>
      <c r="J37" s="24"/>
      <c r="K37" s="8"/>
      <c r="L37" s="8"/>
      <c r="M37" s="8"/>
    </row>
    <row r="38" spans="1:13" ht="15.75" customHeight="1">
      <c r="A38" s="35">
        <v>7</v>
      </c>
      <c r="B38" s="155" t="s">
        <v>66</v>
      </c>
      <c r="C38" s="156" t="s">
        <v>29</v>
      </c>
      <c r="D38" s="155" t="s">
        <v>167</v>
      </c>
      <c r="E38" s="157">
        <v>26.33</v>
      </c>
      <c r="F38" s="157">
        <f>SUM(E38*30/1000)</f>
        <v>0.78989999999999994</v>
      </c>
      <c r="G38" s="157">
        <v>3134.93</v>
      </c>
      <c r="H38" s="95">
        <f t="shared" si="6"/>
        <v>2.4762812069999995</v>
      </c>
      <c r="I38" s="13">
        <f t="shared" ref="I38:I40" si="7">F38/6*G38</f>
        <v>412.71353449999992</v>
      </c>
      <c r="J38" s="24"/>
      <c r="K38" s="8"/>
      <c r="L38" s="8"/>
      <c r="M38" s="8"/>
    </row>
    <row r="39" spans="1:13" ht="15.75" customHeight="1">
      <c r="A39" s="35">
        <v>8</v>
      </c>
      <c r="B39" s="34" t="s">
        <v>188</v>
      </c>
      <c r="C39" s="40" t="s">
        <v>29</v>
      </c>
      <c r="D39" s="34" t="s">
        <v>168</v>
      </c>
      <c r="E39" s="124">
        <v>26.33</v>
      </c>
      <c r="F39" s="157">
        <f>SUM(E39*155/1000)</f>
        <v>4.0811500000000001</v>
      </c>
      <c r="G39" s="124">
        <v>522.92999999999995</v>
      </c>
      <c r="H39" s="95">
        <f t="shared" si="6"/>
        <v>2.1341557694999995</v>
      </c>
      <c r="I39" s="13">
        <f t="shared" si="7"/>
        <v>355.69262824999993</v>
      </c>
      <c r="J39" s="24"/>
      <c r="K39" s="8"/>
      <c r="L39" s="8"/>
      <c r="M39" s="8"/>
    </row>
    <row r="40" spans="1:13" ht="15.75" hidden="1" customHeight="1">
      <c r="A40" s="35">
        <v>10</v>
      </c>
      <c r="B40" s="34" t="s">
        <v>189</v>
      </c>
      <c r="C40" s="40" t="s">
        <v>190</v>
      </c>
      <c r="D40" s="34"/>
      <c r="E40" s="124"/>
      <c r="F40" s="157">
        <v>39</v>
      </c>
      <c r="G40" s="124">
        <v>330</v>
      </c>
      <c r="H40" s="95">
        <f t="shared" si="6"/>
        <v>12.87</v>
      </c>
      <c r="I40" s="13">
        <f t="shared" si="7"/>
        <v>2145</v>
      </c>
      <c r="J40" s="24"/>
      <c r="K40" s="8"/>
      <c r="L40" s="8"/>
      <c r="M40" s="8"/>
    </row>
    <row r="41" spans="1:13" ht="33.75" customHeight="1">
      <c r="A41" s="35">
        <v>9</v>
      </c>
      <c r="B41" s="34" t="s">
        <v>191</v>
      </c>
      <c r="C41" s="40" t="s">
        <v>100</v>
      </c>
      <c r="D41" s="34" t="s">
        <v>198</v>
      </c>
      <c r="E41" s="124">
        <v>26.33</v>
      </c>
      <c r="F41" s="157">
        <f>SUM(E41*35/1000)</f>
        <v>0.92154999999999998</v>
      </c>
      <c r="G41" s="124">
        <v>8652.07</v>
      </c>
      <c r="H41" s="95">
        <f t="shared" si="6"/>
        <v>7.9733151084999996</v>
      </c>
      <c r="I41" s="13">
        <f>G41*F41/6</f>
        <v>1328.8858514166666</v>
      </c>
      <c r="J41" s="24"/>
      <c r="K41" s="8"/>
      <c r="L41" s="8"/>
      <c r="M41" s="8"/>
    </row>
    <row r="42" spans="1:13" ht="15.75" customHeight="1">
      <c r="A42" s="35">
        <v>10</v>
      </c>
      <c r="B42" s="34" t="s">
        <v>105</v>
      </c>
      <c r="C42" s="40" t="s">
        <v>100</v>
      </c>
      <c r="D42" s="34" t="s">
        <v>165</v>
      </c>
      <c r="E42" s="124">
        <v>90.4</v>
      </c>
      <c r="F42" s="157">
        <f>SUM(E42*15/1000)</f>
        <v>1.3560000000000001</v>
      </c>
      <c r="G42" s="124">
        <v>639.1</v>
      </c>
      <c r="H42" s="95">
        <f t="shared" si="6"/>
        <v>0.86661960000000016</v>
      </c>
      <c r="I42" s="13">
        <f>G42*F42/15*1</f>
        <v>57.774640000000005</v>
      </c>
      <c r="J42" s="24"/>
      <c r="K42" s="8"/>
      <c r="L42" s="8"/>
      <c r="M42" s="8"/>
    </row>
    <row r="43" spans="1:13" ht="15.75" customHeight="1">
      <c r="A43" s="153">
        <v>11</v>
      </c>
      <c r="B43" s="155" t="s">
        <v>70</v>
      </c>
      <c r="C43" s="156" t="s">
        <v>32</v>
      </c>
      <c r="D43" s="155"/>
      <c r="E43" s="133"/>
      <c r="F43" s="157">
        <v>0.6</v>
      </c>
      <c r="G43" s="157">
        <v>900</v>
      </c>
      <c r="H43" s="84"/>
      <c r="I43" s="181">
        <f>G43*F43/15*1</f>
        <v>36</v>
      </c>
      <c r="J43" s="24"/>
      <c r="K43" s="8"/>
      <c r="L43" s="8"/>
      <c r="M43" s="8"/>
    </row>
    <row r="44" spans="1:13" ht="33" customHeight="1">
      <c r="A44" s="153">
        <v>12</v>
      </c>
      <c r="B44" s="34" t="s">
        <v>193</v>
      </c>
      <c r="C44" s="40" t="s">
        <v>29</v>
      </c>
      <c r="D44" s="34" t="s">
        <v>254</v>
      </c>
      <c r="E44" s="123">
        <v>1.2</v>
      </c>
      <c r="F44" s="124">
        <f>E44*12/1000</f>
        <v>1.4399999999999998E-2</v>
      </c>
      <c r="G44" s="124">
        <v>20547.34</v>
      </c>
      <c r="H44" s="84"/>
      <c r="I44" s="181">
        <f>G44*F44/6</f>
        <v>49.313615999999996</v>
      </c>
      <c r="J44" s="24"/>
      <c r="K44" s="8"/>
      <c r="L44" s="8"/>
      <c r="M44" s="8"/>
    </row>
    <row r="45" spans="1:13" ht="15.75" customHeight="1">
      <c r="A45" s="153"/>
      <c r="B45" s="21"/>
      <c r="C45" s="180"/>
      <c r="D45" s="21"/>
      <c r="E45" s="85"/>
      <c r="F45" s="84"/>
      <c r="G45" s="84"/>
      <c r="H45" s="84"/>
      <c r="I45" s="181"/>
      <c r="J45" s="24"/>
      <c r="K45" s="8"/>
      <c r="L45" s="8"/>
      <c r="M45" s="8"/>
    </row>
    <row r="46" spans="1:13" ht="15.75" hidden="1" customHeight="1">
      <c r="A46" s="201" t="s">
        <v>131</v>
      </c>
      <c r="B46" s="202"/>
      <c r="C46" s="202"/>
      <c r="D46" s="202"/>
      <c r="E46" s="202"/>
      <c r="F46" s="202"/>
      <c r="G46" s="202"/>
      <c r="H46" s="202"/>
      <c r="I46" s="203"/>
      <c r="J46" s="24"/>
      <c r="K46" s="8"/>
      <c r="L46" s="8"/>
      <c r="M46" s="8"/>
    </row>
    <row r="47" spans="1:13" ht="15.75" hidden="1" customHeight="1">
      <c r="A47" s="41">
        <v>11</v>
      </c>
      <c r="B47" s="91" t="s">
        <v>106</v>
      </c>
      <c r="C47" s="92" t="s">
        <v>100</v>
      </c>
      <c r="D47" s="91" t="s">
        <v>42</v>
      </c>
      <c r="E47" s="93">
        <v>965.8</v>
      </c>
      <c r="F47" s="94">
        <f>SUM(E47*2/1000)</f>
        <v>1.9316</v>
      </c>
      <c r="G47" s="13">
        <v>849.49</v>
      </c>
      <c r="H47" s="95">
        <f t="shared" ref="H47:H56" si="8">SUM(F47*G47/1000)</f>
        <v>1.640874884</v>
      </c>
      <c r="I47" s="13">
        <f t="shared" ref="I47:I50" si="9">F47/2*G47</f>
        <v>820.43744200000003</v>
      </c>
      <c r="J47" s="24"/>
      <c r="K47" s="8"/>
    </row>
    <row r="48" spans="1:13" ht="15.75" hidden="1" customHeight="1">
      <c r="A48" s="41">
        <v>12</v>
      </c>
      <c r="B48" s="91" t="s">
        <v>35</v>
      </c>
      <c r="C48" s="92" t="s">
        <v>100</v>
      </c>
      <c r="D48" s="91" t="s">
        <v>42</v>
      </c>
      <c r="E48" s="93">
        <v>36</v>
      </c>
      <c r="F48" s="94">
        <f>SUM(E48*2/1000)</f>
        <v>7.1999999999999995E-2</v>
      </c>
      <c r="G48" s="13">
        <v>579.48</v>
      </c>
      <c r="H48" s="95">
        <f t="shared" si="8"/>
        <v>4.1722559999999999E-2</v>
      </c>
      <c r="I48" s="13">
        <f t="shared" si="9"/>
        <v>20.861280000000001</v>
      </c>
      <c r="J48" s="25"/>
    </row>
    <row r="49" spans="1:14" ht="15.75" hidden="1" customHeight="1">
      <c r="A49" s="41">
        <v>13</v>
      </c>
      <c r="B49" s="91" t="s">
        <v>36</v>
      </c>
      <c r="C49" s="92" t="s">
        <v>100</v>
      </c>
      <c r="D49" s="91" t="s">
        <v>42</v>
      </c>
      <c r="E49" s="93">
        <v>1197.7</v>
      </c>
      <c r="F49" s="94">
        <f>SUM(E49*2/1000)</f>
        <v>2.3954</v>
      </c>
      <c r="G49" s="13">
        <v>579.48</v>
      </c>
      <c r="H49" s="95">
        <f t="shared" si="8"/>
        <v>1.3880863919999999</v>
      </c>
      <c r="I49" s="13">
        <f t="shared" si="9"/>
        <v>694.04319599999997</v>
      </c>
      <c r="J49" s="25"/>
    </row>
    <row r="50" spans="1:14" ht="15.75" hidden="1" customHeight="1">
      <c r="A50" s="41">
        <v>14</v>
      </c>
      <c r="B50" s="91" t="s">
        <v>37</v>
      </c>
      <c r="C50" s="92" t="s">
        <v>100</v>
      </c>
      <c r="D50" s="91" t="s">
        <v>42</v>
      </c>
      <c r="E50" s="93">
        <v>2275.92</v>
      </c>
      <c r="F50" s="94">
        <f>SUM(E50*2/1000)</f>
        <v>4.5518400000000003</v>
      </c>
      <c r="G50" s="13">
        <v>606.77</v>
      </c>
      <c r="H50" s="95">
        <f t="shared" si="8"/>
        <v>2.7619199567999999</v>
      </c>
      <c r="I50" s="13">
        <f t="shared" si="9"/>
        <v>1380.9599784</v>
      </c>
      <c r="J50" s="25"/>
    </row>
    <row r="51" spans="1:14" ht="15.75" hidden="1" customHeight="1">
      <c r="A51" s="41">
        <v>15</v>
      </c>
      <c r="B51" s="91" t="s">
        <v>33</v>
      </c>
      <c r="C51" s="92" t="s">
        <v>34</v>
      </c>
      <c r="D51" s="91" t="s">
        <v>42</v>
      </c>
      <c r="E51" s="93">
        <v>81.709999999999994</v>
      </c>
      <c r="F51" s="94">
        <f>SUM(E51*2/100)</f>
        <v>1.6341999999999999</v>
      </c>
      <c r="G51" s="13">
        <v>68.56</v>
      </c>
      <c r="H51" s="95">
        <f t="shared" si="8"/>
        <v>0.11204075199999999</v>
      </c>
      <c r="I51" s="13">
        <f>F51/2*G51</f>
        <v>56.020375999999999</v>
      </c>
      <c r="J51" s="25"/>
    </row>
    <row r="52" spans="1:14" ht="15.75" hidden="1" customHeight="1">
      <c r="A52" s="41">
        <v>16</v>
      </c>
      <c r="B52" s="91" t="s">
        <v>56</v>
      </c>
      <c r="C52" s="92" t="s">
        <v>100</v>
      </c>
      <c r="D52" s="91" t="s">
        <v>135</v>
      </c>
      <c r="E52" s="93">
        <v>1711.8</v>
      </c>
      <c r="F52" s="94">
        <f>SUM(E52*5/1000)</f>
        <v>8.5589999999999993</v>
      </c>
      <c r="G52" s="13">
        <v>1213.55</v>
      </c>
      <c r="H52" s="95">
        <f t="shared" si="8"/>
        <v>10.386774449999999</v>
      </c>
      <c r="I52" s="13">
        <f>F52/5*G52</f>
        <v>2077.3548899999996</v>
      </c>
      <c r="J52" s="25"/>
    </row>
    <row r="53" spans="1:14" ht="31.5" hidden="1" customHeight="1">
      <c r="A53" s="41">
        <v>17</v>
      </c>
      <c r="B53" s="91" t="s">
        <v>107</v>
      </c>
      <c r="C53" s="92" t="s">
        <v>100</v>
      </c>
      <c r="D53" s="91" t="s">
        <v>42</v>
      </c>
      <c r="E53" s="93">
        <v>1711.8</v>
      </c>
      <c r="F53" s="94">
        <f>SUM(E53*2/1000)</f>
        <v>3.4236</v>
      </c>
      <c r="G53" s="13">
        <v>1213.55</v>
      </c>
      <c r="H53" s="95">
        <f t="shared" si="8"/>
        <v>4.1547097800000001</v>
      </c>
      <c r="I53" s="13">
        <f>F53/2*G53</f>
        <v>2077.3548900000001</v>
      </c>
      <c r="J53" s="25"/>
    </row>
    <row r="54" spans="1:14" ht="31.5" hidden="1" customHeight="1">
      <c r="A54" s="41">
        <v>18</v>
      </c>
      <c r="B54" s="91" t="s">
        <v>108</v>
      </c>
      <c r="C54" s="92" t="s">
        <v>38</v>
      </c>
      <c r="D54" s="91" t="s">
        <v>42</v>
      </c>
      <c r="E54" s="93">
        <v>15</v>
      </c>
      <c r="F54" s="94">
        <f>SUM(E54*2/100)</f>
        <v>0.3</v>
      </c>
      <c r="G54" s="13">
        <v>2730.49</v>
      </c>
      <c r="H54" s="95">
        <f t="shared" si="8"/>
        <v>0.81914699999999996</v>
      </c>
      <c r="I54" s="13">
        <f t="shared" ref="I54:I55" si="10">F54/2*G54</f>
        <v>409.57349999999997</v>
      </c>
      <c r="J54" s="25"/>
    </row>
    <row r="55" spans="1:14" ht="15.75" hidden="1" customHeight="1">
      <c r="A55" s="41">
        <v>19</v>
      </c>
      <c r="B55" s="91" t="s">
        <v>39</v>
      </c>
      <c r="C55" s="92" t="s">
        <v>40</v>
      </c>
      <c r="D55" s="91" t="s">
        <v>42</v>
      </c>
      <c r="E55" s="93">
        <v>1</v>
      </c>
      <c r="F55" s="94">
        <v>0.02</v>
      </c>
      <c r="G55" s="13">
        <v>5322.15</v>
      </c>
      <c r="H55" s="95">
        <f t="shared" si="8"/>
        <v>0.106443</v>
      </c>
      <c r="I55" s="13">
        <f t="shared" si="10"/>
        <v>53.221499999999999</v>
      </c>
      <c r="J55" s="25"/>
      <c r="L55" s="21"/>
      <c r="M55" s="22"/>
      <c r="N55" s="23"/>
    </row>
    <row r="56" spans="1:14" ht="15.75" hidden="1" customHeight="1">
      <c r="A56" s="41">
        <v>11</v>
      </c>
      <c r="B56" s="91" t="s">
        <v>41</v>
      </c>
      <c r="C56" s="92" t="s">
        <v>85</v>
      </c>
      <c r="D56" s="91" t="s">
        <v>71</v>
      </c>
      <c r="E56" s="93">
        <v>90</v>
      </c>
      <c r="F56" s="94">
        <f>SUM(E56)*3</f>
        <v>270</v>
      </c>
      <c r="G56" s="13">
        <v>65.67</v>
      </c>
      <c r="H56" s="95">
        <f t="shared" si="8"/>
        <v>17.730900000000002</v>
      </c>
      <c r="I56" s="13">
        <f>E56*G56</f>
        <v>5910.3</v>
      </c>
      <c r="J56" s="25"/>
      <c r="L56" s="21"/>
      <c r="M56" s="22"/>
      <c r="N56" s="23"/>
    </row>
    <row r="57" spans="1:14" ht="15.75" customHeight="1">
      <c r="A57" s="201" t="s">
        <v>142</v>
      </c>
      <c r="B57" s="202"/>
      <c r="C57" s="202"/>
      <c r="D57" s="202"/>
      <c r="E57" s="202"/>
      <c r="F57" s="202"/>
      <c r="G57" s="202"/>
      <c r="H57" s="202"/>
      <c r="I57" s="203"/>
      <c r="J57" s="25"/>
      <c r="L57" s="21"/>
      <c r="M57" s="22"/>
      <c r="N57" s="23"/>
    </row>
    <row r="58" spans="1:14" ht="15.75" hidden="1" customHeight="1">
      <c r="A58" s="106"/>
      <c r="B58" s="48" t="s">
        <v>43</v>
      </c>
      <c r="C58" s="17"/>
      <c r="D58" s="16"/>
      <c r="E58" s="16"/>
      <c r="F58" s="16"/>
      <c r="G58" s="31"/>
      <c r="H58" s="31"/>
      <c r="I58" s="19"/>
      <c r="J58" s="25"/>
      <c r="L58" s="21"/>
      <c r="M58" s="22"/>
      <c r="N58" s="23"/>
    </row>
    <row r="59" spans="1:14" ht="31.5" hidden="1" customHeight="1">
      <c r="A59" s="41">
        <v>13</v>
      </c>
      <c r="B59" s="91" t="s">
        <v>109</v>
      </c>
      <c r="C59" s="92" t="s">
        <v>88</v>
      </c>
      <c r="D59" s="91"/>
      <c r="E59" s="93">
        <v>96.58</v>
      </c>
      <c r="F59" s="94">
        <f>SUM(E59*6/100)</f>
        <v>5.7948000000000004</v>
      </c>
      <c r="G59" s="13">
        <v>1547.28</v>
      </c>
      <c r="H59" s="95">
        <f>SUM(F59*G59/1000)</f>
        <v>8.9661781440000006</v>
      </c>
      <c r="I59" s="13">
        <f>G59*0.312</f>
        <v>482.75135999999998</v>
      </c>
      <c r="J59" s="25"/>
      <c r="L59" s="21"/>
      <c r="M59" s="22"/>
      <c r="N59" s="23"/>
    </row>
    <row r="60" spans="1:14" ht="15.75" customHeight="1">
      <c r="A60" s="41"/>
      <c r="B60" s="67" t="s">
        <v>44</v>
      </c>
      <c r="C60" s="40"/>
      <c r="D60" s="34"/>
      <c r="E60" s="19"/>
      <c r="F60" s="85"/>
      <c r="G60" s="37"/>
      <c r="H60" s="68"/>
      <c r="I60" s="20"/>
      <c r="J60" s="25"/>
      <c r="L60" s="21"/>
      <c r="M60" s="22"/>
      <c r="N60" s="23"/>
    </row>
    <row r="61" spans="1:14" ht="15.75" hidden="1" customHeight="1">
      <c r="A61" s="41"/>
      <c r="B61" s="91" t="s">
        <v>45</v>
      </c>
      <c r="C61" s="92" t="s">
        <v>88</v>
      </c>
      <c r="D61" s="91" t="s">
        <v>54</v>
      </c>
      <c r="E61" s="93">
        <v>855.9</v>
      </c>
      <c r="F61" s="95">
        <v>8.6</v>
      </c>
      <c r="G61" s="13">
        <v>747.3</v>
      </c>
      <c r="H61" s="99">
        <v>6.4</v>
      </c>
      <c r="I61" s="13">
        <v>0</v>
      </c>
      <c r="J61" s="25"/>
      <c r="L61" s="21"/>
      <c r="M61" s="22"/>
      <c r="N61" s="23"/>
    </row>
    <row r="62" spans="1:14" ht="15.75" customHeight="1">
      <c r="A62" s="41">
        <v>13</v>
      </c>
      <c r="B62" s="91" t="s">
        <v>86</v>
      </c>
      <c r="C62" s="92" t="s">
        <v>25</v>
      </c>
      <c r="D62" s="91" t="s">
        <v>165</v>
      </c>
      <c r="E62" s="93">
        <v>256</v>
      </c>
      <c r="F62" s="95">
        <v>1560</v>
      </c>
      <c r="G62" s="13">
        <v>1.4</v>
      </c>
      <c r="H62" s="99">
        <f>F62*G62/1000</f>
        <v>2.1840000000000002</v>
      </c>
      <c r="I62" s="13">
        <f>F62/12*G62</f>
        <v>182</v>
      </c>
      <c r="J62" s="25"/>
      <c r="L62" s="21"/>
      <c r="M62" s="22"/>
      <c r="N62" s="23"/>
    </row>
    <row r="63" spans="1:14" ht="15.75" hidden="1" customHeight="1">
      <c r="A63" s="41"/>
      <c r="B63" s="67" t="s">
        <v>126</v>
      </c>
      <c r="C63" s="40"/>
      <c r="D63" s="34"/>
      <c r="E63" s="19"/>
      <c r="F63" s="85"/>
      <c r="G63" s="69"/>
      <c r="H63" s="68"/>
      <c r="I63" s="20"/>
      <c r="J63" s="25"/>
      <c r="L63" s="21"/>
      <c r="M63" s="22"/>
      <c r="N63" s="23"/>
    </row>
    <row r="64" spans="1:14" ht="15.75" hidden="1" customHeight="1">
      <c r="A64" s="41"/>
      <c r="B64" s="91" t="s">
        <v>127</v>
      </c>
      <c r="C64" s="92" t="s">
        <v>85</v>
      </c>
      <c r="D64" s="91" t="s">
        <v>65</v>
      </c>
      <c r="E64" s="93">
        <v>2</v>
      </c>
      <c r="F64" s="94">
        <f>SUM(E64)</f>
        <v>2</v>
      </c>
      <c r="G64" s="100">
        <v>237.75</v>
      </c>
      <c r="H64" s="95">
        <f t="shared" ref="H64" si="11">SUM(F64*G64/1000)</f>
        <v>0.47549999999999998</v>
      </c>
      <c r="I64" s="13">
        <v>0</v>
      </c>
      <c r="J64" s="25"/>
      <c r="L64" s="21"/>
      <c r="M64" s="22"/>
      <c r="N64" s="23"/>
    </row>
    <row r="65" spans="1:14" ht="17.25" customHeight="1">
      <c r="A65" s="41"/>
      <c r="B65" s="105" t="s">
        <v>46</v>
      </c>
      <c r="C65" s="17"/>
      <c r="D65" s="16"/>
      <c r="E65" s="16"/>
      <c r="F65" s="86"/>
      <c r="G65" s="65"/>
      <c r="H65" s="68"/>
      <c r="I65" s="19"/>
      <c r="J65" s="25"/>
      <c r="L65" s="21"/>
      <c r="M65" s="22"/>
      <c r="N65" s="23"/>
    </row>
    <row r="66" spans="1:14" ht="18" customHeight="1">
      <c r="A66" s="41">
        <v>14</v>
      </c>
      <c r="B66" s="15" t="s">
        <v>47</v>
      </c>
      <c r="C66" s="17" t="s">
        <v>85</v>
      </c>
      <c r="D66" s="91" t="s">
        <v>205</v>
      </c>
      <c r="E66" s="19">
        <v>10</v>
      </c>
      <c r="F66" s="94">
        <v>10</v>
      </c>
      <c r="G66" s="135">
        <v>331.57</v>
      </c>
      <c r="H66" s="101">
        <f t="shared" ref="H66" si="12">SUM(F66*G66/1000)</f>
        <v>3.3156999999999996</v>
      </c>
      <c r="I66" s="13">
        <f>G66*4</f>
        <v>1326.28</v>
      </c>
      <c r="J66" s="25"/>
      <c r="L66" s="21"/>
      <c r="M66" s="22"/>
      <c r="N66" s="23"/>
    </row>
    <row r="67" spans="1:14" ht="18" hidden="1" customHeight="1">
      <c r="A67" s="31">
        <v>29</v>
      </c>
      <c r="B67" s="15" t="s">
        <v>48</v>
      </c>
      <c r="C67" s="17" t="s">
        <v>85</v>
      </c>
      <c r="D67" s="91" t="s">
        <v>65</v>
      </c>
      <c r="E67" s="19">
        <v>5</v>
      </c>
      <c r="F67" s="94">
        <v>5</v>
      </c>
      <c r="G67" s="13">
        <v>75.25</v>
      </c>
      <c r="H67" s="101">
        <f t="shared" ref="H67:H73" si="13">SUM(F67*G67/1000)</f>
        <v>0.37624999999999997</v>
      </c>
      <c r="I67" s="13">
        <v>0</v>
      </c>
      <c r="J67" s="25"/>
      <c r="L67" s="21"/>
      <c r="M67" s="22"/>
      <c r="N67" s="23"/>
    </row>
    <row r="68" spans="1:14" ht="15" hidden="1" customHeight="1">
      <c r="A68" s="31">
        <v>25</v>
      </c>
      <c r="B68" s="15" t="s">
        <v>49</v>
      </c>
      <c r="C68" s="17" t="s">
        <v>111</v>
      </c>
      <c r="D68" s="15" t="s">
        <v>54</v>
      </c>
      <c r="E68" s="93">
        <v>13018</v>
      </c>
      <c r="F68" s="13">
        <f>SUM(E68/100)</f>
        <v>130.18</v>
      </c>
      <c r="G68" s="13">
        <v>212.15</v>
      </c>
      <c r="H68" s="101">
        <f t="shared" si="13"/>
        <v>27.617687</v>
      </c>
      <c r="I68" s="13">
        <f>F68*G68</f>
        <v>27617.687000000002</v>
      </c>
      <c r="J68" s="25"/>
      <c r="L68" s="21"/>
      <c r="M68" s="22"/>
      <c r="N68" s="23"/>
    </row>
    <row r="69" spans="1:14" ht="17.25" hidden="1" customHeight="1">
      <c r="A69" s="31">
        <v>26</v>
      </c>
      <c r="B69" s="15" t="s">
        <v>50</v>
      </c>
      <c r="C69" s="17" t="s">
        <v>112</v>
      </c>
      <c r="D69" s="15"/>
      <c r="E69" s="93">
        <v>13018</v>
      </c>
      <c r="F69" s="13">
        <f>SUM(E69/1000)</f>
        <v>13.018000000000001</v>
      </c>
      <c r="G69" s="13">
        <v>165.21</v>
      </c>
      <c r="H69" s="101">
        <f t="shared" si="13"/>
        <v>2.1507037800000002</v>
      </c>
      <c r="I69" s="13">
        <f t="shared" ref="I69:I73" si="14">F69*G69</f>
        <v>2150.7037800000003</v>
      </c>
      <c r="J69" s="25"/>
      <c r="L69" s="21"/>
      <c r="M69" s="22"/>
      <c r="N69" s="23"/>
    </row>
    <row r="70" spans="1:14" ht="18" hidden="1" customHeight="1">
      <c r="A70" s="31">
        <v>27</v>
      </c>
      <c r="B70" s="15" t="s">
        <v>51</v>
      </c>
      <c r="C70" s="17" t="s">
        <v>76</v>
      </c>
      <c r="D70" s="15" t="s">
        <v>54</v>
      </c>
      <c r="E70" s="93">
        <v>1279</v>
      </c>
      <c r="F70" s="13">
        <f>SUM(E70/100)</f>
        <v>12.79</v>
      </c>
      <c r="G70" s="13">
        <v>2074.63</v>
      </c>
      <c r="H70" s="101">
        <f t="shared" si="13"/>
        <v>26.534517700000002</v>
      </c>
      <c r="I70" s="13">
        <f t="shared" si="14"/>
        <v>26534.5177</v>
      </c>
      <c r="J70" s="25"/>
      <c r="L70" s="21"/>
      <c r="M70" s="22"/>
      <c r="N70" s="23"/>
    </row>
    <row r="71" spans="1:14" ht="17.25" hidden="1" customHeight="1">
      <c r="A71" s="31">
        <v>28</v>
      </c>
      <c r="B71" s="102" t="s">
        <v>113</v>
      </c>
      <c r="C71" s="17" t="s">
        <v>32</v>
      </c>
      <c r="D71" s="15"/>
      <c r="E71" s="93">
        <v>12</v>
      </c>
      <c r="F71" s="13">
        <f>SUM(E71)</f>
        <v>12</v>
      </c>
      <c r="G71" s="13">
        <v>45.32</v>
      </c>
      <c r="H71" s="101">
        <f t="shared" si="13"/>
        <v>0.54383999999999999</v>
      </c>
      <c r="I71" s="13">
        <f t="shared" si="14"/>
        <v>543.84</v>
      </c>
      <c r="J71" s="25"/>
      <c r="L71" s="21"/>
      <c r="M71" s="22"/>
      <c r="N71" s="23"/>
    </row>
    <row r="72" spans="1:14" ht="18.75" hidden="1" customHeight="1">
      <c r="A72" s="31">
        <v>29</v>
      </c>
      <c r="B72" s="102" t="s">
        <v>114</v>
      </c>
      <c r="C72" s="17" t="s">
        <v>32</v>
      </c>
      <c r="D72" s="15"/>
      <c r="E72" s="93">
        <v>12</v>
      </c>
      <c r="F72" s="13">
        <f>SUM(E72)</f>
        <v>12</v>
      </c>
      <c r="G72" s="13">
        <v>42.28</v>
      </c>
      <c r="H72" s="101">
        <f t="shared" si="13"/>
        <v>0.50736000000000003</v>
      </c>
      <c r="I72" s="13">
        <f t="shared" si="14"/>
        <v>507.36</v>
      </c>
      <c r="J72" s="25"/>
      <c r="L72" s="21"/>
      <c r="M72" s="22"/>
      <c r="N72" s="23"/>
    </row>
    <row r="73" spans="1:14" ht="17.25" hidden="1" customHeight="1">
      <c r="A73" s="31">
        <v>22</v>
      </c>
      <c r="B73" s="15" t="s">
        <v>57</v>
      </c>
      <c r="C73" s="17" t="s">
        <v>58</v>
      </c>
      <c r="D73" s="15" t="s">
        <v>54</v>
      </c>
      <c r="E73" s="19">
        <v>1</v>
      </c>
      <c r="F73" s="94">
        <f>SUM(E73)</f>
        <v>1</v>
      </c>
      <c r="G73" s="13">
        <v>49.88</v>
      </c>
      <c r="H73" s="101">
        <f t="shared" si="13"/>
        <v>4.9880000000000001E-2</v>
      </c>
      <c r="I73" s="13">
        <f t="shared" si="14"/>
        <v>49.88</v>
      </c>
      <c r="J73" s="25"/>
      <c r="L73" s="21"/>
      <c r="M73" s="22"/>
      <c r="N73" s="23"/>
    </row>
    <row r="74" spans="1:14" ht="17.25" customHeight="1">
      <c r="A74" s="31"/>
      <c r="B74" s="144" t="s">
        <v>174</v>
      </c>
      <c r="C74" s="38"/>
      <c r="D74" s="121"/>
      <c r="E74" s="18"/>
      <c r="F74" s="68"/>
      <c r="G74" s="37"/>
      <c r="H74" s="137"/>
      <c r="I74" s="138"/>
      <c r="J74" s="25"/>
      <c r="L74" s="21"/>
      <c r="M74" s="22"/>
      <c r="N74" s="23"/>
    </row>
    <row r="75" spans="1:14" ht="34.5" customHeight="1">
      <c r="A75" s="31">
        <v>15</v>
      </c>
      <c r="B75" s="121" t="s">
        <v>175</v>
      </c>
      <c r="C75" s="41" t="s">
        <v>176</v>
      </c>
      <c r="D75" s="121"/>
      <c r="E75" s="18">
        <v>2581.1999999999998</v>
      </c>
      <c r="F75" s="37">
        <f>E75*12</f>
        <v>30974.399999999998</v>
      </c>
      <c r="G75" s="37">
        <v>2.6</v>
      </c>
      <c r="H75" s="137"/>
      <c r="I75" s="138">
        <f>G75*F75/12</f>
        <v>6711.12</v>
      </c>
      <c r="J75" s="25"/>
      <c r="L75" s="21"/>
      <c r="M75" s="22"/>
      <c r="N75" s="23"/>
    </row>
    <row r="76" spans="1:14" ht="17.25" hidden="1" customHeight="1">
      <c r="A76" s="106"/>
      <c r="B76" s="105" t="s">
        <v>115</v>
      </c>
      <c r="C76" s="105"/>
      <c r="D76" s="105"/>
      <c r="E76" s="105"/>
      <c r="F76" s="105"/>
      <c r="G76" s="105"/>
      <c r="H76" s="105"/>
      <c r="I76" s="19"/>
      <c r="J76" s="25"/>
      <c r="L76" s="21"/>
      <c r="M76" s="22"/>
      <c r="N76" s="23"/>
    </row>
    <row r="77" spans="1:14" ht="18.75" hidden="1" customHeight="1">
      <c r="A77" s="31">
        <v>16</v>
      </c>
      <c r="B77" s="91" t="s">
        <v>116</v>
      </c>
      <c r="C77" s="17"/>
      <c r="D77" s="15"/>
      <c r="E77" s="85"/>
      <c r="F77" s="13">
        <v>1</v>
      </c>
      <c r="G77" s="13">
        <v>10041.700000000001</v>
      </c>
      <c r="H77" s="101">
        <f>G77*F77/1000</f>
        <v>10.041700000000001</v>
      </c>
      <c r="I77" s="13">
        <f>G77</f>
        <v>10041.700000000001</v>
      </c>
      <c r="J77" s="25"/>
      <c r="L77" s="21"/>
      <c r="M77" s="22"/>
      <c r="N77" s="23"/>
    </row>
    <row r="78" spans="1:14" ht="16.5" customHeight="1">
      <c r="A78" s="31"/>
      <c r="B78" s="49" t="s">
        <v>72</v>
      </c>
      <c r="C78" s="49"/>
      <c r="D78" s="49"/>
      <c r="E78" s="19"/>
      <c r="F78" s="19"/>
      <c r="G78" s="31"/>
      <c r="H78" s="31"/>
      <c r="I78" s="19"/>
      <c r="J78" s="25"/>
      <c r="L78" s="21"/>
      <c r="M78" s="22"/>
      <c r="N78" s="23"/>
    </row>
    <row r="79" spans="1:14" ht="17.25" hidden="1" customHeight="1">
      <c r="A79" s="31">
        <v>23</v>
      </c>
      <c r="B79" s="15" t="s">
        <v>73</v>
      </c>
      <c r="C79" s="17" t="s">
        <v>74</v>
      </c>
      <c r="D79" s="15" t="s">
        <v>65</v>
      </c>
      <c r="E79" s="19">
        <v>5</v>
      </c>
      <c r="F79" s="13">
        <v>0.5</v>
      </c>
      <c r="G79" s="13">
        <v>501.62</v>
      </c>
      <c r="H79" s="101">
        <f t="shared" ref="H79:H81" si="15">SUM(F79*G79/1000)</f>
        <v>0.25080999999999998</v>
      </c>
      <c r="I79" s="13">
        <f>G79*0.2</f>
        <v>100.32400000000001</v>
      </c>
      <c r="J79" s="25"/>
      <c r="L79" s="21"/>
      <c r="M79" s="22"/>
      <c r="N79" s="23"/>
    </row>
    <row r="80" spans="1:14" ht="16.5" hidden="1" customHeight="1">
      <c r="A80" s="31"/>
      <c r="B80" s="15" t="s">
        <v>128</v>
      </c>
      <c r="C80" s="17" t="s">
        <v>85</v>
      </c>
      <c r="D80" s="15"/>
      <c r="E80" s="19">
        <v>1</v>
      </c>
      <c r="F80" s="84">
        <f>E80</f>
        <v>1</v>
      </c>
      <c r="G80" s="13">
        <v>852.99</v>
      </c>
      <c r="H80" s="101">
        <f t="shared" si="15"/>
        <v>0.85299000000000003</v>
      </c>
      <c r="I80" s="13">
        <v>0</v>
      </c>
      <c r="J80" s="25"/>
      <c r="L80" s="21"/>
      <c r="M80" s="22"/>
      <c r="N80" s="23"/>
    </row>
    <row r="81" spans="1:22" ht="14.25" hidden="1" customHeight="1">
      <c r="A81" s="31"/>
      <c r="B81" s="15" t="s">
        <v>129</v>
      </c>
      <c r="C81" s="17" t="s">
        <v>85</v>
      </c>
      <c r="D81" s="15"/>
      <c r="E81" s="19">
        <v>1</v>
      </c>
      <c r="F81" s="94">
        <f>SUM(E81)</f>
        <v>1</v>
      </c>
      <c r="G81" s="13">
        <v>358.51</v>
      </c>
      <c r="H81" s="101">
        <f t="shared" si="15"/>
        <v>0.35851</v>
      </c>
      <c r="I81" s="13">
        <v>0</v>
      </c>
      <c r="J81" s="25"/>
      <c r="L81" s="21"/>
      <c r="M81" s="22"/>
      <c r="N81" s="23"/>
    </row>
    <row r="82" spans="1:22" ht="14.25" customHeight="1">
      <c r="A82" s="31">
        <v>16</v>
      </c>
      <c r="B82" s="121" t="s">
        <v>194</v>
      </c>
      <c r="C82" s="38" t="s">
        <v>85</v>
      </c>
      <c r="D82" s="121" t="s">
        <v>164</v>
      </c>
      <c r="E82" s="18">
        <v>2</v>
      </c>
      <c r="F82" s="68">
        <f>E82*12</f>
        <v>24</v>
      </c>
      <c r="G82" s="37">
        <v>420</v>
      </c>
      <c r="H82" s="101"/>
      <c r="I82" s="13">
        <f>G82*2</f>
        <v>840</v>
      </c>
      <c r="J82" s="25"/>
      <c r="L82" s="21"/>
      <c r="M82" s="22"/>
      <c r="N82" s="23"/>
    </row>
    <row r="83" spans="1:22" ht="15.75" hidden="1" customHeight="1">
      <c r="A83" s="31"/>
      <c r="B83" s="50" t="s">
        <v>75</v>
      </c>
      <c r="C83" s="38"/>
      <c r="D83" s="31"/>
      <c r="E83" s="19"/>
      <c r="F83" s="19"/>
      <c r="G83" s="37" t="s">
        <v>117</v>
      </c>
      <c r="H83" s="37"/>
      <c r="I83" s="19"/>
      <c r="J83" s="25"/>
      <c r="L83" s="21"/>
      <c r="M83" s="22"/>
      <c r="N83" s="23"/>
    </row>
    <row r="84" spans="1:22" ht="18" hidden="1" customHeight="1">
      <c r="A84" s="31">
        <v>12</v>
      </c>
      <c r="B84" s="52" t="s">
        <v>118</v>
      </c>
      <c r="C84" s="17" t="s">
        <v>76</v>
      </c>
      <c r="D84" s="15"/>
      <c r="E84" s="19"/>
      <c r="F84" s="13">
        <v>0.3</v>
      </c>
      <c r="G84" s="13">
        <v>2759.44</v>
      </c>
      <c r="H84" s="101">
        <f t="shared" ref="H84" si="16">SUM(F84*G84/1000)</f>
        <v>0.82783200000000001</v>
      </c>
      <c r="I84" s="13">
        <v>0</v>
      </c>
      <c r="J84" s="25"/>
      <c r="L84" s="21"/>
      <c r="M84" s="22"/>
      <c r="N84" s="23"/>
    </row>
    <row r="85" spans="1:22" ht="18" hidden="1" customHeight="1">
      <c r="A85" s="136"/>
      <c r="B85" s="144" t="s">
        <v>174</v>
      </c>
      <c r="C85" s="38"/>
      <c r="D85" s="121"/>
      <c r="E85" s="18"/>
      <c r="F85" s="68"/>
      <c r="G85" s="37"/>
      <c r="H85" s="137"/>
      <c r="I85" s="138"/>
      <c r="J85" s="25"/>
      <c r="L85" s="21"/>
      <c r="M85" s="22"/>
      <c r="N85" s="23"/>
    </row>
    <row r="86" spans="1:22" ht="18" hidden="1" customHeight="1">
      <c r="A86" s="136">
        <v>16</v>
      </c>
      <c r="B86" s="121" t="s">
        <v>175</v>
      </c>
      <c r="C86" s="41" t="s">
        <v>176</v>
      </c>
      <c r="D86" s="121"/>
      <c r="E86" s="18">
        <v>2581.1999999999998</v>
      </c>
      <c r="F86" s="37">
        <f>E86*12</f>
        <v>30974.399999999998</v>
      </c>
      <c r="G86" s="37">
        <v>2.4900000000000002</v>
      </c>
      <c r="H86" s="137"/>
      <c r="I86" s="138">
        <f>G86*F86/12</f>
        <v>6427.1879999999992</v>
      </c>
      <c r="J86" s="25"/>
      <c r="L86" s="21"/>
      <c r="M86" s="22"/>
      <c r="N86" s="23"/>
    </row>
    <row r="87" spans="1:22" ht="15.75" customHeight="1">
      <c r="A87" s="205" t="s">
        <v>143</v>
      </c>
      <c r="B87" s="206"/>
      <c r="C87" s="206"/>
      <c r="D87" s="206"/>
      <c r="E87" s="206"/>
      <c r="F87" s="206"/>
      <c r="G87" s="206"/>
      <c r="H87" s="206"/>
      <c r="I87" s="207"/>
      <c r="J87" s="25"/>
      <c r="L87" s="21"/>
      <c r="M87" s="22"/>
      <c r="N87" s="23"/>
    </row>
    <row r="88" spans="1:22" ht="15.75" customHeight="1">
      <c r="A88" s="31">
        <v>17</v>
      </c>
      <c r="B88" s="121" t="s">
        <v>119</v>
      </c>
      <c r="C88" s="38" t="s">
        <v>55</v>
      </c>
      <c r="D88" s="169"/>
      <c r="E88" s="37">
        <v>2581.1999999999998</v>
      </c>
      <c r="F88" s="37">
        <f>SUM(E88*12)</f>
        <v>30974.399999999998</v>
      </c>
      <c r="G88" s="37">
        <v>3.5</v>
      </c>
      <c r="H88" s="164">
        <f>SUM(F88*G88/1000)</f>
        <v>108.4104</v>
      </c>
      <c r="I88" s="13">
        <f>F88/12*G88</f>
        <v>9034.1999999999989</v>
      </c>
      <c r="J88" s="25"/>
      <c r="L88" s="21"/>
    </row>
    <row r="89" spans="1:22" ht="31.5" customHeight="1">
      <c r="A89" s="31">
        <v>18</v>
      </c>
      <c r="B89" s="166" t="s">
        <v>195</v>
      </c>
      <c r="C89" s="159" t="s">
        <v>55</v>
      </c>
      <c r="D89" s="167"/>
      <c r="E89" s="168">
        <f>E88</f>
        <v>2581.1999999999998</v>
      </c>
      <c r="F89" s="161">
        <f>E89*12</f>
        <v>30974.399999999998</v>
      </c>
      <c r="G89" s="161">
        <v>3.2</v>
      </c>
      <c r="H89" s="101">
        <f>F89*G89/1000</f>
        <v>99.118080000000006</v>
      </c>
      <c r="I89" s="13">
        <f>F89/12*G89</f>
        <v>8259.84</v>
      </c>
    </row>
    <row r="90" spans="1:22" ht="15.75" customHeight="1">
      <c r="A90" s="106"/>
      <c r="B90" s="39" t="s">
        <v>79</v>
      </c>
      <c r="C90" s="41"/>
      <c r="D90" s="16"/>
      <c r="E90" s="16"/>
      <c r="F90" s="16"/>
      <c r="G90" s="19"/>
      <c r="H90" s="19"/>
      <c r="I90" s="33">
        <f>I89+I88+I82+I75+I66+I62+I44+I43+I42+I41+I39+I38+I27+I21+I20+I18+I17+I16</f>
        <v>37468.480990166667</v>
      </c>
    </row>
    <row r="91" spans="1:22" ht="15.75" customHeight="1">
      <c r="A91" s="208" t="s">
        <v>60</v>
      </c>
      <c r="B91" s="209"/>
      <c r="C91" s="209"/>
      <c r="D91" s="209"/>
      <c r="E91" s="209"/>
      <c r="F91" s="209"/>
      <c r="G91" s="209"/>
      <c r="H91" s="209"/>
      <c r="I91" s="210"/>
    </row>
    <row r="92" spans="1:22" ht="15.75" customHeight="1">
      <c r="A92" s="31">
        <v>19</v>
      </c>
      <c r="B92" s="119" t="s">
        <v>255</v>
      </c>
      <c r="C92" s="120" t="s">
        <v>256</v>
      </c>
      <c r="D92" s="66" t="s">
        <v>261</v>
      </c>
      <c r="E92" s="37"/>
      <c r="F92" s="37">
        <v>0.5</v>
      </c>
      <c r="G92" s="37">
        <v>1519.29</v>
      </c>
      <c r="H92" s="101"/>
      <c r="I92" s="13">
        <f>G92*0.5</f>
        <v>759.64499999999998</v>
      </c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9"/>
    </row>
    <row r="93" spans="1:22" ht="31.5" customHeight="1">
      <c r="A93" s="31">
        <v>20</v>
      </c>
      <c r="B93" s="119" t="s">
        <v>178</v>
      </c>
      <c r="C93" s="120" t="s">
        <v>94</v>
      </c>
      <c r="D93" s="66" t="s">
        <v>260</v>
      </c>
      <c r="E93" s="37"/>
      <c r="F93" s="37">
        <v>4</v>
      </c>
      <c r="G93" s="37">
        <v>670.51</v>
      </c>
      <c r="H93" s="103"/>
      <c r="I93" s="13">
        <f>G93*1</f>
        <v>670.51</v>
      </c>
      <c r="J93" s="27"/>
      <c r="K93" s="27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2" ht="34.5" customHeight="1">
      <c r="A94" s="31">
        <v>21</v>
      </c>
      <c r="B94" s="119" t="s">
        <v>257</v>
      </c>
      <c r="C94" s="120" t="s">
        <v>94</v>
      </c>
      <c r="D94" s="66" t="s">
        <v>259</v>
      </c>
      <c r="E94" s="37"/>
      <c r="F94" s="37">
        <v>1</v>
      </c>
      <c r="G94" s="37">
        <v>587.65</v>
      </c>
      <c r="H94" s="103"/>
      <c r="I94" s="13">
        <f>G94*1</f>
        <v>587.65</v>
      </c>
      <c r="J94" s="27"/>
      <c r="K94" s="27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2" ht="15" customHeight="1">
      <c r="A95" s="31">
        <v>22</v>
      </c>
      <c r="B95" s="119" t="s">
        <v>258</v>
      </c>
      <c r="C95" s="120" t="s">
        <v>94</v>
      </c>
      <c r="D95" s="66"/>
      <c r="E95" s="37"/>
      <c r="F95" s="37">
        <v>1</v>
      </c>
      <c r="G95" s="37">
        <v>331.57</v>
      </c>
      <c r="H95" s="101"/>
      <c r="I95" s="13">
        <f>G95*1</f>
        <v>331.57</v>
      </c>
      <c r="J95" s="27"/>
      <c r="K95" s="27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2" ht="15.75" customHeight="1">
      <c r="A96" s="31"/>
      <c r="B96" s="46" t="s">
        <v>52</v>
      </c>
      <c r="C96" s="42"/>
      <c r="D96" s="54"/>
      <c r="E96" s="42">
        <v>1</v>
      </c>
      <c r="F96" s="42"/>
      <c r="G96" s="42"/>
      <c r="H96" s="42"/>
      <c r="I96" s="33">
        <f>SUM(I92:I95)</f>
        <v>2349.375</v>
      </c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</row>
    <row r="97" spans="1:9" ht="15.75" customHeight="1">
      <c r="A97" s="31"/>
      <c r="B97" s="52" t="s">
        <v>78</v>
      </c>
      <c r="C97" s="16"/>
      <c r="D97" s="16"/>
      <c r="E97" s="43"/>
      <c r="F97" s="43"/>
      <c r="G97" s="44"/>
      <c r="H97" s="44"/>
      <c r="I97" s="18">
        <v>0</v>
      </c>
    </row>
    <row r="98" spans="1:9" ht="15.75" customHeight="1">
      <c r="A98" s="55"/>
      <c r="B98" s="47" t="s">
        <v>136</v>
      </c>
      <c r="C98" s="36"/>
      <c r="D98" s="36"/>
      <c r="E98" s="36"/>
      <c r="F98" s="36"/>
      <c r="G98" s="36"/>
      <c r="H98" s="36"/>
      <c r="I98" s="45">
        <f>I90+I96</f>
        <v>39817.855990166667</v>
      </c>
    </row>
    <row r="99" spans="1:9" ht="15.75" customHeight="1">
      <c r="A99" s="204" t="s">
        <v>262</v>
      </c>
      <c r="B99" s="204"/>
      <c r="C99" s="204"/>
      <c r="D99" s="204"/>
      <c r="E99" s="204"/>
      <c r="F99" s="204"/>
      <c r="G99" s="204"/>
      <c r="H99" s="204"/>
      <c r="I99" s="204"/>
    </row>
    <row r="100" spans="1:9" ht="15.75" customHeight="1">
      <c r="A100" s="77"/>
      <c r="B100" s="185" t="s">
        <v>263</v>
      </c>
      <c r="C100" s="185"/>
      <c r="D100" s="185"/>
      <c r="E100" s="185"/>
      <c r="F100" s="185"/>
      <c r="G100" s="185"/>
      <c r="H100" s="89"/>
      <c r="I100" s="3"/>
    </row>
    <row r="101" spans="1:9" ht="15.75" customHeight="1">
      <c r="A101" s="109"/>
      <c r="B101" s="186" t="s">
        <v>6</v>
      </c>
      <c r="C101" s="186"/>
      <c r="D101" s="186"/>
      <c r="E101" s="186"/>
      <c r="F101" s="186"/>
      <c r="G101" s="186"/>
      <c r="H101" s="26"/>
      <c r="I101" s="5"/>
    </row>
    <row r="102" spans="1:9" ht="15.75" customHeight="1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 customHeight="1">
      <c r="A103" s="187" t="s">
        <v>7</v>
      </c>
      <c r="B103" s="187"/>
      <c r="C103" s="187"/>
      <c r="D103" s="187"/>
      <c r="E103" s="187"/>
      <c r="F103" s="187"/>
      <c r="G103" s="187"/>
      <c r="H103" s="187"/>
      <c r="I103" s="187"/>
    </row>
    <row r="104" spans="1:9" ht="15.75" customHeight="1">
      <c r="A104" s="187" t="s">
        <v>8</v>
      </c>
      <c r="B104" s="187"/>
      <c r="C104" s="187"/>
      <c r="D104" s="187"/>
      <c r="E104" s="187"/>
      <c r="F104" s="187"/>
      <c r="G104" s="187"/>
      <c r="H104" s="187"/>
      <c r="I104" s="187"/>
    </row>
    <row r="105" spans="1:9" ht="15.75" customHeight="1">
      <c r="A105" s="190" t="s">
        <v>61</v>
      </c>
      <c r="B105" s="190"/>
      <c r="C105" s="190"/>
      <c r="D105" s="190"/>
      <c r="E105" s="190"/>
      <c r="F105" s="190"/>
      <c r="G105" s="190"/>
      <c r="H105" s="190"/>
      <c r="I105" s="190"/>
    </row>
    <row r="106" spans="1:9" ht="15.75" customHeight="1">
      <c r="A106" s="11"/>
    </row>
    <row r="107" spans="1:9" ht="15.75" customHeight="1">
      <c r="A107" s="191" t="s">
        <v>9</v>
      </c>
      <c r="B107" s="191"/>
      <c r="C107" s="191"/>
      <c r="D107" s="191"/>
      <c r="E107" s="191"/>
      <c r="F107" s="191"/>
      <c r="G107" s="191"/>
      <c r="H107" s="191"/>
      <c r="I107" s="191"/>
    </row>
    <row r="108" spans="1:9" ht="15.75" customHeight="1">
      <c r="A108" s="4"/>
    </row>
    <row r="109" spans="1:9" ht="15.75" customHeight="1">
      <c r="B109" s="110" t="s">
        <v>10</v>
      </c>
      <c r="C109" s="192" t="s">
        <v>250</v>
      </c>
      <c r="D109" s="192"/>
      <c r="E109" s="192"/>
      <c r="F109" s="87"/>
      <c r="I109" s="111"/>
    </row>
    <row r="110" spans="1:9" ht="15.75" customHeight="1">
      <c r="A110" s="109"/>
      <c r="C110" s="186" t="s">
        <v>11</v>
      </c>
      <c r="D110" s="186"/>
      <c r="E110" s="186"/>
      <c r="F110" s="26"/>
      <c r="I110" s="108" t="s">
        <v>12</v>
      </c>
    </row>
    <row r="111" spans="1:9" ht="15.75" customHeight="1">
      <c r="A111" s="27"/>
      <c r="C111" s="12"/>
      <c r="D111" s="12"/>
      <c r="G111" s="12"/>
      <c r="H111" s="12"/>
    </row>
    <row r="112" spans="1:9" ht="15.75" customHeight="1">
      <c r="B112" s="110" t="s">
        <v>13</v>
      </c>
      <c r="C112" s="193"/>
      <c r="D112" s="193"/>
      <c r="E112" s="193"/>
      <c r="F112" s="88"/>
      <c r="I112" s="111"/>
    </row>
    <row r="113" spans="1:9" ht="15.75" customHeight="1">
      <c r="A113" s="109"/>
      <c r="C113" s="189" t="s">
        <v>11</v>
      </c>
      <c r="D113" s="189"/>
      <c r="E113" s="189"/>
      <c r="F113" s="109"/>
      <c r="I113" s="108" t="s">
        <v>12</v>
      </c>
    </row>
    <row r="114" spans="1:9" ht="15.75" customHeight="1">
      <c r="A114" s="4" t="s">
        <v>14</v>
      </c>
    </row>
    <row r="115" spans="1:9">
      <c r="A115" s="188" t="s">
        <v>15</v>
      </c>
      <c r="B115" s="188"/>
      <c r="C115" s="188"/>
      <c r="D115" s="188"/>
      <c r="E115" s="188"/>
      <c r="F115" s="188"/>
      <c r="G115" s="188"/>
      <c r="H115" s="188"/>
      <c r="I115" s="188"/>
    </row>
    <row r="116" spans="1:9" ht="45" customHeight="1">
      <c r="A116" s="184" t="s">
        <v>16</v>
      </c>
      <c r="B116" s="184"/>
      <c r="C116" s="184"/>
      <c r="D116" s="184"/>
      <c r="E116" s="184"/>
      <c r="F116" s="184"/>
      <c r="G116" s="184"/>
      <c r="H116" s="184"/>
      <c r="I116" s="184"/>
    </row>
    <row r="117" spans="1:9" ht="30" customHeight="1">
      <c r="A117" s="184" t="s">
        <v>17</v>
      </c>
      <c r="B117" s="184"/>
      <c r="C117" s="184"/>
      <c r="D117" s="184"/>
      <c r="E117" s="184"/>
      <c r="F117" s="184"/>
      <c r="G117" s="184"/>
      <c r="H117" s="184"/>
      <c r="I117" s="184"/>
    </row>
    <row r="118" spans="1:9" ht="30" customHeight="1">
      <c r="A118" s="184" t="s">
        <v>21</v>
      </c>
      <c r="B118" s="184"/>
      <c r="C118" s="184"/>
      <c r="D118" s="184"/>
      <c r="E118" s="184"/>
      <c r="F118" s="184"/>
      <c r="G118" s="184"/>
      <c r="H118" s="184"/>
      <c r="I118" s="184"/>
    </row>
    <row r="119" spans="1:9" ht="15" customHeight="1">
      <c r="A119" s="184" t="s">
        <v>20</v>
      </c>
      <c r="B119" s="184"/>
      <c r="C119" s="184"/>
      <c r="D119" s="184"/>
      <c r="E119" s="184"/>
      <c r="F119" s="184"/>
      <c r="G119" s="184"/>
      <c r="H119" s="184"/>
      <c r="I119" s="184"/>
    </row>
  </sheetData>
  <autoFilter ref="I12:I90"/>
  <mergeCells count="28">
    <mergeCell ref="A116:I116"/>
    <mergeCell ref="A117:I117"/>
    <mergeCell ref="A118:I118"/>
    <mergeCell ref="A119:I119"/>
    <mergeCell ref="A107:I107"/>
    <mergeCell ref="C109:E109"/>
    <mergeCell ref="C110:E110"/>
    <mergeCell ref="C112:E112"/>
    <mergeCell ref="C113:E113"/>
    <mergeCell ref="A115:I115"/>
    <mergeCell ref="A105:I105"/>
    <mergeCell ref="A15:I15"/>
    <mergeCell ref="A29:I29"/>
    <mergeCell ref="A46:I46"/>
    <mergeCell ref="A57:I57"/>
    <mergeCell ref="A87:I87"/>
    <mergeCell ref="A91:I91"/>
    <mergeCell ref="A99:I99"/>
    <mergeCell ref="B100:G100"/>
    <mergeCell ref="B101:G101"/>
    <mergeCell ref="A103:I103"/>
    <mergeCell ref="A104:I104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3" orientation="portrait" r:id="rId1"/>
  <rowBreaks count="1" manualBreakCount="1">
    <brk id="114" max="8" man="1"/>
  </rowBreaks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U112"/>
  <sheetViews>
    <sheetView topLeftCell="A73" workbookViewId="0">
      <selection activeCell="J8" sqref="J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155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94" t="s">
        <v>154</v>
      </c>
      <c r="B3" s="194"/>
      <c r="C3" s="194"/>
      <c r="D3" s="194"/>
      <c r="E3" s="194"/>
      <c r="F3" s="194"/>
      <c r="G3" s="194"/>
      <c r="H3" s="194"/>
      <c r="I3" s="194"/>
      <c r="J3" s="3"/>
      <c r="K3" s="3"/>
      <c r="L3" s="3"/>
    </row>
    <row r="4" spans="1:13" ht="31.5" customHeight="1">
      <c r="A4" s="195" t="s">
        <v>120</v>
      </c>
      <c r="B4" s="195"/>
      <c r="C4" s="195"/>
      <c r="D4" s="195"/>
      <c r="E4" s="195"/>
      <c r="F4" s="195"/>
      <c r="G4" s="195"/>
      <c r="H4" s="195"/>
      <c r="I4" s="195"/>
    </row>
    <row r="5" spans="1:13" ht="15.75" customHeight="1">
      <c r="A5" s="194" t="s">
        <v>264</v>
      </c>
      <c r="B5" s="198"/>
      <c r="C5" s="198"/>
      <c r="D5" s="198"/>
      <c r="E5" s="198"/>
      <c r="F5" s="198"/>
      <c r="G5" s="198"/>
      <c r="H5" s="198"/>
      <c r="I5" s="198"/>
      <c r="J5" s="2"/>
      <c r="K5" s="2"/>
      <c r="L5" s="2"/>
      <c r="M5" s="2"/>
    </row>
    <row r="6" spans="1:13" ht="15.75" customHeight="1">
      <c r="A6" s="2"/>
      <c r="B6" s="116"/>
      <c r="C6" s="116"/>
      <c r="D6" s="116"/>
      <c r="E6" s="116"/>
      <c r="F6" s="116"/>
      <c r="G6" s="116"/>
      <c r="H6" s="116"/>
      <c r="I6" s="32">
        <v>44196</v>
      </c>
      <c r="J6" s="2"/>
      <c r="K6" s="2"/>
      <c r="L6" s="2"/>
      <c r="M6" s="2"/>
    </row>
    <row r="7" spans="1:13" ht="15.75" customHeight="1">
      <c r="B7" s="114"/>
      <c r="C7" s="114"/>
      <c r="D7" s="114"/>
      <c r="E7" s="3"/>
      <c r="F7" s="3"/>
      <c r="G7" s="3"/>
      <c r="H7" s="3"/>
      <c r="J7" s="3"/>
      <c r="K7" s="3"/>
      <c r="L7" s="3"/>
      <c r="M7" s="3"/>
    </row>
    <row r="8" spans="1:13" s="64" customFormat="1" ht="78.75" customHeight="1">
      <c r="A8" s="196" t="s">
        <v>268</v>
      </c>
      <c r="B8" s="196"/>
      <c r="C8" s="196"/>
      <c r="D8" s="196"/>
      <c r="E8" s="196"/>
      <c r="F8" s="196"/>
      <c r="G8" s="196"/>
      <c r="H8" s="196"/>
      <c r="I8" s="196"/>
      <c r="J8" s="76"/>
      <c r="K8" s="76"/>
      <c r="L8" s="76"/>
      <c r="M8" s="76"/>
    </row>
    <row r="9" spans="1:13" ht="15.75">
      <c r="A9" s="4"/>
      <c r="J9" s="2"/>
      <c r="K9" s="2"/>
      <c r="L9" s="2"/>
      <c r="M9" s="2"/>
    </row>
    <row r="10" spans="1:13" ht="47.25" customHeight="1">
      <c r="A10" s="197" t="s">
        <v>150</v>
      </c>
      <c r="B10" s="197"/>
      <c r="C10" s="197"/>
      <c r="D10" s="197"/>
      <c r="E10" s="197"/>
      <c r="F10" s="197"/>
      <c r="G10" s="197"/>
      <c r="H10" s="197"/>
      <c r="I10" s="19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 ht="15.7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9" t="s">
        <v>59</v>
      </c>
      <c r="B14" s="199"/>
      <c r="C14" s="199"/>
      <c r="D14" s="199"/>
      <c r="E14" s="199"/>
      <c r="F14" s="199"/>
      <c r="G14" s="199"/>
      <c r="H14" s="199"/>
      <c r="I14" s="199"/>
      <c r="J14" s="8"/>
      <c r="K14" s="8"/>
      <c r="L14" s="8"/>
      <c r="M14" s="8"/>
    </row>
    <row r="15" spans="1:13" ht="15.75" customHeight="1">
      <c r="A15" s="200" t="s">
        <v>4</v>
      </c>
      <c r="B15" s="200"/>
      <c r="C15" s="200"/>
      <c r="D15" s="200"/>
      <c r="E15" s="200"/>
      <c r="F15" s="200"/>
      <c r="G15" s="200"/>
      <c r="H15" s="200"/>
      <c r="I15" s="200"/>
      <c r="J15" s="8"/>
      <c r="K15" s="8"/>
      <c r="L15" s="8"/>
      <c r="M15" s="8"/>
    </row>
    <row r="16" spans="1:13" ht="15.75" customHeight="1">
      <c r="A16" s="31">
        <v>1</v>
      </c>
      <c r="B16" s="34" t="s">
        <v>83</v>
      </c>
      <c r="C16" s="40" t="s">
        <v>88</v>
      </c>
      <c r="D16" s="34" t="s">
        <v>161</v>
      </c>
      <c r="E16" s="123">
        <v>47.52</v>
      </c>
      <c r="F16" s="124">
        <f>SUM(E16*156/100)</f>
        <v>74.131200000000007</v>
      </c>
      <c r="G16" s="124">
        <v>261.45</v>
      </c>
      <c r="H16" s="95">
        <f t="shared" ref="H16:H18" si="0">SUM(F16*G16/1000)</f>
        <v>19.381602239999999</v>
      </c>
      <c r="I16" s="13">
        <f>F16/12*G16</f>
        <v>1615.1335200000001</v>
      </c>
      <c r="J16" s="8"/>
      <c r="K16" s="8"/>
      <c r="L16" s="8"/>
      <c r="M16" s="8"/>
    </row>
    <row r="17" spans="1:13" ht="15.75" customHeight="1">
      <c r="A17" s="31">
        <v>2</v>
      </c>
      <c r="B17" s="34" t="s">
        <v>97</v>
      </c>
      <c r="C17" s="40" t="s">
        <v>88</v>
      </c>
      <c r="D17" s="34" t="s">
        <v>162</v>
      </c>
      <c r="E17" s="123">
        <v>190.08</v>
      </c>
      <c r="F17" s="124">
        <f>SUM(E17*104/100)</f>
        <v>197.6832</v>
      </c>
      <c r="G17" s="124">
        <v>261.45</v>
      </c>
      <c r="H17" s="95">
        <f t="shared" si="0"/>
        <v>51.684272639999996</v>
      </c>
      <c r="I17" s="13">
        <f>F17/12*G17</f>
        <v>4307.0227199999999</v>
      </c>
      <c r="J17" s="8"/>
      <c r="K17" s="8"/>
      <c r="L17" s="8"/>
      <c r="M17" s="8"/>
    </row>
    <row r="18" spans="1:13" ht="15.75" customHeight="1">
      <c r="A18" s="31">
        <v>3</v>
      </c>
      <c r="B18" s="34" t="s">
        <v>98</v>
      </c>
      <c r="C18" s="40" t="s">
        <v>88</v>
      </c>
      <c r="D18" s="34" t="s">
        <v>165</v>
      </c>
      <c r="E18" s="123">
        <f>SUM(E16+E17)</f>
        <v>237.60000000000002</v>
      </c>
      <c r="F18" s="124">
        <f>SUM(E18*18/100)</f>
        <v>42.768000000000001</v>
      </c>
      <c r="G18" s="124">
        <v>752.16</v>
      </c>
      <c r="H18" s="95">
        <f t="shared" si="0"/>
        <v>32.168378879999999</v>
      </c>
      <c r="I18" s="13">
        <f>F18/18*1*G18</f>
        <v>1787.1321599999999</v>
      </c>
      <c r="J18" s="8"/>
      <c r="K18" s="8"/>
      <c r="L18" s="8"/>
      <c r="M18" s="8"/>
    </row>
    <row r="19" spans="1:13" ht="15.75" hidden="1" customHeight="1">
      <c r="A19" s="31">
        <v>4</v>
      </c>
      <c r="B19" s="34" t="s">
        <v>121</v>
      </c>
      <c r="C19" s="40" t="s">
        <v>122</v>
      </c>
      <c r="D19" s="34" t="s">
        <v>210</v>
      </c>
      <c r="E19" s="123">
        <v>18.48</v>
      </c>
      <c r="F19" s="124">
        <f>SUM(E19/10)</f>
        <v>1.8480000000000001</v>
      </c>
      <c r="G19" s="124">
        <v>253.7</v>
      </c>
      <c r="H19" s="95">
        <f t="shared" ref="H19:H27" si="1">SUM(F19*G19/1000)</f>
        <v>0.46883760000000002</v>
      </c>
      <c r="I19" s="13">
        <f>G19*F19</f>
        <v>468.83760000000001</v>
      </c>
      <c r="J19" s="8"/>
      <c r="K19" s="8"/>
      <c r="L19" s="8"/>
      <c r="M19" s="8"/>
    </row>
    <row r="20" spans="1:13" ht="15.75" customHeight="1">
      <c r="A20" s="31">
        <v>4</v>
      </c>
      <c r="B20" s="34" t="s">
        <v>87</v>
      </c>
      <c r="C20" s="40" t="s">
        <v>88</v>
      </c>
      <c r="D20" s="34" t="s">
        <v>164</v>
      </c>
      <c r="E20" s="123">
        <v>10.5</v>
      </c>
      <c r="F20" s="124">
        <f>SUM(E20*12/100)</f>
        <v>1.26</v>
      </c>
      <c r="G20" s="124">
        <v>324.83999999999997</v>
      </c>
      <c r="H20" s="95">
        <f t="shared" si="1"/>
        <v>0.40929839999999995</v>
      </c>
      <c r="I20" s="13">
        <f>F20/12*G20</f>
        <v>34.108199999999997</v>
      </c>
      <c r="J20" s="8"/>
      <c r="K20" s="8"/>
      <c r="L20" s="8"/>
      <c r="M20" s="8"/>
    </row>
    <row r="21" spans="1:13" ht="15.75" customHeight="1">
      <c r="A21" s="31">
        <v>5</v>
      </c>
      <c r="B21" s="34" t="s">
        <v>95</v>
      </c>
      <c r="C21" s="40" t="s">
        <v>88</v>
      </c>
      <c r="D21" s="34" t="s">
        <v>164</v>
      </c>
      <c r="E21" s="123">
        <v>2.7</v>
      </c>
      <c r="F21" s="124">
        <f>SUM(E21*12/100)</f>
        <v>0.32400000000000007</v>
      </c>
      <c r="G21" s="124">
        <v>322.20999999999998</v>
      </c>
      <c r="H21" s="95">
        <f t="shared" si="1"/>
        <v>0.10439604000000001</v>
      </c>
      <c r="I21" s="13">
        <f>F21/12*G21</f>
        <v>8.6996700000000011</v>
      </c>
      <c r="J21" s="8"/>
      <c r="K21" s="8"/>
      <c r="L21" s="8"/>
      <c r="M21" s="8"/>
    </row>
    <row r="22" spans="1:13" ht="15.75" hidden="1" customHeight="1">
      <c r="A22" s="31">
        <v>7</v>
      </c>
      <c r="B22" s="34" t="s">
        <v>89</v>
      </c>
      <c r="C22" s="40" t="s">
        <v>53</v>
      </c>
      <c r="D22" s="34" t="s">
        <v>210</v>
      </c>
      <c r="E22" s="123">
        <v>267.75</v>
      </c>
      <c r="F22" s="124">
        <f>SUM(E22/100)</f>
        <v>2.6775000000000002</v>
      </c>
      <c r="G22" s="124">
        <v>401.44</v>
      </c>
      <c r="H22" s="95">
        <f t="shared" si="1"/>
        <v>1.0748556</v>
      </c>
      <c r="I22" s="13">
        <f>G22*F22</f>
        <v>1074.8556000000001</v>
      </c>
      <c r="J22" s="8"/>
      <c r="K22" s="8"/>
      <c r="L22" s="8"/>
      <c r="M22" s="8"/>
    </row>
    <row r="23" spans="1:13" ht="15.75" hidden="1" customHeight="1">
      <c r="A23" s="31">
        <v>8</v>
      </c>
      <c r="B23" s="34" t="s">
        <v>90</v>
      </c>
      <c r="C23" s="40" t="s">
        <v>53</v>
      </c>
      <c r="D23" s="34" t="s">
        <v>211</v>
      </c>
      <c r="E23" s="154">
        <v>36</v>
      </c>
      <c r="F23" s="124">
        <f>SUM(E23/100)</f>
        <v>0.36</v>
      </c>
      <c r="G23" s="124">
        <v>66.03</v>
      </c>
      <c r="H23" s="95">
        <f t="shared" si="1"/>
        <v>2.3770800000000002E-2</v>
      </c>
      <c r="I23" s="13">
        <f>G23*F23</f>
        <v>23.770800000000001</v>
      </c>
      <c r="J23" s="8"/>
      <c r="K23" s="8"/>
      <c r="L23" s="8"/>
      <c r="M23" s="8"/>
    </row>
    <row r="24" spans="1:13" ht="15.75" hidden="1" customHeight="1">
      <c r="A24" s="31">
        <v>9</v>
      </c>
      <c r="B24" s="34" t="s">
        <v>91</v>
      </c>
      <c r="C24" s="40" t="s">
        <v>53</v>
      </c>
      <c r="D24" s="34" t="s">
        <v>211</v>
      </c>
      <c r="E24" s="123">
        <v>15</v>
      </c>
      <c r="F24" s="124">
        <f>E24/100</f>
        <v>0.15</v>
      </c>
      <c r="G24" s="124">
        <v>581.02</v>
      </c>
      <c r="H24" s="95">
        <f t="shared" si="1"/>
        <v>8.7152999999999994E-2</v>
      </c>
      <c r="I24" s="13">
        <f>G24*F24</f>
        <v>87.152999999999992</v>
      </c>
      <c r="J24" s="8"/>
      <c r="K24" s="8"/>
      <c r="L24" s="8"/>
      <c r="M24" s="8"/>
    </row>
    <row r="25" spans="1:13" ht="15.75" hidden="1" customHeight="1">
      <c r="A25" s="31">
        <v>10</v>
      </c>
      <c r="B25" s="34" t="s">
        <v>96</v>
      </c>
      <c r="C25" s="40" t="s">
        <v>88</v>
      </c>
      <c r="D25" s="34" t="s">
        <v>164</v>
      </c>
      <c r="E25" s="123">
        <v>14.25</v>
      </c>
      <c r="F25" s="124">
        <v>0.1</v>
      </c>
      <c r="G25" s="124">
        <v>322.20999999999998</v>
      </c>
      <c r="H25" s="95">
        <v>3.1E-2</v>
      </c>
      <c r="I25" s="13">
        <f>G25*F25</f>
        <v>32.220999999999997</v>
      </c>
      <c r="J25" s="8"/>
      <c r="K25" s="8"/>
      <c r="L25" s="8"/>
      <c r="M25" s="8"/>
    </row>
    <row r="26" spans="1:13" ht="15.75" hidden="1" customHeight="1">
      <c r="A26" s="31">
        <v>11</v>
      </c>
      <c r="B26" s="34" t="s">
        <v>92</v>
      </c>
      <c r="C26" s="40" t="s">
        <v>53</v>
      </c>
      <c r="D26" s="34" t="s">
        <v>211</v>
      </c>
      <c r="E26" s="123">
        <v>6.38</v>
      </c>
      <c r="F26" s="124">
        <f>SUM(E26/100)</f>
        <v>6.3799999999999996E-2</v>
      </c>
      <c r="G26" s="124">
        <v>776.46</v>
      </c>
      <c r="H26" s="95">
        <f t="shared" si="1"/>
        <v>4.9538147999999997E-2</v>
      </c>
      <c r="I26" s="13">
        <f>G26*F26</f>
        <v>49.538148</v>
      </c>
      <c r="J26" s="8"/>
      <c r="K26" s="8"/>
      <c r="L26" s="8"/>
      <c r="M26" s="8"/>
    </row>
    <row r="27" spans="1:13" ht="15.75" customHeight="1">
      <c r="A27" s="31">
        <v>6</v>
      </c>
      <c r="B27" s="34" t="s">
        <v>160</v>
      </c>
      <c r="C27" s="40" t="s">
        <v>25</v>
      </c>
      <c r="D27" s="34" t="s">
        <v>166</v>
      </c>
      <c r="E27" s="133">
        <v>4.83</v>
      </c>
      <c r="F27" s="124">
        <f>SUM(E27*258)</f>
        <v>1246.1400000000001</v>
      </c>
      <c r="G27" s="124">
        <v>10.81</v>
      </c>
      <c r="H27" s="95">
        <f t="shared" si="1"/>
        <v>13.470773400000002</v>
      </c>
      <c r="I27" s="13">
        <f>F27/12*G27</f>
        <v>1122.5644500000003</v>
      </c>
      <c r="J27" s="8"/>
      <c r="K27" s="8"/>
      <c r="L27" s="8"/>
      <c r="M27" s="8"/>
    </row>
    <row r="28" spans="1:13" ht="15.75" hidden="1" customHeight="1">
      <c r="A28" s="31">
        <v>7</v>
      </c>
      <c r="B28" s="97" t="s">
        <v>23</v>
      </c>
      <c r="C28" s="92" t="s">
        <v>24</v>
      </c>
      <c r="D28" s="34"/>
      <c r="E28" s="93">
        <v>2581.1999999999998</v>
      </c>
      <c r="F28" s="94">
        <f>SUM(E28*12)</f>
        <v>30974.399999999998</v>
      </c>
      <c r="G28" s="94">
        <v>4.8099999999999996</v>
      </c>
      <c r="H28" s="95">
        <f t="shared" ref="H28" si="2">SUM(F28*G28/1000)</f>
        <v>148.98686399999997</v>
      </c>
      <c r="I28" s="13">
        <f>F28/12*G28</f>
        <v>12415.571999999998</v>
      </c>
      <c r="J28" s="24"/>
      <c r="K28" s="8"/>
      <c r="L28" s="8"/>
      <c r="M28" s="8"/>
    </row>
    <row r="29" spans="1:13" ht="15.75" customHeight="1">
      <c r="A29" s="200" t="s">
        <v>82</v>
      </c>
      <c r="B29" s="200"/>
      <c r="C29" s="200"/>
      <c r="D29" s="200"/>
      <c r="E29" s="200"/>
      <c r="F29" s="200"/>
      <c r="G29" s="200"/>
      <c r="H29" s="200"/>
      <c r="I29" s="200"/>
      <c r="J29" s="24"/>
      <c r="K29" s="8"/>
      <c r="L29" s="8"/>
      <c r="M29" s="8"/>
    </row>
    <row r="30" spans="1:13" ht="15.75" hidden="1" customHeight="1">
      <c r="A30" s="41"/>
      <c r="B30" s="51" t="s">
        <v>28</v>
      </c>
      <c r="C30" s="51"/>
      <c r="D30" s="51"/>
      <c r="E30" s="51"/>
      <c r="F30" s="51"/>
      <c r="G30" s="51"/>
      <c r="H30" s="51"/>
      <c r="I30" s="19"/>
      <c r="J30" s="24"/>
      <c r="K30" s="8"/>
      <c r="L30" s="8"/>
      <c r="M30" s="8"/>
    </row>
    <row r="31" spans="1:13" ht="15.75" hidden="1" customHeight="1">
      <c r="A31" s="41">
        <v>8</v>
      </c>
      <c r="B31" s="91" t="s">
        <v>99</v>
      </c>
      <c r="C31" s="92" t="s">
        <v>100</v>
      </c>
      <c r="D31" s="91" t="s">
        <v>101</v>
      </c>
      <c r="E31" s="94">
        <v>1167.4000000000001</v>
      </c>
      <c r="F31" s="94">
        <f>SUM(E31*52/1000)</f>
        <v>60.704800000000006</v>
      </c>
      <c r="G31" s="94">
        <v>155.88999999999999</v>
      </c>
      <c r="H31" s="95">
        <f t="shared" ref="H31:H33" si="3">SUM(F31*G31/1000)</f>
        <v>9.4632712720000001</v>
      </c>
      <c r="I31" s="13">
        <f>F31/6*G31</f>
        <v>1577.2118786666665</v>
      </c>
      <c r="J31" s="24"/>
      <c r="K31" s="8"/>
      <c r="L31" s="8"/>
      <c r="M31" s="8"/>
    </row>
    <row r="32" spans="1:13" ht="31.5" hidden="1" customHeight="1">
      <c r="A32" s="41">
        <v>9</v>
      </c>
      <c r="B32" s="91" t="s">
        <v>134</v>
      </c>
      <c r="C32" s="92" t="s">
        <v>100</v>
      </c>
      <c r="D32" s="91" t="s">
        <v>102</v>
      </c>
      <c r="E32" s="94">
        <v>540.04999999999995</v>
      </c>
      <c r="F32" s="94">
        <f>SUM(E32*78/1000)</f>
        <v>42.123899999999992</v>
      </c>
      <c r="G32" s="94">
        <v>258.63</v>
      </c>
      <c r="H32" s="95">
        <f t="shared" si="3"/>
        <v>10.894504256999998</v>
      </c>
      <c r="I32" s="13">
        <f t="shared" ref="I32:I34" si="4">F32/6*G32</f>
        <v>1815.7507094999996</v>
      </c>
      <c r="J32" s="24"/>
      <c r="K32" s="8"/>
      <c r="L32" s="8"/>
      <c r="M32" s="8"/>
    </row>
    <row r="33" spans="1:13" ht="15.75" hidden="1" customHeight="1">
      <c r="A33" s="41">
        <v>16</v>
      </c>
      <c r="B33" s="91" t="s">
        <v>27</v>
      </c>
      <c r="C33" s="92" t="s">
        <v>100</v>
      </c>
      <c r="D33" s="91" t="s">
        <v>54</v>
      </c>
      <c r="E33" s="94">
        <v>1167.4000000000001</v>
      </c>
      <c r="F33" s="94">
        <f>SUM(E33/1000)</f>
        <v>1.1674</v>
      </c>
      <c r="G33" s="94">
        <v>3020.33</v>
      </c>
      <c r="H33" s="95">
        <f t="shared" si="3"/>
        <v>3.5259332420000002</v>
      </c>
      <c r="I33" s="13">
        <f>F33*G33</f>
        <v>3525.9332420000001</v>
      </c>
      <c r="J33" s="24"/>
      <c r="K33" s="8"/>
      <c r="L33" s="8"/>
      <c r="M33" s="8"/>
    </row>
    <row r="34" spans="1:13" ht="15.75" hidden="1" customHeight="1">
      <c r="A34" s="41">
        <v>10</v>
      </c>
      <c r="B34" s="91" t="s">
        <v>103</v>
      </c>
      <c r="C34" s="92" t="s">
        <v>30</v>
      </c>
      <c r="D34" s="91" t="s">
        <v>63</v>
      </c>
      <c r="E34" s="98">
        <v>0.33333333333333331</v>
      </c>
      <c r="F34" s="94">
        <f>155/3</f>
        <v>51.666666666666664</v>
      </c>
      <c r="G34" s="94">
        <v>56.69</v>
      </c>
      <c r="H34" s="95">
        <f>SUM(G34*155/3/1000)</f>
        <v>2.9289833333333331</v>
      </c>
      <c r="I34" s="13">
        <f t="shared" si="4"/>
        <v>488.16388888888883</v>
      </c>
      <c r="J34" s="24"/>
      <c r="K34" s="8"/>
      <c r="L34" s="8"/>
      <c r="M34" s="8"/>
    </row>
    <row r="35" spans="1:13" ht="15.75" hidden="1" customHeight="1">
      <c r="A35" s="41">
        <v>4</v>
      </c>
      <c r="B35" s="91" t="s">
        <v>64</v>
      </c>
      <c r="C35" s="92" t="s">
        <v>32</v>
      </c>
      <c r="D35" s="91" t="s">
        <v>65</v>
      </c>
      <c r="E35" s="93"/>
      <c r="F35" s="94">
        <v>3</v>
      </c>
      <c r="G35" s="94">
        <v>191.32</v>
      </c>
      <c r="H35" s="95">
        <f t="shared" ref="H35" si="5">SUM(F35*G35/1000)</f>
        <v>0.57396000000000003</v>
      </c>
      <c r="I35" s="13">
        <v>0</v>
      </c>
      <c r="J35" s="24"/>
      <c r="K35" s="8"/>
      <c r="L35" s="8"/>
      <c r="M35" s="8"/>
    </row>
    <row r="36" spans="1:13" ht="15.75" customHeight="1">
      <c r="A36" s="41"/>
      <c r="B36" s="49" t="s">
        <v>5</v>
      </c>
      <c r="C36" s="49"/>
      <c r="D36" s="49"/>
      <c r="E36" s="13"/>
      <c r="F36" s="13"/>
      <c r="G36" s="14"/>
      <c r="H36" s="14"/>
      <c r="I36" s="19"/>
      <c r="J36" s="24"/>
      <c r="K36" s="8"/>
      <c r="L36" s="8"/>
      <c r="M36" s="8"/>
    </row>
    <row r="37" spans="1:13" ht="15.75" customHeight="1">
      <c r="A37" s="41">
        <v>7</v>
      </c>
      <c r="B37" s="91" t="s">
        <v>26</v>
      </c>
      <c r="C37" s="92" t="s">
        <v>31</v>
      </c>
      <c r="D37" s="91" t="s">
        <v>265</v>
      </c>
      <c r="E37" s="93"/>
      <c r="F37" s="94">
        <v>6</v>
      </c>
      <c r="G37" s="182">
        <v>1930</v>
      </c>
      <c r="H37" s="95">
        <f t="shared" ref="H37" si="6">SUM(F37*G37/1000)</f>
        <v>11.58</v>
      </c>
      <c r="I37" s="13">
        <f>G37*1.1</f>
        <v>2123</v>
      </c>
      <c r="J37" s="24"/>
      <c r="K37" s="8"/>
      <c r="L37" s="8"/>
      <c r="M37" s="8"/>
    </row>
    <row r="38" spans="1:13" ht="15.75" customHeight="1">
      <c r="A38" s="35">
        <v>8</v>
      </c>
      <c r="B38" s="155" t="s">
        <v>66</v>
      </c>
      <c r="C38" s="156" t="s">
        <v>29</v>
      </c>
      <c r="D38" s="155" t="s">
        <v>167</v>
      </c>
      <c r="E38" s="157">
        <v>26.33</v>
      </c>
      <c r="F38" s="157">
        <f>SUM(E38*30/1000)</f>
        <v>0.78989999999999994</v>
      </c>
      <c r="G38" s="157">
        <v>3134.93</v>
      </c>
      <c r="H38" s="95">
        <f t="shared" ref="H38:H42" si="7">SUM(F38*G38/1000)</f>
        <v>2.4762812069999995</v>
      </c>
      <c r="I38" s="13">
        <f t="shared" ref="I38:I40" si="8">F38/6*G38</f>
        <v>412.71353449999992</v>
      </c>
      <c r="J38" s="24"/>
      <c r="K38" s="8"/>
      <c r="L38" s="8"/>
      <c r="M38" s="8"/>
    </row>
    <row r="39" spans="1:13" ht="15.75" customHeight="1">
      <c r="A39" s="35">
        <v>9</v>
      </c>
      <c r="B39" s="34" t="s">
        <v>188</v>
      </c>
      <c r="C39" s="40" t="s">
        <v>29</v>
      </c>
      <c r="D39" s="34" t="s">
        <v>168</v>
      </c>
      <c r="E39" s="124">
        <v>26.33</v>
      </c>
      <c r="F39" s="157">
        <f>SUM(E39*155/1000)</f>
        <v>4.0811500000000001</v>
      </c>
      <c r="G39" s="124">
        <v>522.92999999999995</v>
      </c>
      <c r="H39" s="95">
        <f t="shared" si="7"/>
        <v>2.1341557694999995</v>
      </c>
      <c r="I39" s="13">
        <f t="shared" si="8"/>
        <v>355.69262824999993</v>
      </c>
      <c r="J39" s="24"/>
      <c r="K39" s="8"/>
      <c r="L39" s="8"/>
      <c r="M39" s="8"/>
    </row>
    <row r="40" spans="1:13" ht="20.25" hidden="1" customHeight="1">
      <c r="A40" s="35">
        <v>10</v>
      </c>
      <c r="B40" s="34" t="s">
        <v>189</v>
      </c>
      <c r="C40" s="40" t="s">
        <v>190</v>
      </c>
      <c r="D40" s="34"/>
      <c r="E40" s="124"/>
      <c r="F40" s="157">
        <v>39</v>
      </c>
      <c r="G40" s="124">
        <v>330</v>
      </c>
      <c r="H40" s="95">
        <f t="shared" si="7"/>
        <v>12.87</v>
      </c>
      <c r="I40" s="13">
        <f t="shared" si="8"/>
        <v>2145</v>
      </c>
      <c r="J40" s="24"/>
      <c r="K40" s="8"/>
      <c r="L40" s="8"/>
      <c r="M40" s="8"/>
    </row>
    <row r="41" spans="1:13" ht="15.75" customHeight="1">
      <c r="A41" s="35">
        <v>10</v>
      </c>
      <c r="B41" s="34" t="s">
        <v>191</v>
      </c>
      <c r="C41" s="40" t="s">
        <v>100</v>
      </c>
      <c r="D41" s="34" t="s">
        <v>198</v>
      </c>
      <c r="E41" s="124">
        <v>26.33</v>
      </c>
      <c r="F41" s="157">
        <f>SUM(E41*35/1000)</f>
        <v>0.92154999999999998</v>
      </c>
      <c r="G41" s="124">
        <v>8652.07</v>
      </c>
      <c r="H41" s="95">
        <f t="shared" si="7"/>
        <v>7.9733151084999996</v>
      </c>
      <c r="I41" s="13">
        <f>G41*F41/6</f>
        <v>1328.8858514166666</v>
      </c>
      <c r="J41" s="24"/>
      <c r="K41" s="8"/>
      <c r="L41" s="8"/>
      <c r="M41" s="8"/>
    </row>
    <row r="42" spans="1:13" ht="15.75" hidden="1" customHeight="1">
      <c r="A42" s="183">
        <v>12</v>
      </c>
      <c r="B42" s="34" t="s">
        <v>105</v>
      </c>
      <c r="C42" s="40" t="s">
        <v>100</v>
      </c>
      <c r="D42" s="34" t="s">
        <v>165</v>
      </c>
      <c r="E42" s="124">
        <v>90.4</v>
      </c>
      <c r="F42" s="157">
        <f>SUM(E42*15/1000)</f>
        <v>1.3560000000000001</v>
      </c>
      <c r="G42" s="124">
        <v>639.1</v>
      </c>
      <c r="H42" s="95">
        <f t="shared" si="7"/>
        <v>0.86661960000000016</v>
      </c>
      <c r="I42" s="13">
        <f>G42*F42/15*1</f>
        <v>57.774640000000005</v>
      </c>
      <c r="J42" s="24"/>
      <c r="K42" s="8"/>
      <c r="L42" s="8"/>
      <c r="M42" s="8"/>
    </row>
    <row r="43" spans="1:13" ht="15.75" hidden="1" customHeight="1">
      <c r="A43" s="35"/>
      <c r="B43" s="155" t="s">
        <v>70</v>
      </c>
      <c r="C43" s="156" t="s">
        <v>32</v>
      </c>
      <c r="D43" s="155"/>
      <c r="E43" s="133"/>
      <c r="F43" s="157">
        <v>0.6</v>
      </c>
      <c r="G43" s="157">
        <v>900</v>
      </c>
      <c r="H43" s="84"/>
      <c r="I43" s="181">
        <f>G43*F43/15*1</f>
        <v>36</v>
      </c>
      <c r="J43" s="24"/>
      <c r="K43" s="8"/>
      <c r="L43" s="8"/>
      <c r="M43" s="8"/>
    </row>
    <row r="44" spans="1:13" ht="32.25" customHeight="1">
      <c r="A44" s="35">
        <v>11</v>
      </c>
      <c r="B44" s="34" t="s">
        <v>193</v>
      </c>
      <c r="C44" s="40" t="s">
        <v>29</v>
      </c>
      <c r="D44" s="34" t="s">
        <v>254</v>
      </c>
      <c r="E44" s="123">
        <v>1.2</v>
      </c>
      <c r="F44" s="124">
        <f>E44*12/1000</f>
        <v>1.4399999999999998E-2</v>
      </c>
      <c r="G44" s="124">
        <v>20547.34</v>
      </c>
      <c r="H44" s="84"/>
      <c r="I44" s="181">
        <f>G44*F44/6</f>
        <v>49.313615999999996</v>
      </c>
      <c r="J44" s="24"/>
      <c r="K44" s="8"/>
      <c r="L44" s="8"/>
      <c r="M44" s="8"/>
    </row>
    <row r="45" spans="1:13" ht="15.75" customHeight="1">
      <c r="A45" s="201" t="s">
        <v>131</v>
      </c>
      <c r="B45" s="202"/>
      <c r="C45" s="202"/>
      <c r="D45" s="202"/>
      <c r="E45" s="202"/>
      <c r="F45" s="202"/>
      <c r="G45" s="202"/>
      <c r="H45" s="202"/>
      <c r="I45" s="203"/>
      <c r="J45" s="24"/>
      <c r="K45" s="8"/>
      <c r="L45" s="8"/>
      <c r="M45" s="8"/>
    </row>
    <row r="46" spans="1:13" ht="15.75" hidden="1" customHeight="1">
      <c r="A46" s="41">
        <v>11</v>
      </c>
      <c r="B46" s="91" t="s">
        <v>106</v>
      </c>
      <c r="C46" s="92" t="s">
        <v>100</v>
      </c>
      <c r="D46" s="91" t="s">
        <v>42</v>
      </c>
      <c r="E46" s="93">
        <v>965.8</v>
      </c>
      <c r="F46" s="94">
        <f>SUM(E46*2/1000)</f>
        <v>1.9316</v>
      </c>
      <c r="G46" s="13">
        <v>849.49</v>
      </c>
      <c r="H46" s="95">
        <f t="shared" ref="H46:H55" si="9">SUM(F46*G46/1000)</f>
        <v>1.640874884</v>
      </c>
      <c r="I46" s="13">
        <f t="shared" ref="I46:I49" si="10">F46/2*G46</f>
        <v>820.43744200000003</v>
      </c>
      <c r="J46" s="24"/>
      <c r="K46" s="8"/>
    </row>
    <row r="47" spans="1:13" ht="15.75" hidden="1" customHeight="1">
      <c r="A47" s="41">
        <v>12</v>
      </c>
      <c r="B47" s="91" t="s">
        <v>35</v>
      </c>
      <c r="C47" s="92" t="s">
        <v>100</v>
      </c>
      <c r="D47" s="91" t="s">
        <v>42</v>
      </c>
      <c r="E47" s="93">
        <v>36</v>
      </c>
      <c r="F47" s="94">
        <f>SUM(E47*2/1000)</f>
        <v>7.1999999999999995E-2</v>
      </c>
      <c r="G47" s="13">
        <v>579.48</v>
      </c>
      <c r="H47" s="95">
        <f t="shared" si="9"/>
        <v>4.1722559999999999E-2</v>
      </c>
      <c r="I47" s="13">
        <f t="shared" si="10"/>
        <v>20.861280000000001</v>
      </c>
      <c r="J47" s="25"/>
    </row>
    <row r="48" spans="1:13" ht="15.75" hidden="1" customHeight="1">
      <c r="A48" s="41">
        <v>13</v>
      </c>
      <c r="B48" s="91" t="s">
        <v>36</v>
      </c>
      <c r="C48" s="92" t="s">
        <v>100</v>
      </c>
      <c r="D48" s="91" t="s">
        <v>42</v>
      </c>
      <c r="E48" s="93">
        <v>1197.7</v>
      </c>
      <c r="F48" s="94">
        <f>SUM(E48*2/1000)</f>
        <v>2.3954</v>
      </c>
      <c r="G48" s="13">
        <v>579.48</v>
      </c>
      <c r="H48" s="95">
        <f t="shared" si="9"/>
        <v>1.3880863919999999</v>
      </c>
      <c r="I48" s="13">
        <f t="shared" si="10"/>
        <v>694.04319599999997</v>
      </c>
      <c r="J48" s="25"/>
    </row>
    <row r="49" spans="1:14" ht="15.75" hidden="1" customHeight="1">
      <c r="A49" s="41">
        <v>14</v>
      </c>
      <c r="B49" s="91" t="s">
        <v>37</v>
      </c>
      <c r="C49" s="92" t="s">
        <v>100</v>
      </c>
      <c r="D49" s="91" t="s">
        <v>42</v>
      </c>
      <c r="E49" s="93">
        <v>2275.92</v>
      </c>
      <c r="F49" s="94">
        <f>SUM(E49*2/1000)</f>
        <v>4.5518400000000003</v>
      </c>
      <c r="G49" s="13">
        <v>606.77</v>
      </c>
      <c r="H49" s="95">
        <f t="shared" si="9"/>
        <v>2.7619199567999999</v>
      </c>
      <c r="I49" s="13">
        <f t="shared" si="10"/>
        <v>1380.9599784</v>
      </c>
      <c r="J49" s="25"/>
    </row>
    <row r="50" spans="1:14" ht="15.75" hidden="1" customHeight="1">
      <c r="A50" s="41">
        <v>15</v>
      </c>
      <c r="B50" s="91" t="s">
        <v>33</v>
      </c>
      <c r="C50" s="92" t="s">
        <v>34</v>
      </c>
      <c r="D50" s="91" t="s">
        <v>42</v>
      </c>
      <c r="E50" s="93">
        <v>81.709999999999994</v>
      </c>
      <c r="F50" s="94">
        <f>SUM(E50*2/100)</f>
        <v>1.6341999999999999</v>
      </c>
      <c r="G50" s="13">
        <v>68.56</v>
      </c>
      <c r="H50" s="95">
        <f t="shared" si="9"/>
        <v>0.11204075199999999</v>
      </c>
      <c r="I50" s="13">
        <f>F50/2*G50</f>
        <v>56.020375999999999</v>
      </c>
      <c r="J50" s="25"/>
    </row>
    <row r="51" spans="1:14" ht="15.75" customHeight="1">
      <c r="A51" s="41">
        <v>12</v>
      </c>
      <c r="B51" s="91" t="s">
        <v>56</v>
      </c>
      <c r="C51" s="92" t="s">
        <v>100</v>
      </c>
      <c r="D51" s="91" t="s">
        <v>165</v>
      </c>
      <c r="E51" s="93">
        <v>1711.8</v>
      </c>
      <c r="F51" s="94">
        <f>SUM(E51*5/1000)</f>
        <v>8.5589999999999993</v>
      </c>
      <c r="G51" s="135">
        <v>1809.27</v>
      </c>
      <c r="H51" s="95">
        <f t="shared" si="9"/>
        <v>15.48554193</v>
      </c>
      <c r="I51" s="13">
        <f>F51/5*G51</f>
        <v>3097.1083859999994</v>
      </c>
      <c r="J51" s="25"/>
    </row>
    <row r="52" spans="1:14" ht="31.5" hidden="1" customHeight="1">
      <c r="A52" s="41">
        <v>17</v>
      </c>
      <c r="B52" s="91" t="s">
        <v>107</v>
      </c>
      <c r="C52" s="92" t="s">
        <v>100</v>
      </c>
      <c r="D52" s="91" t="s">
        <v>42</v>
      </c>
      <c r="E52" s="93">
        <v>1711.8</v>
      </c>
      <c r="F52" s="94">
        <f>SUM(E52*2/1000)</f>
        <v>3.4236</v>
      </c>
      <c r="G52" s="13">
        <v>1213.55</v>
      </c>
      <c r="H52" s="95">
        <f t="shared" si="9"/>
        <v>4.1547097800000001</v>
      </c>
      <c r="I52" s="13">
        <f>F52/2*G52</f>
        <v>2077.3548900000001</v>
      </c>
      <c r="J52" s="25"/>
    </row>
    <row r="53" spans="1:14" ht="31.5" hidden="1" customHeight="1">
      <c r="A53" s="41">
        <v>18</v>
      </c>
      <c r="B53" s="91" t="s">
        <v>108</v>
      </c>
      <c r="C53" s="92" t="s">
        <v>38</v>
      </c>
      <c r="D53" s="91" t="s">
        <v>42</v>
      </c>
      <c r="E53" s="93">
        <v>15</v>
      </c>
      <c r="F53" s="94">
        <f>SUM(E53*2/100)</f>
        <v>0.3</v>
      </c>
      <c r="G53" s="13">
        <v>2730.49</v>
      </c>
      <c r="H53" s="95">
        <f t="shared" si="9"/>
        <v>0.81914699999999996</v>
      </c>
      <c r="I53" s="13">
        <f t="shared" ref="I53:I54" si="11">F53/2*G53</f>
        <v>409.57349999999997</v>
      </c>
      <c r="J53" s="25"/>
    </row>
    <row r="54" spans="1:14" ht="15.75" hidden="1" customHeight="1">
      <c r="A54" s="41">
        <v>19</v>
      </c>
      <c r="B54" s="91" t="s">
        <v>39</v>
      </c>
      <c r="C54" s="92" t="s">
        <v>40</v>
      </c>
      <c r="D54" s="91" t="s">
        <v>42</v>
      </c>
      <c r="E54" s="93">
        <v>1</v>
      </c>
      <c r="F54" s="94">
        <v>0.02</v>
      </c>
      <c r="G54" s="13">
        <v>5322.15</v>
      </c>
      <c r="H54" s="95">
        <f t="shared" si="9"/>
        <v>0.106443</v>
      </c>
      <c r="I54" s="13">
        <f t="shared" si="11"/>
        <v>53.221499999999999</v>
      </c>
      <c r="J54" s="25"/>
      <c r="L54" s="21"/>
      <c r="M54" s="22"/>
      <c r="N54" s="23"/>
    </row>
    <row r="55" spans="1:14" ht="15.75" customHeight="1">
      <c r="A55" s="41">
        <v>13</v>
      </c>
      <c r="B55" s="91" t="s">
        <v>41</v>
      </c>
      <c r="C55" s="92" t="s">
        <v>85</v>
      </c>
      <c r="D55" s="134">
        <v>44190</v>
      </c>
      <c r="E55" s="93">
        <v>90</v>
      </c>
      <c r="F55" s="94">
        <f>SUM(E55)*3</f>
        <v>270</v>
      </c>
      <c r="G55" s="170">
        <v>97.93</v>
      </c>
      <c r="H55" s="95">
        <f t="shared" si="9"/>
        <v>26.441100000000002</v>
      </c>
      <c r="I55" s="13">
        <f>E55*G55</f>
        <v>8813.7000000000007</v>
      </c>
      <c r="J55" s="25"/>
      <c r="L55" s="21"/>
      <c r="M55" s="22"/>
      <c r="N55" s="23"/>
    </row>
    <row r="56" spans="1:14" ht="15.75" customHeight="1">
      <c r="A56" s="201" t="s">
        <v>132</v>
      </c>
      <c r="B56" s="202"/>
      <c r="C56" s="202"/>
      <c r="D56" s="202"/>
      <c r="E56" s="202"/>
      <c r="F56" s="202"/>
      <c r="G56" s="202"/>
      <c r="H56" s="202"/>
      <c r="I56" s="203"/>
      <c r="J56" s="25"/>
      <c r="L56" s="21"/>
      <c r="M56" s="22"/>
      <c r="N56" s="23"/>
    </row>
    <row r="57" spans="1:14" ht="15.75" hidden="1" customHeight="1">
      <c r="A57" s="118"/>
      <c r="B57" s="48" t="s">
        <v>43</v>
      </c>
      <c r="C57" s="17"/>
      <c r="D57" s="16"/>
      <c r="E57" s="16"/>
      <c r="F57" s="16"/>
      <c r="G57" s="31"/>
      <c r="H57" s="31"/>
      <c r="I57" s="19"/>
      <c r="J57" s="25"/>
      <c r="L57" s="21"/>
      <c r="M57" s="22"/>
      <c r="N57" s="23"/>
    </row>
    <row r="58" spans="1:14" ht="31.5" hidden="1" customHeight="1">
      <c r="A58" s="41">
        <v>14</v>
      </c>
      <c r="B58" s="91" t="s">
        <v>109</v>
      </c>
      <c r="C58" s="92" t="s">
        <v>88</v>
      </c>
      <c r="D58" s="91"/>
      <c r="E58" s="93">
        <v>96.58</v>
      </c>
      <c r="F58" s="94">
        <f>SUM(E58*6/100)</f>
        <v>5.7948000000000004</v>
      </c>
      <c r="G58" s="13">
        <v>1547.28</v>
      </c>
      <c r="H58" s="95">
        <f>SUM(F58*G58/1000)</f>
        <v>8.9661781440000006</v>
      </c>
      <c r="I58" s="13">
        <f>G58*0.312</f>
        <v>482.75135999999998</v>
      </c>
      <c r="J58" s="25"/>
      <c r="L58" s="21"/>
      <c r="M58" s="22"/>
      <c r="N58" s="23"/>
    </row>
    <row r="59" spans="1:14" ht="15.75" customHeight="1">
      <c r="A59" s="41"/>
      <c r="B59" s="67" t="s">
        <v>44</v>
      </c>
      <c r="C59" s="40"/>
      <c r="D59" s="34"/>
      <c r="E59" s="19"/>
      <c r="F59" s="85"/>
      <c r="G59" s="37"/>
      <c r="H59" s="68"/>
      <c r="I59" s="20"/>
      <c r="J59" s="25"/>
      <c r="L59" s="21"/>
      <c r="M59" s="22"/>
      <c r="N59" s="23"/>
    </row>
    <row r="60" spans="1:14" ht="15.75" hidden="1" customHeight="1">
      <c r="A60" s="41"/>
      <c r="B60" s="91" t="s">
        <v>45</v>
      </c>
      <c r="C60" s="92" t="s">
        <v>88</v>
      </c>
      <c r="D60" s="91" t="s">
        <v>54</v>
      </c>
      <c r="E60" s="93">
        <v>855.9</v>
      </c>
      <c r="F60" s="95">
        <v>8.6</v>
      </c>
      <c r="G60" s="13">
        <v>747.3</v>
      </c>
      <c r="H60" s="99">
        <v>6.4</v>
      </c>
      <c r="I60" s="13">
        <v>0</v>
      </c>
      <c r="J60" s="25"/>
      <c r="L60" s="21"/>
      <c r="M60" s="22"/>
      <c r="N60" s="23"/>
    </row>
    <row r="61" spans="1:14" ht="15.75" customHeight="1">
      <c r="A61" s="41">
        <v>14</v>
      </c>
      <c r="B61" s="91" t="s">
        <v>86</v>
      </c>
      <c r="C61" s="92" t="s">
        <v>25</v>
      </c>
      <c r="D61" s="91" t="s">
        <v>165</v>
      </c>
      <c r="E61" s="93">
        <v>256</v>
      </c>
      <c r="F61" s="95">
        <v>1560</v>
      </c>
      <c r="G61" s="13">
        <v>1.4</v>
      </c>
      <c r="H61" s="99">
        <f>F61*G61/1000</f>
        <v>2.1840000000000002</v>
      </c>
      <c r="I61" s="13">
        <f>F61/12*G61</f>
        <v>182</v>
      </c>
      <c r="J61" s="25"/>
      <c r="L61" s="21"/>
      <c r="M61" s="22"/>
      <c r="N61" s="23"/>
    </row>
    <row r="62" spans="1:14" ht="15.75" hidden="1" customHeight="1">
      <c r="A62" s="41"/>
      <c r="B62" s="67" t="s">
        <v>126</v>
      </c>
      <c r="C62" s="40"/>
      <c r="D62" s="34"/>
      <c r="E62" s="19"/>
      <c r="F62" s="85"/>
      <c r="G62" s="69"/>
      <c r="H62" s="68"/>
      <c r="I62" s="20"/>
      <c r="J62" s="25"/>
      <c r="L62" s="21"/>
      <c r="M62" s="22"/>
      <c r="N62" s="23"/>
    </row>
    <row r="63" spans="1:14" ht="15.75" hidden="1" customHeight="1">
      <c r="A63" s="41"/>
      <c r="B63" s="91" t="s">
        <v>127</v>
      </c>
      <c r="C63" s="92" t="s">
        <v>85</v>
      </c>
      <c r="D63" s="91" t="s">
        <v>65</v>
      </c>
      <c r="E63" s="93">
        <v>2</v>
      </c>
      <c r="F63" s="94">
        <f>SUM(E63)</f>
        <v>2</v>
      </c>
      <c r="G63" s="100">
        <v>237.75</v>
      </c>
      <c r="H63" s="95">
        <f t="shared" ref="H63" si="12">SUM(F63*G63/1000)</f>
        <v>0.47549999999999998</v>
      </c>
      <c r="I63" s="13">
        <v>0</v>
      </c>
      <c r="J63" s="25"/>
      <c r="L63" s="21"/>
      <c r="M63" s="22"/>
      <c r="N63" s="23"/>
    </row>
    <row r="64" spans="1:14" ht="22.5" hidden="1" customHeight="1">
      <c r="A64" s="41"/>
      <c r="B64" s="117" t="s">
        <v>46</v>
      </c>
      <c r="C64" s="17"/>
      <c r="D64" s="16"/>
      <c r="E64" s="16"/>
      <c r="F64" s="86"/>
      <c r="G64" s="65"/>
      <c r="H64" s="68"/>
      <c r="I64" s="19"/>
      <c r="J64" s="25"/>
      <c r="L64" s="21"/>
      <c r="M64" s="22"/>
      <c r="N64" s="23"/>
    </row>
    <row r="65" spans="1:14" ht="19.5" hidden="1" customHeight="1">
      <c r="A65" s="41">
        <v>16</v>
      </c>
      <c r="B65" s="15" t="s">
        <v>47</v>
      </c>
      <c r="C65" s="17" t="s">
        <v>85</v>
      </c>
      <c r="D65" s="91" t="s">
        <v>165</v>
      </c>
      <c r="E65" s="19">
        <v>10</v>
      </c>
      <c r="F65" s="94">
        <v>10</v>
      </c>
      <c r="G65" s="13">
        <v>222.4</v>
      </c>
      <c r="H65" s="101">
        <f t="shared" ref="H65:H72" si="13">SUM(F65*G65/1000)</f>
        <v>2.2240000000000002</v>
      </c>
      <c r="I65" s="13">
        <f>G65</f>
        <v>222.4</v>
      </c>
      <c r="J65" s="25"/>
      <c r="L65" s="21"/>
      <c r="M65" s="22"/>
      <c r="N65" s="23"/>
    </row>
    <row r="66" spans="1:14" ht="16.5" hidden="1" customHeight="1">
      <c r="A66" s="31">
        <v>29</v>
      </c>
      <c r="B66" s="15" t="s">
        <v>48</v>
      </c>
      <c r="C66" s="17" t="s">
        <v>85</v>
      </c>
      <c r="D66" s="91" t="s">
        <v>65</v>
      </c>
      <c r="E66" s="19">
        <v>5</v>
      </c>
      <c r="F66" s="94">
        <v>5</v>
      </c>
      <c r="G66" s="13">
        <v>75.25</v>
      </c>
      <c r="H66" s="101">
        <f t="shared" si="13"/>
        <v>0.37624999999999997</v>
      </c>
      <c r="I66" s="13">
        <v>0</v>
      </c>
      <c r="J66" s="25"/>
      <c r="L66" s="21"/>
      <c r="M66" s="22"/>
      <c r="N66" s="23"/>
    </row>
    <row r="67" spans="1:14" ht="20.25" hidden="1" customHeight="1">
      <c r="A67" s="31">
        <v>25</v>
      </c>
      <c r="B67" s="15" t="s">
        <v>49</v>
      </c>
      <c r="C67" s="17" t="s">
        <v>111</v>
      </c>
      <c r="D67" s="15" t="s">
        <v>54</v>
      </c>
      <c r="E67" s="93">
        <v>13018</v>
      </c>
      <c r="F67" s="13">
        <f>SUM(E67/100)</f>
        <v>130.18</v>
      </c>
      <c r="G67" s="13">
        <v>212.15</v>
      </c>
      <c r="H67" s="101">
        <f t="shared" si="13"/>
        <v>27.617687</v>
      </c>
      <c r="I67" s="13">
        <f>F67*G67</f>
        <v>27617.687000000002</v>
      </c>
      <c r="J67" s="25"/>
      <c r="L67" s="21"/>
      <c r="M67" s="22"/>
      <c r="N67" s="23"/>
    </row>
    <row r="68" spans="1:14" ht="18.75" hidden="1" customHeight="1">
      <c r="A68" s="31">
        <v>26</v>
      </c>
      <c r="B68" s="15" t="s">
        <v>50</v>
      </c>
      <c r="C68" s="17" t="s">
        <v>112</v>
      </c>
      <c r="D68" s="15"/>
      <c r="E68" s="93">
        <v>13018</v>
      </c>
      <c r="F68" s="13">
        <f>SUM(E68/1000)</f>
        <v>13.018000000000001</v>
      </c>
      <c r="G68" s="13">
        <v>165.21</v>
      </c>
      <c r="H68" s="101">
        <f t="shared" si="13"/>
        <v>2.1507037800000002</v>
      </c>
      <c r="I68" s="13">
        <f t="shared" ref="I68:I72" si="14">F68*G68</f>
        <v>2150.7037800000003</v>
      </c>
      <c r="J68" s="25"/>
      <c r="L68" s="21"/>
      <c r="M68" s="22"/>
      <c r="N68" s="23"/>
    </row>
    <row r="69" spans="1:14" ht="16.5" hidden="1" customHeight="1">
      <c r="A69" s="31">
        <v>27</v>
      </c>
      <c r="B69" s="15" t="s">
        <v>51</v>
      </c>
      <c r="C69" s="17" t="s">
        <v>76</v>
      </c>
      <c r="D69" s="15" t="s">
        <v>54</v>
      </c>
      <c r="E69" s="93">
        <v>1279</v>
      </c>
      <c r="F69" s="13">
        <f>SUM(E69/100)</f>
        <v>12.79</v>
      </c>
      <c r="G69" s="13">
        <v>2074.63</v>
      </c>
      <c r="H69" s="101">
        <f t="shared" si="13"/>
        <v>26.534517700000002</v>
      </c>
      <c r="I69" s="13">
        <f t="shared" si="14"/>
        <v>26534.5177</v>
      </c>
      <c r="J69" s="25"/>
      <c r="L69" s="21"/>
      <c r="M69" s="22"/>
      <c r="N69" s="23"/>
    </row>
    <row r="70" spans="1:14" ht="18" hidden="1" customHeight="1">
      <c r="A70" s="31">
        <v>28</v>
      </c>
      <c r="B70" s="102" t="s">
        <v>113</v>
      </c>
      <c r="C70" s="17" t="s">
        <v>32</v>
      </c>
      <c r="D70" s="15"/>
      <c r="E70" s="93">
        <v>12</v>
      </c>
      <c r="F70" s="13">
        <f>SUM(E70)</f>
        <v>12</v>
      </c>
      <c r="G70" s="13">
        <v>45.32</v>
      </c>
      <c r="H70" s="101">
        <f t="shared" si="13"/>
        <v>0.54383999999999999</v>
      </c>
      <c r="I70" s="13">
        <f t="shared" si="14"/>
        <v>543.84</v>
      </c>
      <c r="J70" s="25"/>
      <c r="L70" s="21"/>
      <c r="M70" s="22"/>
      <c r="N70" s="23"/>
    </row>
    <row r="71" spans="1:14" ht="18" hidden="1" customHeight="1">
      <c r="A71" s="31">
        <v>29</v>
      </c>
      <c r="B71" s="102" t="s">
        <v>114</v>
      </c>
      <c r="C71" s="17" t="s">
        <v>32</v>
      </c>
      <c r="D71" s="15"/>
      <c r="E71" s="93">
        <v>12</v>
      </c>
      <c r="F71" s="13">
        <f>SUM(E71)</f>
        <v>12</v>
      </c>
      <c r="G71" s="13">
        <v>42.28</v>
      </c>
      <c r="H71" s="101">
        <f t="shared" si="13"/>
        <v>0.50736000000000003</v>
      </c>
      <c r="I71" s="13">
        <f t="shared" si="14"/>
        <v>507.36</v>
      </c>
      <c r="J71" s="25"/>
      <c r="L71" s="21"/>
      <c r="M71" s="22"/>
      <c r="N71" s="23"/>
    </row>
    <row r="72" spans="1:14" ht="18" hidden="1" customHeight="1">
      <c r="A72" s="31">
        <v>22</v>
      </c>
      <c r="B72" s="15" t="s">
        <v>57</v>
      </c>
      <c r="C72" s="17" t="s">
        <v>58</v>
      </c>
      <c r="D72" s="15" t="s">
        <v>54</v>
      </c>
      <c r="E72" s="19">
        <v>1</v>
      </c>
      <c r="F72" s="94">
        <f>SUM(E72)</f>
        <v>1</v>
      </c>
      <c r="G72" s="13">
        <v>49.88</v>
      </c>
      <c r="H72" s="101">
        <f t="shared" si="13"/>
        <v>4.9880000000000001E-2</v>
      </c>
      <c r="I72" s="13">
        <f t="shared" si="14"/>
        <v>49.88</v>
      </c>
      <c r="J72" s="25"/>
      <c r="L72" s="21"/>
      <c r="M72" s="22"/>
      <c r="N72" s="23"/>
    </row>
    <row r="73" spans="1:14" ht="18" customHeight="1">
      <c r="A73" s="31"/>
      <c r="B73" s="144" t="s">
        <v>174</v>
      </c>
      <c r="C73" s="38"/>
      <c r="D73" s="121"/>
      <c r="E73" s="18"/>
      <c r="F73" s="68"/>
      <c r="G73" s="37"/>
      <c r="H73" s="137"/>
      <c r="I73" s="138"/>
      <c r="J73" s="25"/>
      <c r="L73" s="21"/>
      <c r="M73" s="22"/>
      <c r="N73" s="23"/>
    </row>
    <row r="74" spans="1:14" ht="33" customHeight="1">
      <c r="A74" s="31">
        <v>15</v>
      </c>
      <c r="B74" s="121" t="s">
        <v>175</v>
      </c>
      <c r="C74" s="41" t="s">
        <v>176</v>
      </c>
      <c r="D74" s="121"/>
      <c r="E74" s="18">
        <v>2581.1999999999998</v>
      </c>
      <c r="F74" s="37">
        <f>E74*12</f>
        <v>30974.399999999998</v>
      </c>
      <c r="G74" s="37">
        <v>2.6</v>
      </c>
      <c r="H74" s="137"/>
      <c r="I74" s="138">
        <f>G74*F74/12</f>
        <v>6711.12</v>
      </c>
      <c r="J74" s="25"/>
      <c r="L74" s="21"/>
      <c r="M74" s="22"/>
      <c r="N74" s="23"/>
    </row>
    <row r="75" spans="1:14" ht="16.5" customHeight="1">
      <c r="A75" s="118"/>
      <c r="B75" s="117" t="s">
        <v>115</v>
      </c>
      <c r="C75" s="117"/>
      <c r="D75" s="117"/>
      <c r="E75" s="117"/>
      <c r="F75" s="117"/>
      <c r="G75" s="117"/>
      <c r="H75" s="117"/>
      <c r="I75" s="19"/>
      <c r="J75" s="25"/>
      <c r="L75" s="21"/>
      <c r="M75" s="22"/>
      <c r="N75" s="23"/>
    </row>
    <row r="76" spans="1:14" ht="15.75" customHeight="1">
      <c r="A76" s="31">
        <v>16</v>
      </c>
      <c r="B76" s="91" t="s">
        <v>116</v>
      </c>
      <c r="C76" s="17"/>
      <c r="D76" s="15"/>
      <c r="E76" s="85"/>
      <c r="F76" s="13">
        <v>1</v>
      </c>
      <c r="G76" s="13">
        <v>3230.9</v>
      </c>
      <c r="H76" s="101">
        <f>G76*F76/1000</f>
        <v>3.2309000000000001</v>
      </c>
      <c r="I76" s="13">
        <f>G76</f>
        <v>3230.9</v>
      </c>
      <c r="J76" s="25"/>
      <c r="L76" s="21"/>
      <c r="M76" s="22"/>
      <c r="N76" s="23"/>
    </row>
    <row r="77" spans="1:14" ht="20.25" customHeight="1">
      <c r="A77" s="31"/>
      <c r="B77" s="49" t="s">
        <v>72</v>
      </c>
      <c r="C77" s="49"/>
      <c r="D77" s="49"/>
      <c r="E77" s="19"/>
      <c r="F77" s="19"/>
      <c r="G77" s="31"/>
      <c r="H77" s="31"/>
      <c r="I77" s="19"/>
      <c r="J77" s="25"/>
      <c r="L77" s="21"/>
      <c r="M77" s="22"/>
      <c r="N77" s="23"/>
    </row>
    <row r="78" spans="1:14" ht="19.5" hidden="1" customHeight="1">
      <c r="A78" s="31">
        <v>23</v>
      </c>
      <c r="B78" s="15" t="s">
        <v>73</v>
      </c>
      <c r="C78" s="17" t="s">
        <v>74</v>
      </c>
      <c r="D78" s="15" t="s">
        <v>65</v>
      </c>
      <c r="E78" s="19">
        <v>5</v>
      </c>
      <c r="F78" s="13">
        <v>0.5</v>
      </c>
      <c r="G78" s="13">
        <v>501.62</v>
      </c>
      <c r="H78" s="101">
        <f t="shared" ref="H78:H80" si="15">SUM(F78*G78/1000)</f>
        <v>0.25080999999999998</v>
      </c>
      <c r="I78" s="13">
        <f>G78*0.2</f>
        <v>100.32400000000001</v>
      </c>
      <c r="J78" s="25"/>
      <c r="L78" s="21"/>
      <c r="M78" s="22"/>
      <c r="N78" s="23"/>
    </row>
    <row r="79" spans="1:14" ht="15.75" hidden="1" customHeight="1">
      <c r="A79" s="31"/>
      <c r="B79" s="15" t="s">
        <v>128</v>
      </c>
      <c r="C79" s="17" t="s">
        <v>85</v>
      </c>
      <c r="D79" s="15"/>
      <c r="E79" s="19">
        <v>1</v>
      </c>
      <c r="F79" s="84">
        <f>E79</f>
        <v>1</v>
      </c>
      <c r="G79" s="13">
        <v>852.99</v>
      </c>
      <c r="H79" s="101">
        <f t="shared" si="15"/>
        <v>0.85299000000000003</v>
      </c>
      <c r="I79" s="13">
        <v>0</v>
      </c>
      <c r="J79" s="25"/>
      <c r="L79" s="21"/>
      <c r="M79" s="22"/>
      <c r="N79" s="23"/>
    </row>
    <row r="80" spans="1:14" ht="20.25" hidden="1" customHeight="1">
      <c r="A80" s="31"/>
      <c r="B80" s="15" t="s">
        <v>129</v>
      </c>
      <c r="C80" s="17" t="s">
        <v>85</v>
      </c>
      <c r="D80" s="15"/>
      <c r="E80" s="19">
        <v>1</v>
      </c>
      <c r="F80" s="94">
        <f>SUM(E80)</f>
        <v>1</v>
      </c>
      <c r="G80" s="13">
        <v>358.51</v>
      </c>
      <c r="H80" s="101">
        <f t="shared" si="15"/>
        <v>0.35851</v>
      </c>
      <c r="I80" s="13">
        <v>0</v>
      </c>
      <c r="J80" s="25"/>
      <c r="L80" s="21"/>
      <c r="M80" s="22"/>
      <c r="N80" s="23"/>
    </row>
    <row r="81" spans="1:21" ht="20.25" customHeight="1">
      <c r="A81" s="31">
        <v>17</v>
      </c>
      <c r="B81" s="121" t="s">
        <v>194</v>
      </c>
      <c r="C81" s="38" t="s">
        <v>85</v>
      </c>
      <c r="D81" s="121" t="s">
        <v>164</v>
      </c>
      <c r="E81" s="18">
        <v>2</v>
      </c>
      <c r="F81" s="68">
        <f>E81*12</f>
        <v>24</v>
      </c>
      <c r="G81" s="37">
        <v>420</v>
      </c>
      <c r="H81" s="101"/>
      <c r="I81" s="13">
        <f>G81*2</f>
        <v>840</v>
      </c>
      <c r="J81" s="25"/>
      <c r="L81" s="21"/>
      <c r="M81" s="22"/>
      <c r="N81" s="23"/>
    </row>
    <row r="82" spans="1:21" ht="14.25" hidden="1" customHeight="1">
      <c r="A82" s="31"/>
      <c r="B82" s="50" t="s">
        <v>75</v>
      </c>
      <c r="C82" s="38"/>
      <c r="D82" s="31"/>
      <c r="E82" s="19"/>
      <c r="F82" s="19"/>
      <c r="G82" s="37" t="s">
        <v>117</v>
      </c>
      <c r="H82" s="37"/>
      <c r="I82" s="19"/>
      <c r="J82" s="25"/>
      <c r="L82" s="21"/>
      <c r="M82" s="22"/>
      <c r="N82" s="23"/>
    </row>
    <row r="83" spans="1:21" ht="18" hidden="1" customHeight="1">
      <c r="A83" s="31">
        <v>12</v>
      </c>
      <c r="B83" s="52" t="s">
        <v>118</v>
      </c>
      <c r="C83" s="17" t="s">
        <v>76</v>
      </c>
      <c r="D83" s="15"/>
      <c r="E83" s="19"/>
      <c r="F83" s="13">
        <v>0.3</v>
      </c>
      <c r="G83" s="13">
        <v>2759.44</v>
      </c>
      <c r="H83" s="101">
        <f t="shared" ref="H83" si="16">SUM(F83*G83/1000)</f>
        <v>0.82783200000000001</v>
      </c>
      <c r="I83" s="13">
        <v>0</v>
      </c>
      <c r="J83" s="25"/>
      <c r="L83" s="21"/>
      <c r="M83" s="22"/>
      <c r="N83" s="23"/>
    </row>
    <row r="84" spans="1:21" ht="15.75" customHeight="1">
      <c r="A84" s="205" t="s">
        <v>133</v>
      </c>
      <c r="B84" s="206"/>
      <c r="C84" s="206"/>
      <c r="D84" s="206"/>
      <c r="E84" s="206"/>
      <c r="F84" s="206"/>
      <c r="G84" s="206"/>
      <c r="H84" s="206"/>
      <c r="I84" s="207"/>
      <c r="J84" s="25"/>
      <c r="L84" s="21"/>
      <c r="M84" s="22"/>
      <c r="N84" s="23"/>
    </row>
    <row r="85" spans="1:21" ht="15.75" customHeight="1">
      <c r="A85" s="31">
        <v>18</v>
      </c>
      <c r="B85" s="121" t="s">
        <v>119</v>
      </c>
      <c r="C85" s="38" t="s">
        <v>55</v>
      </c>
      <c r="D85" s="169"/>
      <c r="E85" s="37">
        <v>2581.1999999999998</v>
      </c>
      <c r="F85" s="37">
        <f>SUM(E85*12)</f>
        <v>30974.399999999998</v>
      </c>
      <c r="G85" s="37">
        <v>3.5</v>
      </c>
      <c r="H85" s="164">
        <f>SUM(F85*G85/1000)</f>
        <v>108.4104</v>
      </c>
      <c r="I85" s="13">
        <f>F85/12*G85</f>
        <v>9034.1999999999989</v>
      </c>
      <c r="J85" s="25"/>
      <c r="L85" s="21"/>
    </row>
    <row r="86" spans="1:21" ht="31.5" customHeight="1">
      <c r="A86" s="31">
        <v>19</v>
      </c>
      <c r="B86" s="166" t="s">
        <v>195</v>
      </c>
      <c r="C86" s="159" t="s">
        <v>55</v>
      </c>
      <c r="D86" s="167"/>
      <c r="E86" s="168">
        <f>E85</f>
        <v>2581.1999999999998</v>
      </c>
      <c r="F86" s="161">
        <f>E86*12</f>
        <v>30974.399999999998</v>
      </c>
      <c r="G86" s="161">
        <v>3.2</v>
      </c>
      <c r="H86" s="101">
        <f>F86*G86/1000</f>
        <v>99.118080000000006</v>
      </c>
      <c r="I86" s="13">
        <f>F86/12*G86</f>
        <v>8259.84</v>
      </c>
    </row>
    <row r="87" spans="1:21" ht="15.75" customHeight="1">
      <c r="A87" s="118"/>
      <c r="B87" s="39" t="s">
        <v>79</v>
      </c>
      <c r="C87" s="41"/>
      <c r="D87" s="16"/>
      <c r="E87" s="16"/>
      <c r="F87" s="16"/>
      <c r="G87" s="19"/>
      <c r="H87" s="19"/>
      <c r="I87" s="33">
        <f>I86+I85+I81+I76+I74+I61+I51+I44+I41+I39+I38+I37+I27+I21+I20+I18+I17+I16+I55</f>
        <v>53313.13473616667</v>
      </c>
    </row>
    <row r="88" spans="1:21" ht="15.75" customHeight="1">
      <c r="A88" s="208" t="s">
        <v>60</v>
      </c>
      <c r="B88" s="209"/>
      <c r="C88" s="209"/>
      <c r="D88" s="209"/>
      <c r="E88" s="209"/>
      <c r="F88" s="209"/>
      <c r="G88" s="209"/>
      <c r="H88" s="209"/>
      <c r="I88" s="210"/>
    </row>
    <row r="89" spans="1:21" ht="15.75" customHeight="1">
      <c r="A89" s="31"/>
      <c r="B89" s="46" t="s">
        <v>52</v>
      </c>
      <c r="C89" s="42"/>
      <c r="D89" s="54"/>
      <c r="E89" s="42">
        <v>1</v>
      </c>
      <c r="F89" s="42"/>
      <c r="G89" s="42"/>
      <c r="H89" s="42"/>
      <c r="I89" s="33">
        <v>0</v>
      </c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</row>
    <row r="90" spans="1:21" ht="15.75" customHeight="1">
      <c r="A90" s="31"/>
      <c r="B90" s="52" t="s">
        <v>78</v>
      </c>
      <c r="C90" s="16"/>
      <c r="D90" s="16"/>
      <c r="E90" s="43"/>
      <c r="F90" s="43"/>
      <c r="G90" s="44"/>
      <c r="H90" s="44"/>
      <c r="I90" s="18">
        <v>0</v>
      </c>
    </row>
    <row r="91" spans="1:21" ht="15.75" customHeight="1">
      <c r="A91" s="55"/>
      <c r="B91" s="47" t="s">
        <v>136</v>
      </c>
      <c r="C91" s="36"/>
      <c r="D91" s="36"/>
      <c r="E91" s="36"/>
      <c r="F91" s="36"/>
      <c r="G91" s="36"/>
      <c r="H91" s="36"/>
      <c r="I91" s="45">
        <f>I87+I89</f>
        <v>53313.13473616667</v>
      </c>
    </row>
    <row r="92" spans="1:21" ht="15.75" customHeight="1">
      <c r="A92" s="204" t="s">
        <v>266</v>
      </c>
      <c r="B92" s="204"/>
      <c r="C92" s="204"/>
      <c r="D92" s="204"/>
      <c r="E92" s="204"/>
      <c r="F92" s="204"/>
      <c r="G92" s="204"/>
      <c r="H92" s="204"/>
      <c r="I92" s="204"/>
    </row>
    <row r="93" spans="1:21" ht="15.75" customHeight="1">
      <c r="A93" s="77"/>
      <c r="B93" s="185" t="s">
        <v>267</v>
      </c>
      <c r="C93" s="185"/>
      <c r="D93" s="185"/>
      <c r="E93" s="185"/>
      <c r="F93" s="185"/>
      <c r="G93" s="185"/>
      <c r="H93" s="89"/>
      <c r="I93" s="3"/>
    </row>
    <row r="94" spans="1:21" ht="15.75" customHeight="1">
      <c r="A94" s="113"/>
      <c r="B94" s="186" t="s">
        <v>6</v>
      </c>
      <c r="C94" s="186"/>
      <c r="D94" s="186"/>
      <c r="E94" s="186"/>
      <c r="F94" s="186"/>
      <c r="G94" s="186"/>
      <c r="H94" s="26"/>
      <c r="I94" s="5"/>
    </row>
    <row r="95" spans="1:21" ht="15.75" customHeight="1">
      <c r="A95" s="10"/>
      <c r="B95" s="10"/>
      <c r="C95" s="10"/>
      <c r="D95" s="10"/>
      <c r="E95" s="10"/>
      <c r="F95" s="10"/>
      <c r="G95" s="10"/>
      <c r="H95" s="10"/>
      <c r="I95" s="10"/>
    </row>
    <row r="96" spans="1:21" ht="15.75" customHeight="1">
      <c r="A96" s="187" t="s">
        <v>7</v>
      </c>
      <c r="B96" s="187"/>
      <c r="C96" s="187"/>
      <c r="D96" s="187"/>
      <c r="E96" s="187"/>
      <c r="F96" s="187"/>
      <c r="G96" s="187"/>
      <c r="H96" s="187"/>
      <c r="I96" s="187"/>
    </row>
    <row r="97" spans="1:9" ht="15.75" customHeight="1">
      <c r="A97" s="187" t="s">
        <v>8</v>
      </c>
      <c r="B97" s="187"/>
      <c r="C97" s="187"/>
      <c r="D97" s="187"/>
      <c r="E97" s="187"/>
      <c r="F97" s="187"/>
      <c r="G97" s="187"/>
      <c r="H97" s="187"/>
      <c r="I97" s="187"/>
    </row>
    <row r="98" spans="1:9" ht="15.75" customHeight="1">
      <c r="A98" s="190" t="s">
        <v>61</v>
      </c>
      <c r="B98" s="190"/>
      <c r="C98" s="190"/>
      <c r="D98" s="190"/>
      <c r="E98" s="190"/>
      <c r="F98" s="190"/>
      <c r="G98" s="190"/>
      <c r="H98" s="190"/>
      <c r="I98" s="190"/>
    </row>
    <row r="99" spans="1:9" ht="15.75" customHeight="1">
      <c r="A99" s="11"/>
    </row>
    <row r="100" spans="1:9" ht="15.75" customHeight="1">
      <c r="A100" s="191" t="s">
        <v>9</v>
      </c>
      <c r="B100" s="191"/>
      <c r="C100" s="191"/>
      <c r="D100" s="191"/>
      <c r="E100" s="191"/>
      <c r="F100" s="191"/>
      <c r="G100" s="191"/>
      <c r="H100" s="191"/>
      <c r="I100" s="191"/>
    </row>
    <row r="101" spans="1:9" ht="15.75" customHeight="1">
      <c r="A101" s="4"/>
    </row>
    <row r="102" spans="1:9" ht="15.75" customHeight="1">
      <c r="B102" s="114" t="s">
        <v>10</v>
      </c>
      <c r="C102" s="192" t="s">
        <v>250</v>
      </c>
      <c r="D102" s="192"/>
      <c r="E102" s="192"/>
      <c r="F102" s="87"/>
      <c r="I102" s="115"/>
    </row>
    <row r="103" spans="1:9" ht="15.75" customHeight="1">
      <c r="A103" s="113"/>
      <c r="C103" s="186" t="s">
        <v>11</v>
      </c>
      <c r="D103" s="186"/>
      <c r="E103" s="186"/>
      <c r="F103" s="26"/>
      <c r="I103" s="112" t="s">
        <v>12</v>
      </c>
    </row>
    <row r="104" spans="1:9" ht="15.75" customHeight="1">
      <c r="A104" s="27"/>
      <c r="C104" s="12"/>
      <c r="D104" s="12"/>
      <c r="G104" s="12"/>
      <c r="H104" s="12"/>
    </row>
    <row r="105" spans="1:9" ht="15.75" customHeight="1">
      <c r="B105" s="114" t="s">
        <v>13</v>
      </c>
      <c r="C105" s="193"/>
      <c r="D105" s="193"/>
      <c r="E105" s="193"/>
      <c r="F105" s="88"/>
      <c r="I105" s="115"/>
    </row>
    <row r="106" spans="1:9" ht="15.75" customHeight="1">
      <c r="A106" s="113"/>
      <c r="C106" s="189" t="s">
        <v>11</v>
      </c>
      <c r="D106" s="189"/>
      <c r="E106" s="189"/>
      <c r="F106" s="113"/>
      <c r="I106" s="112" t="s">
        <v>12</v>
      </c>
    </row>
    <row r="107" spans="1:9" ht="15.75" customHeight="1">
      <c r="A107" s="4" t="s">
        <v>14</v>
      </c>
    </row>
    <row r="108" spans="1:9">
      <c r="A108" s="188" t="s">
        <v>15</v>
      </c>
      <c r="B108" s="188"/>
      <c r="C108" s="188"/>
      <c r="D108" s="188"/>
      <c r="E108" s="188"/>
      <c r="F108" s="188"/>
      <c r="G108" s="188"/>
      <c r="H108" s="188"/>
      <c r="I108" s="188"/>
    </row>
    <row r="109" spans="1:9" ht="45" customHeight="1">
      <c r="A109" s="184" t="s">
        <v>16</v>
      </c>
      <c r="B109" s="184"/>
      <c r="C109" s="184"/>
      <c r="D109" s="184"/>
      <c r="E109" s="184"/>
      <c r="F109" s="184"/>
      <c r="G109" s="184"/>
      <c r="H109" s="184"/>
      <c r="I109" s="184"/>
    </row>
    <row r="110" spans="1:9" ht="30" customHeight="1">
      <c r="A110" s="184" t="s">
        <v>17</v>
      </c>
      <c r="B110" s="184"/>
      <c r="C110" s="184"/>
      <c r="D110" s="184"/>
      <c r="E110" s="184"/>
      <c r="F110" s="184"/>
      <c r="G110" s="184"/>
      <c r="H110" s="184"/>
      <c r="I110" s="184"/>
    </row>
    <row r="111" spans="1:9" ht="30" customHeight="1">
      <c r="A111" s="184" t="s">
        <v>21</v>
      </c>
      <c r="B111" s="184"/>
      <c r="C111" s="184"/>
      <c r="D111" s="184"/>
      <c r="E111" s="184"/>
      <c r="F111" s="184"/>
      <c r="G111" s="184"/>
      <c r="H111" s="184"/>
      <c r="I111" s="184"/>
    </row>
    <row r="112" spans="1:9" ht="15" customHeight="1">
      <c r="A112" s="184" t="s">
        <v>20</v>
      </c>
      <c r="B112" s="184"/>
      <c r="C112" s="184"/>
      <c r="D112" s="184"/>
      <c r="E112" s="184"/>
      <c r="F112" s="184"/>
      <c r="G112" s="184"/>
      <c r="H112" s="184"/>
      <c r="I112" s="184"/>
    </row>
  </sheetData>
  <autoFilter ref="I12:I87"/>
  <mergeCells count="28">
    <mergeCell ref="A14:I14"/>
    <mergeCell ref="A3:I3"/>
    <mergeCell ref="A4:I4"/>
    <mergeCell ref="A5:I5"/>
    <mergeCell ref="A8:I8"/>
    <mergeCell ref="A10:I10"/>
    <mergeCell ref="A98:I98"/>
    <mergeCell ref="A15:I15"/>
    <mergeCell ref="A29:I29"/>
    <mergeCell ref="A45:I45"/>
    <mergeCell ref="A56:I56"/>
    <mergeCell ref="A84:I84"/>
    <mergeCell ref="A88:I88"/>
    <mergeCell ref="A92:I92"/>
    <mergeCell ref="B93:G93"/>
    <mergeCell ref="B94:G94"/>
    <mergeCell ref="A96:I96"/>
    <mergeCell ref="A97:I97"/>
    <mergeCell ref="A109:I109"/>
    <mergeCell ref="A110:I110"/>
    <mergeCell ref="A111:I111"/>
    <mergeCell ref="A112:I112"/>
    <mergeCell ref="A100:I100"/>
    <mergeCell ref="C102:E102"/>
    <mergeCell ref="C103:E103"/>
    <mergeCell ref="C105:E105"/>
    <mergeCell ref="C106:E106"/>
    <mergeCell ref="A108:I108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4"/>
  <sheetViews>
    <sheetView topLeftCell="A58" workbookViewId="0">
      <selection activeCell="K93" sqref="K9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155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94" t="s">
        <v>137</v>
      </c>
      <c r="B3" s="194"/>
      <c r="C3" s="194"/>
      <c r="D3" s="194"/>
      <c r="E3" s="194"/>
      <c r="F3" s="194"/>
      <c r="G3" s="194"/>
      <c r="H3" s="194"/>
      <c r="I3" s="194"/>
      <c r="J3" s="3"/>
      <c r="K3" s="3"/>
      <c r="L3" s="3"/>
    </row>
    <row r="4" spans="1:13" ht="31.5" customHeight="1">
      <c r="A4" s="195" t="s">
        <v>120</v>
      </c>
      <c r="B4" s="195"/>
      <c r="C4" s="195"/>
      <c r="D4" s="195"/>
      <c r="E4" s="195"/>
      <c r="F4" s="195"/>
      <c r="G4" s="195"/>
      <c r="H4" s="195"/>
      <c r="I4" s="195"/>
    </row>
    <row r="5" spans="1:13" ht="15.75" customHeight="1">
      <c r="A5" s="194" t="s">
        <v>158</v>
      </c>
      <c r="B5" s="198"/>
      <c r="C5" s="198"/>
      <c r="D5" s="198"/>
      <c r="E5" s="198"/>
      <c r="F5" s="198"/>
      <c r="G5" s="198"/>
      <c r="H5" s="198"/>
      <c r="I5" s="198"/>
      <c r="J5" s="2"/>
      <c r="K5" s="2"/>
      <c r="L5" s="2"/>
      <c r="M5" s="2"/>
    </row>
    <row r="6" spans="1:13" ht="15.75" customHeight="1">
      <c r="A6" s="2"/>
      <c r="B6" s="74"/>
      <c r="C6" s="74"/>
      <c r="D6" s="74"/>
      <c r="E6" s="74"/>
      <c r="F6" s="74"/>
      <c r="G6" s="74"/>
      <c r="H6" s="74"/>
      <c r="I6" s="32">
        <v>43524</v>
      </c>
      <c r="J6" s="2"/>
      <c r="K6" s="2"/>
      <c r="L6" s="2"/>
      <c r="M6" s="2"/>
    </row>
    <row r="7" spans="1:13" ht="15.75" customHeight="1">
      <c r="B7" s="73"/>
      <c r="C7" s="73"/>
      <c r="D7" s="73"/>
      <c r="E7" s="3"/>
      <c r="F7" s="3"/>
      <c r="G7" s="3"/>
      <c r="H7" s="3"/>
      <c r="J7" s="3"/>
      <c r="K7" s="3"/>
      <c r="L7" s="3"/>
      <c r="M7" s="3"/>
    </row>
    <row r="8" spans="1:13" s="64" customFormat="1" ht="78.75" customHeight="1">
      <c r="A8" s="196" t="s">
        <v>156</v>
      </c>
      <c r="B8" s="196"/>
      <c r="C8" s="196"/>
      <c r="D8" s="196"/>
      <c r="E8" s="196"/>
      <c r="F8" s="196"/>
      <c r="G8" s="196"/>
      <c r="H8" s="196"/>
      <c r="I8" s="196"/>
      <c r="J8" s="76"/>
      <c r="K8" s="76"/>
      <c r="L8" s="76"/>
      <c r="M8" s="76"/>
    </row>
    <row r="9" spans="1:13" ht="15.75">
      <c r="A9" s="4"/>
      <c r="J9" s="2"/>
      <c r="K9" s="2"/>
      <c r="L9" s="2"/>
      <c r="M9" s="2"/>
    </row>
    <row r="10" spans="1:13" ht="47.25" customHeight="1">
      <c r="A10" s="197" t="s">
        <v>150</v>
      </c>
      <c r="B10" s="197"/>
      <c r="C10" s="197"/>
      <c r="D10" s="197"/>
      <c r="E10" s="197"/>
      <c r="F10" s="197"/>
      <c r="G10" s="197"/>
      <c r="H10" s="197"/>
      <c r="I10" s="19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 ht="15.7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9" t="s">
        <v>59</v>
      </c>
      <c r="B14" s="199"/>
      <c r="C14" s="199"/>
      <c r="D14" s="199"/>
      <c r="E14" s="199"/>
      <c r="F14" s="199"/>
      <c r="G14" s="199"/>
      <c r="H14" s="199"/>
      <c r="I14" s="199"/>
      <c r="J14" s="8"/>
      <c r="K14" s="8"/>
      <c r="L14" s="8"/>
      <c r="M14" s="8"/>
    </row>
    <row r="15" spans="1:13" ht="15.75" customHeight="1">
      <c r="A15" s="200" t="s">
        <v>4</v>
      </c>
      <c r="B15" s="200"/>
      <c r="C15" s="200"/>
      <c r="D15" s="200"/>
      <c r="E15" s="200"/>
      <c r="F15" s="200"/>
      <c r="G15" s="200"/>
      <c r="H15" s="200"/>
      <c r="I15" s="200"/>
      <c r="J15" s="8"/>
      <c r="K15" s="8"/>
      <c r="L15" s="8"/>
      <c r="M15" s="8"/>
    </row>
    <row r="16" spans="1:13" ht="15.75" customHeight="1">
      <c r="A16" s="31">
        <v>1</v>
      </c>
      <c r="B16" s="91" t="s">
        <v>83</v>
      </c>
      <c r="C16" s="92" t="s">
        <v>88</v>
      </c>
      <c r="D16" s="91" t="s">
        <v>161</v>
      </c>
      <c r="E16" s="93">
        <v>47.52</v>
      </c>
      <c r="F16" s="94">
        <f>SUM(E16*156/100)</f>
        <v>74.131200000000007</v>
      </c>
      <c r="G16" s="94">
        <v>175.38</v>
      </c>
      <c r="H16" s="95">
        <f t="shared" ref="H16:H27" si="0">SUM(F16*G16/1000)</f>
        <v>13.001129856000002</v>
      </c>
      <c r="I16" s="13">
        <f>F16/12*G16</f>
        <v>1083.427488</v>
      </c>
      <c r="J16" s="8"/>
      <c r="K16" s="8"/>
      <c r="L16" s="8"/>
      <c r="M16" s="8"/>
    </row>
    <row r="17" spans="1:13" ht="15.75" customHeight="1">
      <c r="A17" s="31">
        <v>2</v>
      </c>
      <c r="B17" s="91" t="s">
        <v>97</v>
      </c>
      <c r="C17" s="92" t="s">
        <v>88</v>
      </c>
      <c r="D17" s="91" t="s">
        <v>162</v>
      </c>
      <c r="E17" s="93">
        <v>190.08</v>
      </c>
      <c r="F17" s="94">
        <f>SUM(E17*104/100)</f>
        <v>197.6832</v>
      </c>
      <c r="G17" s="94">
        <v>175.38</v>
      </c>
      <c r="H17" s="95">
        <f t="shared" si="0"/>
        <v>34.669679616000003</v>
      </c>
      <c r="I17" s="13">
        <f>F17/12*G17</f>
        <v>2889.139968</v>
      </c>
      <c r="J17" s="8"/>
      <c r="K17" s="8"/>
      <c r="L17" s="8"/>
      <c r="M17" s="8"/>
    </row>
    <row r="18" spans="1:13" ht="15.75" customHeight="1">
      <c r="A18" s="31">
        <v>3</v>
      </c>
      <c r="B18" s="91" t="s">
        <v>98</v>
      </c>
      <c r="C18" s="92" t="s">
        <v>88</v>
      </c>
      <c r="D18" s="91" t="s">
        <v>163</v>
      </c>
      <c r="E18" s="93">
        <f>SUM(E16+E17)</f>
        <v>237.60000000000002</v>
      </c>
      <c r="F18" s="94">
        <f>SUM(E18*24/100)</f>
        <v>57.024000000000008</v>
      </c>
      <c r="G18" s="94">
        <v>504.5</v>
      </c>
      <c r="H18" s="95">
        <f t="shared" si="0"/>
        <v>28.768608000000004</v>
      </c>
      <c r="I18" s="13">
        <f>F18/12*G18</f>
        <v>2397.3840000000005</v>
      </c>
      <c r="J18" s="8"/>
      <c r="K18" s="8"/>
      <c r="L18" s="8"/>
      <c r="M18" s="8"/>
    </row>
    <row r="19" spans="1:13" ht="15.75" hidden="1" customHeight="1">
      <c r="A19" s="31">
        <v>4</v>
      </c>
      <c r="B19" s="91" t="s">
        <v>121</v>
      </c>
      <c r="C19" s="92" t="s">
        <v>122</v>
      </c>
      <c r="D19" s="91" t="s">
        <v>123</v>
      </c>
      <c r="E19" s="93">
        <v>18.48</v>
      </c>
      <c r="F19" s="94">
        <f>SUM(E19/10)</f>
        <v>1.8480000000000001</v>
      </c>
      <c r="G19" s="94">
        <v>170.16</v>
      </c>
      <c r="H19" s="95">
        <f t="shared" si="0"/>
        <v>0.31445568000000002</v>
      </c>
      <c r="I19" s="13">
        <v>0</v>
      </c>
      <c r="J19" s="8"/>
      <c r="K19" s="8"/>
      <c r="L19" s="8"/>
      <c r="M19" s="8"/>
    </row>
    <row r="20" spans="1:13" ht="15.75" customHeight="1">
      <c r="A20" s="31">
        <v>4</v>
      </c>
      <c r="B20" s="91" t="s">
        <v>87</v>
      </c>
      <c r="C20" s="92" t="s">
        <v>88</v>
      </c>
      <c r="D20" s="91" t="s">
        <v>164</v>
      </c>
      <c r="E20" s="93">
        <v>10.5</v>
      </c>
      <c r="F20" s="94">
        <f>SUM(E20*12/100)</f>
        <v>1.26</v>
      </c>
      <c r="G20" s="94">
        <v>217.88</v>
      </c>
      <c r="H20" s="95">
        <f t="shared" si="0"/>
        <v>0.27452880000000002</v>
      </c>
      <c r="I20" s="13">
        <f>F20/12*G20</f>
        <v>22.877399999999998</v>
      </c>
      <c r="J20" s="8"/>
      <c r="K20" s="8"/>
      <c r="L20" s="8"/>
      <c r="M20" s="8"/>
    </row>
    <row r="21" spans="1:13" ht="15.75" customHeight="1">
      <c r="A21" s="31">
        <v>5</v>
      </c>
      <c r="B21" s="91" t="s">
        <v>95</v>
      </c>
      <c r="C21" s="92" t="s">
        <v>88</v>
      </c>
      <c r="D21" s="91" t="s">
        <v>165</v>
      </c>
      <c r="E21" s="93">
        <v>2.7</v>
      </c>
      <c r="F21" s="94">
        <f>SUM(E21*12/100)</f>
        <v>0.32400000000000007</v>
      </c>
      <c r="G21" s="94">
        <v>203.5</v>
      </c>
      <c r="H21" s="95">
        <f t="shared" si="0"/>
        <v>6.5934000000000006E-2</v>
      </c>
      <c r="I21" s="13">
        <f>F21/12*G21</f>
        <v>5.4945000000000013</v>
      </c>
      <c r="J21" s="8"/>
      <c r="K21" s="8"/>
      <c r="L21" s="8"/>
      <c r="M21" s="8"/>
    </row>
    <row r="22" spans="1:13" ht="15.75" hidden="1" customHeight="1">
      <c r="A22" s="31">
        <v>7</v>
      </c>
      <c r="B22" s="91" t="s">
        <v>89</v>
      </c>
      <c r="C22" s="92" t="s">
        <v>53</v>
      </c>
      <c r="D22" s="91" t="s">
        <v>123</v>
      </c>
      <c r="E22" s="93">
        <v>267.75</v>
      </c>
      <c r="F22" s="94">
        <f>SUM(E22/100)</f>
        <v>2.6775000000000002</v>
      </c>
      <c r="G22" s="94">
        <v>269.26</v>
      </c>
      <c r="H22" s="95">
        <f t="shared" si="0"/>
        <v>0.72094365000000005</v>
      </c>
      <c r="I22" s="13">
        <v>0</v>
      </c>
      <c r="J22" s="8"/>
      <c r="K22" s="8"/>
      <c r="L22" s="8"/>
      <c r="M22" s="8"/>
    </row>
    <row r="23" spans="1:13" ht="15.75" hidden="1" customHeight="1">
      <c r="A23" s="31">
        <v>8</v>
      </c>
      <c r="B23" s="91" t="s">
        <v>90</v>
      </c>
      <c r="C23" s="92" t="s">
        <v>53</v>
      </c>
      <c r="D23" s="91" t="s">
        <v>123</v>
      </c>
      <c r="E23" s="96">
        <v>21.8</v>
      </c>
      <c r="F23" s="94">
        <f>SUM(E23/100)</f>
        <v>0.218</v>
      </c>
      <c r="G23" s="94">
        <v>44.29</v>
      </c>
      <c r="H23" s="95">
        <f t="shared" si="0"/>
        <v>9.6552199999999991E-3</v>
      </c>
      <c r="I23" s="13">
        <v>0</v>
      </c>
      <c r="J23" s="8"/>
      <c r="K23" s="8"/>
      <c r="L23" s="8"/>
      <c r="M23" s="8"/>
    </row>
    <row r="24" spans="1:13" ht="15.75" hidden="1" customHeight="1">
      <c r="A24" s="31">
        <v>9</v>
      </c>
      <c r="B24" s="91" t="s">
        <v>91</v>
      </c>
      <c r="C24" s="92" t="s">
        <v>53</v>
      </c>
      <c r="D24" s="91" t="s">
        <v>124</v>
      </c>
      <c r="E24" s="93">
        <v>15</v>
      </c>
      <c r="F24" s="94">
        <f>E24/100</f>
        <v>0.15</v>
      </c>
      <c r="G24" s="94">
        <v>389.72</v>
      </c>
      <c r="H24" s="95">
        <f t="shared" si="0"/>
        <v>5.8457999999999996E-2</v>
      </c>
      <c r="I24" s="13">
        <v>0</v>
      </c>
      <c r="J24" s="8"/>
      <c r="K24" s="8"/>
      <c r="L24" s="8"/>
      <c r="M24" s="8"/>
    </row>
    <row r="25" spans="1:13" ht="15.75" hidden="1" customHeight="1">
      <c r="A25" s="31">
        <v>10</v>
      </c>
      <c r="B25" s="91" t="s">
        <v>96</v>
      </c>
      <c r="C25" s="92" t="s">
        <v>88</v>
      </c>
      <c r="D25" s="91" t="s">
        <v>54</v>
      </c>
      <c r="E25" s="93">
        <v>14.25</v>
      </c>
      <c r="F25" s="94">
        <v>0.1</v>
      </c>
      <c r="G25" s="94">
        <v>216.12</v>
      </c>
      <c r="H25" s="95">
        <v>3.1E-2</v>
      </c>
      <c r="I25" s="13">
        <v>0</v>
      </c>
      <c r="J25" s="8"/>
      <c r="K25" s="8"/>
      <c r="L25" s="8"/>
      <c r="M25" s="8"/>
    </row>
    <row r="26" spans="1:13" ht="15.75" hidden="1" customHeight="1">
      <c r="A26" s="31">
        <v>11</v>
      </c>
      <c r="B26" s="91" t="s">
        <v>92</v>
      </c>
      <c r="C26" s="92" t="s">
        <v>53</v>
      </c>
      <c r="D26" s="91" t="s">
        <v>123</v>
      </c>
      <c r="E26" s="93">
        <v>6.38</v>
      </c>
      <c r="F26" s="94">
        <f>SUM(E26/100)</f>
        <v>6.3799999999999996E-2</v>
      </c>
      <c r="G26" s="94">
        <v>520.79999999999995</v>
      </c>
      <c r="H26" s="95">
        <f t="shared" si="0"/>
        <v>3.3227039999999992E-2</v>
      </c>
      <c r="I26" s="13">
        <v>0</v>
      </c>
      <c r="J26" s="8"/>
      <c r="K26" s="8"/>
      <c r="L26" s="8"/>
      <c r="M26" s="8"/>
    </row>
    <row r="27" spans="1:13" ht="15.75" customHeight="1">
      <c r="A27" s="31">
        <v>6</v>
      </c>
      <c r="B27" s="34" t="s">
        <v>160</v>
      </c>
      <c r="C27" s="40" t="s">
        <v>25</v>
      </c>
      <c r="D27" s="34" t="s">
        <v>166</v>
      </c>
      <c r="E27" s="133">
        <v>4.83</v>
      </c>
      <c r="F27" s="124">
        <f>SUM(E27*258)</f>
        <v>1246.1400000000001</v>
      </c>
      <c r="G27" s="124">
        <v>10.39</v>
      </c>
      <c r="H27" s="95">
        <f t="shared" si="0"/>
        <v>12.947394600000001</v>
      </c>
      <c r="I27" s="13">
        <f>F27/12*G27</f>
        <v>1078.9495500000003</v>
      </c>
      <c r="J27" s="8"/>
      <c r="K27" s="8"/>
      <c r="L27" s="8"/>
      <c r="M27" s="8"/>
    </row>
    <row r="28" spans="1:13" ht="15.75" customHeight="1">
      <c r="A28" s="200" t="s">
        <v>82</v>
      </c>
      <c r="B28" s="200"/>
      <c r="C28" s="200"/>
      <c r="D28" s="200"/>
      <c r="E28" s="200"/>
      <c r="F28" s="200"/>
      <c r="G28" s="200"/>
      <c r="H28" s="200"/>
      <c r="I28" s="200"/>
      <c r="J28" s="24"/>
      <c r="K28" s="8"/>
      <c r="L28" s="8"/>
      <c r="M28" s="8"/>
    </row>
    <row r="29" spans="1:13" ht="15.75" hidden="1" customHeight="1">
      <c r="A29" s="41"/>
      <c r="B29" s="51" t="s">
        <v>28</v>
      </c>
      <c r="C29" s="51"/>
      <c r="D29" s="51"/>
      <c r="E29" s="51"/>
      <c r="F29" s="51"/>
      <c r="G29" s="51"/>
      <c r="H29" s="51"/>
      <c r="I29" s="19"/>
      <c r="J29" s="24"/>
      <c r="K29" s="8"/>
      <c r="L29" s="8"/>
      <c r="M29" s="8"/>
    </row>
    <row r="30" spans="1:13" ht="15.75" hidden="1" customHeight="1">
      <c r="A30" s="41">
        <v>2</v>
      </c>
      <c r="B30" s="91" t="s">
        <v>99</v>
      </c>
      <c r="C30" s="92" t="s">
        <v>100</v>
      </c>
      <c r="D30" s="91" t="s">
        <v>101</v>
      </c>
      <c r="E30" s="94">
        <v>1167.4000000000001</v>
      </c>
      <c r="F30" s="94">
        <f>SUM(E30*52/1000)</f>
        <v>60.704800000000006</v>
      </c>
      <c r="G30" s="94">
        <v>155.88999999999999</v>
      </c>
      <c r="H30" s="95">
        <f t="shared" ref="H30:H32" si="1">SUM(F30*G30/1000)</f>
        <v>9.4632712720000001</v>
      </c>
      <c r="I30" s="13">
        <v>0</v>
      </c>
      <c r="J30" s="24"/>
      <c r="K30" s="8"/>
      <c r="L30" s="8"/>
      <c r="M30" s="8"/>
    </row>
    <row r="31" spans="1:13" ht="31.5" hidden="1" customHeight="1">
      <c r="A31" s="41">
        <v>3</v>
      </c>
      <c r="B31" s="91" t="s">
        <v>134</v>
      </c>
      <c r="C31" s="92" t="s">
        <v>100</v>
      </c>
      <c r="D31" s="91" t="s">
        <v>102</v>
      </c>
      <c r="E31" s="94">
        <v>540.04999999999995</v>
      </c>
      <c r="F31" s="94">
        <f>SUM(E31*78/1000)</f>
        <v>42.123899999999992</v>
      </c>
      <c r="G31" s="94">
        <v>258.63</v>
      </c>
      <c r="H31" s="95">
        <f t="shared" si="1"/>
        <v>10.894504256999998</v>
      </c>
      <c r="I31" s="13">
        <v>0</v>
      </c>
      <c r="J31" s="24"/>
      <c r="K31" s="8"/>
      <c r="L31" s="8"/>
      <c r="M31" s="8"/>
    </row>
    <row r="32" spans="1:13" ht="15.75" hidden="1" customHeight="1">
      <c r="A32" s="41">
        <v>4</v>
      </c>
      <c r="B32" s="91" t="s">
        <v>27</v>
      </c>
      <c r="C32" s="92" t="s">
        <v>100</v>
      </c>
      <c r="D32" s="91" t="s">
        <v>54</v>
      </c>
      <c r="E32" s="94">
        <v>1167.4000000000001</v>
      </c>
      <c r="F32" s="94">
        <f>SUM(E32/1000)</f>
        <v>1.1674</v>
      </c>
      <c r="G32" s="94">
        <v>3020.33</v>
      </c>
      <c r="H32" s="95">
        <f t="shared" si="1"/>
        <v>3.5259332420000002</v>
      </c>
      <c r="I32" s="13">
        <v>0</v>
      </c>
      <c r="J32" s="24"/>
      <c r="K32" s="8"/>
      <c r="L32" s="8"/>
      <c r="M32" s="8"/>
    </row>
    <row r="33" spans="1:13" ht="15.75" hidden="1" customHeight="1">
      <c r="A33" s="41">
        <v>5</v>
      </c>
      <c r="B33" s="91" t="s">
        <v>103</v>
      </c>
      <c r="C33" s="92" t="s">
        <v>30</v>
      </c>
      <c r="D33" s="91" t="s">
        <v>63</v>
      </c>
      <c r="E33" s="98">
        <v>0.33333333333333331</v>
      </c>
      <c r="F33" s="94">
        <f>155/3</f>
        <v>51.666666666666664</v>
      </c>
      <c r="G33" s="94">
        <v>56.69</v>
      </c>
      <c r="H33" s="95">
        <f>SUM(G33*155/3/1000)</f>
        <v>2.9289833333333331</v>
      </c>
      <c r="I33" s="13">
        <v>0</v>
      </c>
      <c r="J33" s="24"/>
      <c r="K33" s="8"/>
      <c r="L33" s="8"/>
      <c r="M33" s="8"/>
    </row>
    <row r="34" spans="1:13" ht="15.75" hidden="1" customHeight="1">
      <c r="A34" s="41">
        <v>4</v>
      </c>
      <c r="B34" s="91" t="s">
        <v>64</v>
      </c>
      <c r="C34" s="92" t="s">
        <v>32</v>
      </c>
      <c r="D34" s="91" t="s">
        <v>65</v>
      </c>
      <c r="E34" s="93"/>
      <c r="F34" s="94">
        <v>3</v>
      </c>
      <c r="G34" s="94">
        <v>191.32</v>
      </c>
      <c r="H34" s="95">
        <f t="shared" ref="H34" si="2">SUM(F34*G34/1000)</f>
        <v>0.57396000000000003</v>
      </c>
      <c r="I34" s="13">
        <v>0</v>
      </c>
      <c r="J34" s="24"/>
      <c r="K34" s="8"/>
      <c r="L34" s="8"/>
      <c r="M34" s="8"/>
    </row>
    <row r="35" spans="1:13" ht="15.75" customHeight="1">
      <c r="A35" s="41"/>
      <c r="B35" s="49" t="s">
        <v>5</v>
      </c>
      <c r="C35" s="49"/>
      <c r="D35" s="49"/>
      <c r="E35" s="13"/>
      <c r="F35" s="13"/>
      <c r="G35" s="14"/>
      <c r="H35" s="14"/>
      <c r="I35" s="19"/>
      <c r="J35" s="24"/>
      <c r="K35" s="8"/>
      <c r="L35" s="8"/>
      <c r="M35" s="8"/>
    </row>
    <row r="36" spans="1:13" ht="15.75" customHeight="1">
      <c r="A36" s="41">
        <v>7</v>
      </c>
      <c r="B36" s="91" t="s">
        <v>26</v>
      </c>
      <c r="C36" s="92" t="s">
        <v>31</v>
      </c>
      <c r="D36" s="91" t="s">
        <v>181</v>
      </c>
      <c r="E36" s="93"/>
      <c r="F36" s="94">
        <v>6</v>
      </c>
      <c r="G36" s="94">
        <v>1527.2</v>
      </c>
      <c r="H36" s="95">
        <f t="shared" ref="H36:H41" si="3">SUM(F36*G36/1000)</f>
        <v>9.1632000000000016</v>
      </c>
      <c r="I36" s="13">
        <f>G36*0.8</f>
        <v>1221.76</v>
      </c>
      <c r="J36" s="24"/>
      <c r="K36" s="8"/>
      <c r="L36" s="8"/>
      <c r="M36" s="8"/>
    </row>
    <row r="37" spans="1:13" ht="15.75" customHeight="1">
      <c r="A37" s="35">
        <v>8</v>
      </c>
      <c r="B37" s="91" t="s">
        <v>66</v>
      </c>
      <c r="C37" s="92" t="s">
        <v>29</v>
      </c>
      <c r="D37" s="91" t="s">
        <v>167</v>
      </c>
      <c r="E37" s="94">
        <v>1080.0999999999999</v>
      </c>
      <c r="F37" s="94">
        <f>SUM(E37*30/1000)</f>
        <v>32.402999999999999</v>
      </c>
      <c r="G37" s="94">
        <v>2102.6999999999998</v>
      </c>
      <c r="H37" s="95">
        <f t="shared" si="3"/>
        <v>68.13378809999999</v>
      </c>
      <c r="I37" s="13">
        <f t="shared" ref="I37:I39" si="4">F37/6*G37</f>
        <v>11355.63135</v>
      </c>
      <c r="J37" s="24"/>
      <c r="K37" s="8"/>
      <c r="L37" s="8"/>
      <c r="M37" s="8"/>
    </row>
    <row r="38" spans="1:13" ht="15.75" customHeight="1">
      <c r="A38" s="35">
        <v>9</v>
      </c>
      <c r="B38" s="91" t="s">
        <v>67</v>
      </c>
      <c r="C38" s="92" t="s">
        <v>29</v>
      </c>
      <c r="D38" s="91" t="s">
        <v>168</v>
      </c>
      <c r="E38" s="94">
        <v>45</v>
      </c>
      <c r="F38" s="94">
        <f>SUM(E38*155/1000)</f>
        <v>6.9749999999999996</v>
      </c>
      <c r="G38" s="94">
        <v>350.75</v>
      </c>
      <c r="H38" s="95">
        <f t="shared" si="3"/>
        <v>2.4464812499999997</v>
      </c>
      <c r="I38" s="13">
        <f t="shared" si="4"/>
        <v>407.74687499999993</v>
      </c>
      <c r="J38" s="24"/>
      <c r="K38" s="8"/>
      <c r="L38" s="8"/>
      <c r="M38" s="8"/>
    </row>
    <row r="39" spans="1:13" ht="47.25" customHeight="1">
      <c r="A39" s="35">
        <v>10</v>
      </c>
      <c r="B39" s="91" t="s">
        <v>81</v>
      </c>
      <c r="C39" s="92" t="s">
        <v>100</v>
      </c>
      <c r="D39" s="91" t="s">
        <v>169</v>
      </c>
      <c r="E39" s="94">
        <v>45</v>
      </c>
      <c r="F39" s="94">
        <f>SUM(E39*70/1000)</f>
        <v>3.15</v>
      </c>
      <c r="G39" s="94">
        <v>5803.28</v>
      </c>
      <c r="H39" s="95">
        <f t="shared" si="3"/>
        <v>18.280331999999998</v>
      </c>
      <c r="I39" s="13">
        <f t="shared" si="4"/>
        <v>3046.7220000000002</v>
      </c>
      <c r="J39" s="24"/>
      <c r="K39" s="8"/>
      <c r="L39" s="8"/>
      <c r="M39" s="8"/>
    </row>
    <row r="40" spans="1:13" ht="15.75" hidden="1" customHeight="1">
      <c r="A40" s="35">
        <v>11</v>
      </c>
      <c r="B40" s="91" t="s">
        <v>105</v>
      </c>
      <c r="C40" s="92" t="s">
        <v>100</v>
      </c>
      <c r="D40" s="91" t="s">
        <v>170</v>
      </c>
      <c r="E40" s="94">
        <v>45</v>
      </c>
      <c r="F40" s="94">
        <f>SUM(E40*45/1000)</f>
        <v>2.0249999999999999</v>
      </c>
      <c r="G40" s="94">
        <v>428.7</v>
      </c>
      <c r="H40" s="95">
        <f t="shared" si="3"/>
        <v>0.86811749999999999</v>
      </c>
      <c r="I40" s="13">
        <f>F40/7.5*G40</f>
        <v>115.74899999999998</v>
      </c>
      <c r="J40" s="24"/>
      <c r="K40" s="8"/>
      <c r="L40" s="8"/>
      <c r="M40" s="8"/>
    </row>
    <row r="41" spans="1:13" ht="15.75" hidden="1" customHeight="1">
      <c r="A41" s="35">
        <v>12</v>
      </c>
      <c r="B41" s="91" t="s">
        <v>70</v>
      </c>
      <c r="C41" s="92" t="s">
        <v>32</v>
      </c>
      <c r="D41" s="91"/>
      <c r="E41" s="93"/>
      <c r="F41" s="94">
        <v>0.6</v>
      </c>
      <c r="G41" s="94">
        <v>798</v>
      </c>
      <c r="H41" s="95">
        <f t="shared" si="3"/>
        <v>0.47879999999999995</v>
      </c>
      <c r="I41" s="13">
        <f>F41/7.5*G41</f>
        <v>63.84</v>
      </c>
      <c r="J41" s="24"/>
      <c r="K41" s="8"/>
      <c r="L41" s="8"/>
      <c r="M41" s="8"/>
    </row>
    <row r="42" spans="1:13" ht="15.75" customHeight="1">
      <c r="A42" s="201" t="s">
        <v>131</v>
      </c>
      <c r="B42" s="202"/>
      <c r="C42" s="202"/>
      <c r="D42" s="202"/>
      <c r="E42" s="202"/>
      <c r="F42" s="202"/>
      <c r="G42" s="202"/>
      <c r="H42" s="202"/>
      <c r="I42" s="203"/>
      <c r="J42" s="24"/>
      <c r="K42" s="8"/>
      <c r="L42" s="8"/>
      <c r="M42" s="8"/>
    </row>
    <row r="43" spans="1:13" ht="15.75" hidden="1" customHeight="1">
      <c r="A43" s="41">
        <v>15</v>
      </c>
      <c r="B43" s="91" t="s">
        <v>106</v>
      </c>
      <c r="C43" s="92" t="s">
        <v>100</v>
      </c>
      <c r="D43" s="91" t="s">
        <v>42</v>
      </c>
      <c r="E43" s="93">
        <v>965.8</v>
      </c>
      <c r="F43" s="94">
        <f>SUM(E43*2/1000)</f>
        <v>1.9316</v>
      </c>
      <c r="G43" s="13">
        <v>849.49</v>
      </c>
      <c r="H43" s="95">
        <f t="shared" ref="H43:H52" si="5">SUM(F43*G43/1000)</f>
        <v>1.640874884</v>
      </c>
      <c r="I43" s="13">
        <v>0</v>
      </c>
      <c r="J43" s="24"/>
      <c r="K43" s="8"/>
    </row>
    <row r="44" spans="1:13" ht="15.75" hidden="1" customHeight="1">
      <c r="A44" s="41">
        <v>16</v>
      </c>
      <c r="B44" s="91" t="s">
        <v>35</v>
      </c>
      <c r="C44" s="92" t="s">
        <v>100</v>
      </c>
      <c r="D44" s="91" t="s">
        <v>42</v>
      </c>
      <c r="E44" s="93">
        <v>36</v>
      </c>
      <c r="F44" s="94">
        <f>SUM(E44*2/1000)</f>
        <v>7.1999999999999995E-2</v>
      </c>
      <c r="G44" s="13">
        <v>579.48</v>
      </c>
      <c r="H44" s="95">
        <f t="shared" si="5"/>
        <v>4.1722559999999999E-2</v>
      </c>
      <c r="I44" s="13">
        <v>0</v>
      </c>
      <c r="J44" s="25"/>
    </row>
    <row r="45" spans="1:13" ht="15.75" hidden="1" customHeight="1">
      <c r="A45" s="41">
        <v>17</v>
      </c>
      <c r="B45" s="91" t="s">
        <v>36</v>
      </c>
      <c r="C45" s="92" t="s">
        <v>100</v>
      </c>
      <c r="D45" s="91" t="s">
        <v>42</v>
      </c>
      <c r="E45" s="93">
        <v>1197.7</v>
      </c>
      <c r="F45" s="94">
        <f>SUM(E45*2/1000)</f>
        <v>2.3954</v>
      </c>
      <c r="G45" s="13">
        <v>579.48</v>
      </c>
      <c r="H45" s="95">
        <f t="shared" si="5"/>
        <v>1.3880863919999999</v>
      </c>
      <c r="I45" s="13">
        <v>0</v>
      </c>
      <c r="J45" s="25"/>
    </row>
    <row r="46" spans="1:13" ht="15.75" hidden="1" customHeight="1">
      <c r="A46" s="41"/>
      <c r="B46" s="91" t="s">
        <v>37</v>
      </c>
      <c r="C46" s="92" t="s">
        <v>100</v>
      </c>
      <c r="D46" s="91" t="s">
        <v>42</v>
      </c>
      <c r="E46" s="93">
        <v>2275.92</v>
      </c>
      <c r="F46" s="94">
        <f>SUM(E46*2/1000)</f>
        <v>4.5518400000000003</v>
      </c>
      <c r="G46" s="13">
        <v>606.77</v>
      </c>
      <c r="H46" s="95">
        <f t="shared" si="5"/>
        <v>2.7619199567999999</v>
      </c>
      <c r="I46" s="13">
        <v>0</v>
      </c>
      <c r="J46" s="25"/>
    </row>
    <row r="47" spans="1:13" ht="15.75" hidden="1" customHeight="1">
      <c r="A47" s="41">
        <v>18</v>
      </c>
      <c r="B47" s="91" t="s">
        <v>33</v>
      </c>
      <c r="C47" s="92" t="s">
        <v>34</v>
      </c>
      <c r="D47" s="91" t="s">
        <v>42</v>
      </c>
      <c r="E47" s="93">
        <v>81.709999999999994</v>
      </c>
      <c r="F47" s="94">
        <f>SUM(E47*2/100)</f>
        <v>1.6341999999999999</v>
      </c>
      <c r="G47" s="13">
        <v>68.56</v>
      </c>
      <c r="H47" s="95">
        <f t="shared" si="5"/>
        <v>0.11204075199999999</v>
      </c>
      <c r="I47" s="13">
        <v>0</v>
      </c>
      <c r="J47" s="25"/>
    </row>
    <row r="48" spans="1:13" ht="15.75" customHeight="1">
      <c r="A48" s="41">
        <v>11</v>
      </c>
      <c r="B48" s="91" t="s">
        <v>56</v>
      </c>
      <c r="C48" s="92" t="s">
        <v>100</v>
      </c>
      <c r="D48" s="91" t="s">
        <v>165</v>
      </c>
      <c r="E48" s="93">
        <v>1711.8</v>
      </c>
      <c r="F48" s="94">
        <f>SUM(E48*5/1000)</f>
        <v>8.5589999999999993</v>
      </c>
      <c r="G48" s="13">
        <v>1213.55</v>
      </c>
      <c r="H48" s="95">
        <f t="shared" si="5"/>
        <v>10.386774449999999</v>
      </c>
      <c r="I48" s="13">
        <f>F48/5*G48</f>
        <v>2077.3548899999996</v>
      </c>
      <c r="J48" s="25"/>
    </row>
    <row r="49" spans="1:14" ht="31.5" hidden="1" customHeight="1">
      <c r="A49" s="41">
        <v>10</v>
      </c>
      <c r="B49" s="91" t="s">
        <v>107</v>
      </c>
      <c r="C49" s="92" t="s">
        <v>100</v>
      </c>
      <c r="D49" s="91" t="s">
        <v>42</v>
      </c>
      <c r="E49" s="93">
        <v>1711.8</v>
      </c>
      <c r="F49" s="94">
        <f>SUM(E49*2/1000)</f>
        <v>3.4236</v>
      </c>
      <c r="G49" s="13">
        <v>1213.55</v>
      </c>
      <c r="H49" s="95">
        <f t="shared" si="5"/>
        <v>4.1547097800000001</v>
      </c>
      <c r="I49" s="13">
        <v>0</v>
      </c>
      <c r="J49" s="25"/>
    </row>
    <row r="50" spans="1:14" ht="31.5" hidden="1" customHeight="1">
      <c r="A50" s="41">
        <v>11</v>
      </c>
      <c r="B50" s="91" t="s">
        <v>108</v>
      </c>
      <c r="C50" s="92" t="s">
        <v>38</v>
      </c>
      <c r="D50" s="91" t="s">
        <v>42</v>
      </c>
      <c r="E50" s="93">
        <v>15</v>
      </c>
      <c r="F50" s="94">
        <f>SUM(E50*2/100)</f>
        <v>0.3</v>
      </c>
      <c r="G50" s="13">
        <v>2730.49</v>
      </c>
      <c r="H50" s="95">
        <f t="shared" si="5"/>
        <v>0.81914699999999996</v>
      </c>
      <c r="I50" s="13">
        <v>0</v>
      </c>
      <c r="J50" s="25"/>
    </row>
    <row r="51" spans="1:14" ht="15.75" hidden="1" customHeight="1">
      <c r="A51" s="41">
        <v>12</v>
      </c>
      <c r="B51" s="91" t="s">
        <v>39</v>
      </c>
      <c r="C51" s="92" t="s">
        <v>40</v>
      </c>
      <c r="D51" s="91" t="s">
        <v>42</v>
      </c>
      <c r="E51" s="93">
        <v>1</v>
      </c>
      <c r="F51" s="94">
        <v>0.02</v>
      </c>
      <c r="G51" s="13">
        <v>5322.15</v>
      </c>
      <c r="H51" s="95">
        <f t="shared" si="5"/>
        <v>0.106443</v>
      </c>
      <c r="I51" s="13">
        <v>0</v>
      </c>
      <c r="J51" s="25"/>
      <c r="L51" s="21"/>
      <c r="M51" s="22"/>
      <c r="N51" s="23"/>
    </row>
    <row r="52" spans="1:14" ht="15.75" hidden="1" customHeight="1">
      <c r="A52" s="41">
        <v>15</v>
      </c>
      <c r="B52" s="91" t="s">
        <v>41</v>
      </c>
      <c r="C52" s="92" t="s">
        <v>85</v>
      </c>
      <c r="D52" s="91" t="s">
        <v>71</v>
      </c>
      <c r="E52" s="93">
        <v>90</v>
      </c>
      <c r="F52" s="94">
        <f>SUM(E52)*3</f>
        <v>270</v>
      </c>
      <c r="G52" s="13">
        <v>65.67</v>
      </c>
      <c r="H52" s="95">
        <f t="shared" si="5"/>
        <v>17.730900000000002</v>
      </c>
      <c r="I52" s="13">
        <f>E52*G52</f>
        <v>5910.3</v>
      </c>
      <c r="J52" s="25"/>
      <c r="L52" s="21"/>
      <c r="M52" s="22"/>
      <c r="N52" s="23"/>
    </row>
    <row r="53" spans="1:14" ht="15.75" customHeight="1">
      <c r="A53" s="201" t="s">
        <v>132</v>
      </c>
      <c r="B53" s="202"/>
      <c r="C53" s="202"/>
      <c r="D53" s="202"/>
      <c r="E53" s="202"/>
      <c r="F53" s="202"/>
      <c r="G53" s="202"/>
      <c r="H53" s="202"/>
      <c r="I53" s="203"/>
      <c r="J53" s="25"/>
      <c r="L53" s="21"/>
      <c r="M53" s="22"/>
      <c r="N53" s="23"/>
    </row>
    <row r="54" spans="1:14" ht="15.75" hidden="1" customHeight="1">
      <c r="A54" s="53"/>
      <c r="B54" s="48" t="s">
        <v>43</v>
      </c>
      <c r="C54" s="17"/>
      <c r="D54" s="16"/>
      <c r="E54" s="16"/>
      <c r="F54" s="16"/>
      <c r="G54" s="31"/>
      <c r="H54" s="31"/>
      <c r="I54" s="19"/>
      <c r="J54" s="25"/>
      <c r="L54" s="21"/>
      <c r="M54" s="22"/>
      <c r="N54" s="23"/>
    </row>
    <row r="55" spans="1:14" ht="31.5" hidden="1" customHeight="1">
      <c r="A55" s="41">
        <v>15</v>
      </c>
      <c r="B55" s="91" t="s">
        <v>109</v>
      </c>
      <c r="C55" s="92" t="s">
        <v>88</v>
      </c>
      <c r="D55" s="91" t="s">
        <v>110</v>
      </c>
      <c r="E55" s="93">
        <v>96.58</v>
      </c>
      <c r="F55" s="94">
        <f>SUM(E55*6/100)</f>
        <v>5.7948000000000004</v>
      </c>
      <c r="G55" s="13">
        <v>1547.28</v>
      </c>
      <c r="H55" s="95">
        <f>SUM(F55*G55/1000)</f>
        <v>8.9661781440000006</v>
      </c>
      <c r="I55" s="13">
        <f>F55/6*G55</f>
        <v>1494.3630240000002</v>
      </c>
      <c r="J55" s="25"/>
      <c r="L55" s="21"/>
      <c r="M55" s="22"/>
      <c r="N55" s="23"/>
    </row>
    <row r="56" spans="1:14" ht="15.75" customHeight="1">
      <c r="A56" s="41"/>
      <c r="B56" s="67" t="s">
        <v>44</v>
      </c>
      <c r="C56" s="40"/>
      <c r="D56" s="34"/>
      <c r="E56" s="19"/>
      <c r="F56" s="85"/>
      <c r="G56" s="37"/>
      <c r="H56" s="68"/>
      <c r="I56" s="20"/>
      <c r="J56" s="25"/>
      <c r="L56" s="21"/>
      <c r="M56" s="22"/>
      <c r="N56" s="23"/>
    </row>
    <row r="57" spans="1:14" ht="15.75" hidden="1" customHeight="1">
      <c r="A57" s="41"/>
      <c r="B57" s="91" t="s">
        <v>45</v>
      </c>
      <c r="C57" s="92" t="s">
        <v>88</v>
      </c>
      <c r="D57" s="91" t="s">
        <v>54</v>
      </c>
      <c r="E57" s="93">
        <v>855.9</v>
      </c>
      <c r="F57" s="95">
        <v>8.6</v>
      </c>
      <c r="G57" s="13">
        <v>747.3</v>
      </c>
      <c r="H57" s="99">
        <v>6.4</v>
      </c>
      <c r="I57" s="13">
        <v>0</v>
      </c>
      <c r="J57" s="25"/>
      <c r="L57" s="21"/>
      <c r="M57" s="22"/>
      <c r="N57" s="23"/>
    </row>
    <row r="58" spans="1:14" ht="15.75" customHeight="1">
      <c r="A58" s="41">
        <v>12</v>
      </c>
      <c r="B58" s="34" t="s">
        <v>86</v>
      </c>
      <c r="C58" s="40" t="s">
        <v>25</v>
      </c>
      <c r="D58" s="34" t="s">
        <v>165</v>
      </c>
      <c r="E58" s="123">
        <v>130</v>
      </c>
      <c r="F58" s="124">
        <f>E58*12</f>
        <v>1560</v>
      </c>
      <c r="G58" s="68">
        <v>1.4</v>
      </c>
      <c r="H58" s="99">
        <f>F58*G58/1000</f>
        <v>2.1840000000000002</v>
      </c>
      <c r="I58" s="13">
        <f>F58/12*G58</f>
        <v>182</v>
      </c>
      <c r="J58" s="25"/>
      <c r="L58" s="21"/>
      <c r="M58" s="22"/>
      <c r="N58" s="23"/>
    </row>
    <row r="59" spans="1:14" ht="15.75" hidden="1" customHeight="1">
      <c r="A59" s="41"/>
      <c r="B59" s="67" t="s">
        <v>126</v>
      </c>
      <c r="C59" s="40"/>
      <c r="D59" s="34"/>
      <c r="E59" s="19"/>
      <c r="F59" s="85"/>
      <c r="G59" s="69"/>
      <c r="H59" s="68"/>
      <c r="I59" s="20"/>
      <c r="J59" s="25"/>
      <c r="L59" s="21"/>
      <c r="M59" s="22"/>
      <c r="N59" s="23"/>
    </row>
    <row r="60" spans="1:14" ht="15.75" hidden="1" customHeight="1">
      <c r="A60" s="41"/>
      <c r="B60" s="91" t="s">
        <v>127</v>
      </c>
      <c r="C60" s="92" t="s">
        <v>85</v>
      </c>
      <c r="D60" s="91" t="s">
        <v>65</v>
      </c>
      <c r="E60" s="93">
        <v>2</v>
      </c>
      <c r="F60" s="94">
        <f>SUM(E60)</f>
        <v>2</v>
      </c>
      <c r="G60" s="100">
        <v>237.75</v>
      </c>
      <c r="H60" s="95">
        <f t="shared" ref="H60" si="6">SUM(F60*G60/1000)</f>
        <v>0.47549999999999998</v>
      </c>
      <c r="I60" s="13">
        <v>0</v>
      </c>
      <c r="J60" s="25"/>
      <c r="L60" s="21"/>
      <c r="M60" s="22"/>
      <c r="N60" s="23"/>
    </row>
    <row r="61" spans="1:14" ht="15.75" hidden="1" customHeight="1">
      <c r="A61" s="41"/>
      <c r="B61" s="75" t="s">
        <v>46</v>
      </c>
      <c r="C61" s="17"/>
      <c r="D61" s="16"/>
      <c r="E61" s="16"/>
      <c r="F61" s="86"/>
      <c r="G61" s="65"/>
      <c r="H61" s="68"/>
      <c r="I61" s="19"/>
      <c r="J61" s="25"/>
      <c r="L61" s="21"/>
      <c r="M61" s="22"/>
      <c r="N61" s="23"/>
    </row>
    <row r="62" spans="1:14" ht="15.75" hidden="1" customHeight="1">
      <c r="A62" s="41">
        <v>16</v>
      </c>
      <c r="B62" s="15" t="s">
        <v>47</v>
      </c>
      <c r="C62" s="17" t="s">
        <v>85</v>
      </c>
      <c r="D62" s="91" t="s">
        <v>65</v>
      </c>
      <c r="E62" s="19">
        <v>10</v>
      </c>
      <c r="F62" s="94">
        <v>10</v>
      </c>
      <c r="G62" s="13">
        <v>222.4</v>
      </c>
      <c r="H62" s="101">
        <f t="shared" ref="H62:H69" si="7">SUM(F62*G62/1000)</f>
        <v>2.2240000000000002</v>
      </c>
      <c r="I62" s="13">
        <f>G62</f>
        <v>222.4</v>
      </c>
      <c r="J62" s="25"/>
      <c r="L62" s="21"/>
      <c r="M62" s="22"/>
      <c r="N62" s="23"/>
    </row>
    <row r="63" spans="1:14" ht="15.75" hidden="1" customHeight="1">
      <c r="A63" s="31">
        <v>29</v>
      </c>
      <c r="B63" s="15" t="s">
        <v>48</v>
      </c>
      <c r="C63" s="17" t="s">
        <v>85</v>
      </c>
      <c r="D63" s="91" t="s">
        <v>65</v>
      </c>
      <c r="E63" s="19">
        <v>5</v>
      </c>
      <c r="F63" s="94">
        <v>5</v>
      </c>
      <c r="G63" s="13">
        <v>75.25</v>
      </c>
      <c r="H63" s="101">
        <f t="shared" si="7"/>
        <v>0.37624999999999997</v>
      </c>
      <c r="I63" s="13">
        <v>0</v>
      </c>
      <c r="J63" s="25"/>
      <c r="L63" s="21"/>
      <c r="M63" s="22"/>
      <c r="N63" s="23"/>
    </row>
    <row r="64" spans="1:14" ht="15.75" hidden="1" customHeight="1">
      <c r="A64" s="31">
        <v>8</v>
      </c>
      <c r="B64" s="15" t="s">
        <v>49</v>
      </c>
      <c r="C64" s="17" t="s">
        <v>111</v>
      </c>
      <c r="D64" s="15" t="s">
        <v>54</v>
      </c>
      <c r="E64" s="93">
        <v>13018</v>
      </c>
      <c r="F64" s="13">
        <f>SUM(E64/100)</f>
        <v>130.18</v>
      </c>
      <c r="G64" s="13">
        <v>212.15</v>
      </c>
      <c r="H64" s="101">
        <f t="shared" si="7"/>
        <v>27.617687</v>
      </c>
      <c r="I64" s="13">
        <v>0</v>
      </c>
      <c r="J64" s="25"/>
      <c r="L64" s="21"/>
      <c r="M64" s="22"/>
      <c r="N64" s="23"/>
    </row>
    <row r="65" spans="1:14" ht="15.75" hidden="1" customHeight="1">
      <c r="A65" s="31">
        <v>9</v>
      </c>
      <c r="B65" s="15" t="s">
        <v>50</v>
      </c>
      <c r="C65" s="17" t="s">
        <v>112</v>
      </c>
      <c r="D65" s="15"/>
      <c r="E65" s="93">
        <v>13018</v>
      </c>
      <c r="F65" s="13">
        <f>SUM(E65/1000)</f>
        <v>13.018000000000001</v>
      </c>
      <c r="G65" s="13">
        <v>165.21</v>
      </c>
      <c r="H65" s="101">
        <f t="shared" si="7"/>
        <v>2.1507037800000002</v>
      </c>
      <c r="I65" s="13">
        <v>0</v>
      </c>
      <c r="J65" s="25"/>
      <c r="L65" s="21"/>
      <c r="M65" s="22"/>
      <c r="N65" s="23"/>
    </row>
    <row r="66" spans="1:14" ht="15.75" hidden="1" customHeight="1">
      <c r="A66" s="31">
        <v>10</v>
      </c>
      <c r="B66" s="15" t="s">
        <v>51</v>
      </c>
      <c r="C66" s="17" t="s">
        <v>76</v>
      </c>
      <c r="D66" s="15" t="s">
        <v>54</v>
      </c>
      <c r="E66" s="93">
        <v>1279</v>
      </c>
      <c r="F66" s="13">
        <f>SUM(E66/100)</f>
        <v>12.79</v>
      </c>
      <c r="G66" s="13">
        <v>2074.63</v>
      </c>
      <c r="H66" s="101">
        <f t="shared" si="7"/>
        <v>26.534517700000002</v>
      </c>
      <c r="I66" s="13">
        <v>0</v>
      </c>
      <c r="J66" s="25"/>
      <c r="L66" s="21"/>
      <c r="M66" s="22"/>
      <c r="N66" s="23"/>
    </row>
    <row r="67" spans="1:14" ht="15.75" hidden="1" customHeight="1">
      <c r="A67" s="31">
        <v>11</v>
      </c>
      <c r="B67" s="102" t="s">
        <v>113</v>
      </c>
      <c r="C67" s="17" t="s">
        <v>32</v>
      </c>
      <c r="D67" s="15"/>
      <c r="E67" s="93">
        <v>12</v>
      </c>
      <c r="F67" s="13">
        <f>SUM(E67)</f>
        <v>12</v>
      </c>
      <c r="G67" s="13">
        <v>45.32</v>
      </c>
      <c r="H67" s="101">
        <f t="shared" si="7"/>
        <v>0.54383999999999999</v>
      </c>
      <c r="I67" s="13">
        <v>0</v>
      </c>
      <c r="J67" s="25"/>
      <c r="L67" s="21"/>
      <c r="M67" s="22"/>
      <c r="N67" s="23"/>
    </row>
    <row r="68" spans="1:14" ht="15.75" hidden="1" customHeight="1">
      <c r="A68" s="31">
        <v>12</v>
      </c>
      <c r="B68" s="102" t="s">
        <v>114</v>
      </c>
      <c r="C68" s="17" t="s">
        <v>32</v>
      </c>
      <c r="D68" s="15"/>
      <c r="E68" s="93">
        <v>12</v>
      </c>
      <c r="F68" s="13">
        <f>SUM(E68)</f>
        <v>12</v>
      </c>
      <c r="G68" s="13">
        <v>42.28</v>
      </c>
      <c r="H68" s="101">
        <f t="shared" si="7"/>
        <v>0.50736000000000003</v>
      </c>
      <c r="I68" s="13">
        <v>0</v>
      </c>
      <c r="J68" s="25"/>
      <c r="L68" s="21"/>
      <c r="M68" s="22"/>
      <c r="N68" s="23"/>
    </row>
    <row r="69" spans="1:14" ht="15.75" hidden="1" customHeight="1">
      <c r="A69" s="31">
        <v>13</v>
      </c>
      <c r="B69" s="15" t="s">
        <v>57</v>
      </c>
      <c r="C69" s="17" t="s">
        <v>58</v>
      </c>
      <c r="D69" s="15" t="s">
        <v>54</v>
      </c>
      <c r="E69" s="19">
        <v>1</v>
      </c>
      <c r="F69" s="94">
        <f>SUM(E69)</f>
        <v>1</v>
      </c>
      <c r="G69" s="13">
        <v>49.88</v>
      </c>
      <c r="H69" s="101">
        <f t="shared" si="7"/>
        <v>4.9880000000000001E-2</v>
      </c>
      <c r="I69" s="13">
        <v>0</v>
      </c>
      <c r="J69" s="25"/>
      <c r="L69" s="21"/>
      <c r="M69" s="22"/>
      <c r="N69" s="23"/>
    </row>
    <row r="70" spans="1:14" ht="15.75" hidden="1" customHeight="1">
      <c r="A70" s="53"/>
      <c r="B70" s="75" t="s">
        <v>115</v>
      </c>
      <c r="C70" s="75"/>
      <c r="D70" s="75"/>
      <c r="E70" s="75"/>
      <c r="F70" s="75"/>
      <c r="G70" s="75"/>
      <c r="H70" s="75"/>
      <c r="I70" s="19"/>
      <c r="J70" s="25"/>
      <c r="L70" s="21"/>
      <c r="M70" s="22"/>
      <c r="N70" s="23"/>
    </row>
    <row r="71" spans="1:14" ht="15.75" hidden="1" customHeight="1">
      <c r="A71" s="31">
        <v>15</v>
      </c>
      <c r="B71" s="91" t="s">
        <v>116</v>
      </c>
      <c r="C71" s="17"/>
      <c r="D71" s="15"/>
      <c r="E71" s="85"/>
      <c r="F71" s="13">
        <v>1</v>
      </c>
      <c r="G71" s="13">
        <v>10041.700000000001</v>
      </c>
      <c r="H71" s="101">
        <f>G71*F71/1000</f>
        <v>10.041700000000001</v>
      </c>
      <c r="I71" s="13">
        <v>0</v>
      </c>
      <c r="J71" s="25"/>
      <c r="L71" s="21"/>
      <c r="M71" s="22"/>
      <c r="N71" s="23"/>
    </row>
    <row r="72" spans="1:14" ht="15.75" hidden="1" customHeight="1">
      <c r="A72" s="31"/>
      <c r="B72" s="49" t="s">
        <v>72</v>
      </c>
      <c r="C72" s="49"/>
      <c r="D72" s="49"/>
      <c r="E72" s="19"/>
      <c r="F72" s="19"/>
      <c r="G72" s="31"/>
      <c r="H72" s="31"/>
      <c r="I72" s="19"/>
      <c r="J72" s="25"/>
      <c r="L72" s="21"/>
      <c r="M72" s="22"/>
      <c r="N72" s="23"/>
    </row>
    <row r="73" spans="1:14" ht="15.75" hidden="1" customHeight="1">
      <c r="A73" s="31">
        <v>17</v>
      </c>
      <c r="B73" s="15" t="s">
        <v>73</v>
      </c>
      <c r="C73" s="17" t="s">
        <v>74</v>
      </c>
      <c r="D73" s="15" t="s">
        <v>65</v>
      </c>
      <c r="E73" s="19">
        <v>5</v>
      </c>
      <c r="F73" s="13">
        <v>0.5</v>
      </c>
      <c r="G73" s="13">
        <v>501.62</v>
      </c>
      <c r="H73" s="101">
        <f t="shared" ref="H73:H75" si="8">SUM(F73*G73/1000)</f>
        <v>0.25080999999999998</v>
      </c>
      <c r="I73" s="13">
        <f>G73*0.5</f>
        <v>250.81</v>
      </c>
      <c r="J73" s="25"/>
      <c r="L73" s="21"/>
      <c r="M73" s="22"/>
      <c r="N73" s="23"/>
    </row>
    <row r="74" spans="1:14" ht="15.75" hidden="1" customHeight="1">
      <c r="A74" s="31"/>
      <c r="B74" s="15" t="s">
        <v>128</v>
      </c>
      <c r="C74" s="17" t="s">
        <v>85</v>
      </c>
      <c r="D74" s="15"/>
      <c r="E74" s="19">
        <v>1</v>
      </c>
      <c r="F74" s="84">
        <f>E74</f>
        <v>1</v>
      </c>
      <c r="G74" s="13">
        <v>852.99</v>
      </c>
      <c r="H74" s="101">
        <f t="shared" si="8"/>
        <v>0.85299000000000003</v>
      </c>
      <c r="I74" s="13">
        <v>0</v>
      </c>
      <c r="J74" s="25"/>
      <c r="L74" s="21"/>
      <c r="M74" s="22"/>
      <c r="N74" s="23"/>
    </row>
    <row r="75" spans="1:14" ht="15.75" hidden="1" customHeight="1">
      <c r="A75" s="31"/>
      <c r="B75" s="15" t="s">
        <v>129</v>
      </c>
      <c r="C75" s="17" t="s">
        <v>85</v>
      </c>
      <c r="D75" s="15"/>
      <c r="E75" s="19">
        <v>1</v>
      </c>
      <c r="F75" s="94">
        <f>SUM(E75)</f>
        <v>1</v>
      </c>
      <c r="G75" s="13">
        <v>358.51</v>
      </c>
      <c r="H75" s="101">
        <f t="shared" si="8"/>
        <v>0.35851</v>
      </c>
      <c r="I75" s="13">
        <v>0</v>
      </c>
      <c r="J75" s="25"/>
      <c r="L75" s="21"/>
      <c r="M75" s="22"/>
      <c r="N75" s="23"/>
    </row>
    <row r="76" spans="1:14" ht="15.75" hidden="1" customHeight="1">
      <c r="A76" s="31"/>
      <c r="B76" s="50" t="s">
        <v>75</v>
      </c>
      <c r="C76" s="38"/>
      <c r="D76" s="31"/>
      <c r="E76" s="19"/>
      <c r="F76" s="19"/>
      <c r="G76" s="37" t="s">
        <v>117</v>
      </c>
      <c r="H76" s="37"/>
      <c r="I76" s="19"/>
      <c r="J76" s="25"/>
      <c r="L76" s="21"/>
      <c r="M76" s="22"/>
      <c r="N76" s="23"/>
    </row>
    <row r="77" spans="1:14" ht="15.75" hidden="1" customHeight="1">
      <c r="A77" s="31">
        <v>12</v>
      </c>
      <c r="B77" s="52" t="s">
        <v>118</v>
      </c>
      <c r="C77" s="17" t="s">
        <v>76</v>
      </c>
      <c r="D77" s="15"/>
      <c r="E77" s="19"/>
      <c r="F77" s="13">
        <v>0.3</v>
      </c>
      <c r="G77" s="13">
        <v>2759.44</v>
      </c>
      <c r="H77" s="101">
        <f t="shared" ref="H77" si="9">SUM(F77*G77/1000)</f>
        <v>0.82783200000000001</v>
      </c>
      <c r="I77" s="13">
        <v>0</v>
      </c>
      <c r="J77" s="25"/>
      <c r="L77" s="21"/>
      <c r="M77" s="22"/>
      <c r="N77" s="23"/>
    </row>
    <row r="78" spans="1:14" ht="15.75" customHeight="1">
      <c r="A78" s="136"/>
      <c r="B78" s="144" t="s">
        <v>174</v>
      </c>
      <c r="C78" s="38"/>
      <c r="D78" s="121"/>
      <c r="E78" s="18"/>
      <c r="F78" s="68"/>
      <c r="G78" s="37"/>
      <c r="H78" s="137"/>
      <c r="I78" s="138"/>
      <c r="J78" s="25"/>
      <c r="L78" s="21"/>
      <c r="M78" s="22"/>
      <c r="N78" s="23"/>
    </row>
    <row r="79" spans="1:14" ht="15.75" customHeight="1">
      <c r="A79" s="136">
        <v>13</v>
      </c>
      <c r="B79" s="121" t="s">
        <v>175</v>
      </c>
      <c r="C79" s="41" t="s">
        <v>176</v>
      </c>
      <c r="D79" s="121"/>
      <c r="E79" s="18">
        <v>2581.1999999999998</v>
      </c>
      <c r="F79" s="37">
        <f>E79*12</f>
        <v>30974.399999999998</v>
      </c>
      <c r="G79" s="37">
        <v>2.4900000000000002</v>
      </c>
      <c r="H79" s="137"/>
      <c r="I79" s="138">
        <f>G79*F79/12</f>
        <v>6427.1879999999992</v>
      </c>
      <c r="J79" s="25"/>
      <c r="L79" s="21"/>
      <c r="M79" s="22"/>
      <c r="N79" s="23"/>
    </row>
    <row r="80" spans="1:14" ht="15.75" customHeight="1">
      <c r="A80" s="205" t="s">
        <v>133</v>
      </c>
      <c r="B80" s="206"/>
      <c r="C80" s="206"/>
      <c r="D80" s="206"/>
      <c r="E80" s="206"/>
      <c r="F80" s="206"/>
      <c r="G80" s="206"/>
      <c r="H80" s="206"/>
      <c r="I80" s="207"/>
      <c r="J80" s="25"/>
      <c r="L80" s="21"/>
      <c r="M80" s="22"/>
      <c r="N80" s="23"/>
    </row>
    <row r="81" spans="1:22" ht="15.75" customHeight="1">
      <c r="A81" s="31">
        <v>14</v>
      </c>
      <c r="B81" s="91" t="s">
        <v>119</v>
      </c>
      <c r="C81" s="17" t="s">
        <v>55</v>
      </c>
      <c r="D81" s="104"/>
      <c r="E81" s="13">
        <v>2581.1999999999998</v>
      </c>
      <c r="F81" s="13">
        <f>SUM(E81*12)</f>
        <v>30974.399999999998</v>
      </c>
      <c r="G81" s="13">
        <v>2.1</v>
      </c>
      <c r="H81" s="101">
        <f>SUM(F81*G81/1000)</f>
        <v>65.046239999999997</v>
      </c>
      <c r="I81" s="13">
        <f>F81/12*G81</f>
        <v>5420.5199999999995</v>
      </c>
      <c r="J81" s="25"/>
      <c r="L81" s="21"/>
    </row>
    <row r="82" spans="1:22" ht="31.5" customHeight="1">
      <c r="A82" s="31">
        <v>15</v>
      </c>
      <c r="B82" s="15" t="s">
        <v>77</v>
      </c>
      <c r="C82" s="17"/>
      <c r="D82" s="104"/>
      <c r="E82" s="93">
        <v>2581.1999999999998</v>
      </c>
      <c r="F82" s="13">
        <f>E82*12</f>
        <v>30974.399999999998</v>
      </c>
      <c r="G82" s="13">
        <v>1.63</v>
      </c>
      <c r="H82" s="101">
        <f>F82*G82/1000</f>
        <v>50.488271999999988</v>
      </c>
      <c r="I82" s="13">
        <f>F82/12*G82</f>
        <v>4207.3559999999998</v>
      </c>
    </row>
    <row r="83" spans="1:22" ht="15.75" customHeight="1">
      <c r="A83" s="53"/>
      <c r="B83" s="39" t="s">
        <v>79</v>
      </c>
      <c r="C83" s="41"/>
      <c r="D83" s="16"/>
      <c r="E83" s="16"/>
      <c r="F83" s="16"/>
      <c r="G83" s="19"/>
      <c r="H83" s="19"/>
      <c r="I83" s="33">
        <f>I82+I81+I79+I58+I48+I39+I38+I37+I36+I27+I21+I20+I18+I17+I16</f>
        <v>41823.552021000003</v>
      </c>
    </row>
    <row r="84" spans="1:22" ht="15.75" customHeight="1">
      <c r="A84" s="208" t="s">
        <v>60</v>
      </c>
      <c r="B84" s="209"/>
      <c r="C84" s="209"/>
      <c r="D84" s="209"/>
      <c r="E84" s="209"/>
      <c r="F84" s="209"/>
      <c r="G84" s="209"/>
      <c r="H84" s="209"/>
      <c r="I84" s="210"/>
    </row>
    <row r="85" spans="1:22" ht="31.5" customHeight="1">
      <c r="A85" s="31">
        <v>16</v>
      </c>
      <c r="B85" s="122" t="s">
        <v>157</v>
      </c>
      <c r="C85" s="41" t="s">
        <v>29</v>
      </c>
      <c r="D85" s="121"/>
      <c r="E85" s="18"/>
      <c r="F85" s="37">
        <v>5</v>
      </c>
      <c r="G85" s="37">
        <v>20547.34</v>
      </c>
      <c r="H85" s="103">
        <f t="shared" ref="H85" si="10">G85*F85/1000</f>
        <v>102.7367</v>
      </c>
      <c r="I85" s="13">
        <f>G85*0.599*6/1000</f>
        <v>73.847139960000007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9"/>
    </row>
    <row r="86" spans="1:22" ht="17.25" customHeight="1">
      <c r="A86" s="31">
        <v>17</v>
      </c>
      <c r="B86" s="119" t="s">
        <v>93</v>
      </c>
      <c r="C86" s="120" t="s">
        <v>85</v>
      </c>
      <c r="D86" s="52"/>
      <c r="E86" s="13"/>
      <c r="F86" s="13"/>
      <c r="G86" s="37">
        <v>60.72</v>
      </c>
      <c r="H86" s="101"/>
      <c r="I86" s="13">
        <f>G86*1</f>
        <v>60.72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9"/>
    </row>
    <row r="87" spans="1:22" ht="17.25" customHeight="1">
      <c r="A87" s="31">
        <v>18</v>
      </c>
      <c r="B87" s="119" t="s">
        <v>80</v>
      </c>
      <c r="C87" s="120" t="s">
        <v>85</v>
      </c>
      <c r="D87" s="52"/>
      <c r="E87" s="13"/>
      <c r="F87" s="13"/>
      <c r="G87" s="37">
        <v>215.85</v>
      </c>
      <c r="H87" s="101"/>
      <c r="I87" s="13">
        <f>G87*2</f>
        <v>431.7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9"/>
    </row>
    <row r="88" spans="1:22" ht="28.5" customHeight="1">
      <c r="A88" s="31">
        <v>19</v>
      </c>
      <c r="B88" s="122" t="s">
        <v>182</v>
      </c>
      <c r="C88" s="41" t="s">
        <v>159</v>
      </c>
      <c r="D88" s="121" t="s">
        <v>185</v>
      </c>
      <c r="E88" s="18"/>
      <c r="F88" s="131">
        <v>1</v>
      </c>
      <c r="G88" s="37">
        <v>1421.6</v>
      </c>
      <c r="H88" s="101"/>
      <c r="I88" s="13">
        <f>G88*1</f>
        <v>1421.6</v>
      </c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9"/>
    </row>
    <row r="89" spans="1:22" ht="30.75" customHeight="1">
      <c r="A89" s="31">
        <v>20</v>
      </c>
      <c r="B89" s="122" t="s">
        <v>183</v>
      </c>
      <c r="C89" s="41" t="s">
        <v>159</v>
      </c>
      <c r="D89" s="121" t="s">
        <v>184</v>
      </c>
      <c r="E89" s="18"/>
      <c r="F89" s="131">
        <v>2</v>
      </c>
      <c r="G89" s="37">
        <v>1523.6</v>
      </c>
      <c r="H89" s="101"/>
      <c r="I89" s="13">
        <f>G89*2</f>
        <v>3047.2</v>
      </c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9"/>
    </row>
    <row r="90" spans="1:22" ht="18" customHeight="1">
      <c r="A90" s="31">
        <v>21</v>
      </c>
      <c r="B90" s="119" t="s">
        <v>281</v>
      </c>
      <c r="C90" s="120" t="s">
        <v>282</v>
      </c>
      <c r="D90" s="66" t="s">
        <v>94</v>
      </c>
      <c r="E90" s="37"/>
      <c r="F90" s="37">
        <v>2</v>
      </c>
      <c r="G90" s="37">
        <v>222.63</v>
      </c>
      <c r="H90" s="101"/>
      <c r="I90" s="211">
        <v>0</v>
      </c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9"/>
    </row>
    <row r="91" spans="1:22" ht="15.75" customHeight="1">
      <c r="A91" s="31"/>
      <c r="B91" s="46" t="s">
        <v>52</v>
      </c>
      <c r="C91" s="42"/>
      <c r="D91" s="54"/>
      <c r="E91" s="42">
        <v>1</v>
      </c>
      <c r="F91" s="42"/>
      <c r="G91" s="42"/>
      <c r="H91" s="42"/>
      <c r="I91" s="132">
        <f>SUM(I85:I89)</f>
        <v>5035.0671399599996</v>
      </c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</row>
    <row r="92" spans="1:22" ht="15.75" customHeight="1">
      <c r="A92" s="31"/>
      <c r="B92" s="52" t="s">
        <v>78</v>
      </c>
      <c r="C92" s="16"/>
      <c r="D92" s="16"/>
      <c r="E92" s="43"/>
      <c r="F92" s="43"/>
      <c r="G92" s="44"/>
      <c r="H92" s="44"/>
      <c r="I92" s="18">
        <v>0</v>
      </c>
    </row>
    <row r="93" spans="1:22" ht="15.75" customHeight="1">
      <c r="A93" s="55"/>
      <c r="B93" s="47" t="s">
        <v>136</v>
      </c>
      <c r="C93" s="36"/>
      <c r="D93" s="36"/>
      <c r="E93" s="36"/>
      <c r="F93" s="36"/>
      <c r="G93" s="36"/>
      <c r="H93" s="36"/>
      <c r="I93" s="45">
        <f>I83+I91</f>
        <v>46858.619160960006</v>
      </c>
    </row>
    <row r="94" spans="1:22" ht="15.75" customHeight="1">
      <c r="A94" s="204" t="s">
        <v>271</v>
      </c>
      <c r="B94" s="204"/>
      <c r="C94" s="204"/>
      <c r="D94" s="204"/>
      <c r="E94" s="204"/>
      <c r="F94" s="204"/>
      <c r="G94" s="204"/>
      <c r="H94" s="204"/>
      <c r="I94" s="204"/>
    </row>
    <row r="95" spans="1:22" ht="15.75" customHeight="1">
      <c r="A95" s="77"/>
      <c r="B95" s="185" t="s">
        <v>272</v>
      </c>
      <c r="C95" s="185"/>
      <c r="D95" s="185"/>
      <c r="E95" s="185"/>
      <c r="F95" s="185"/>
      <c r="G95" s="185"/>
      <c r="H95" s="89"/>
      <c r="I95" s="3"/>
    </row>
    <row r="96" spans="1:22" ht="15.75" customHeight="1">
      <c r="A96" s="70"/>
      <c r="B96" s="186" t="s">
        <v>6</v>
      </c>
      <c r="C96" s="186"/>
      <c r="D96" s="186"/>
      <c r="E96" s="186"/>
      <c r="F96" s="186"/>
      <c r="G96" s="186"/>
      <c r="H96" s="26"/>
      <c r="I96" s="5"/>
    </row>
    <row r="97" spans="1:9" ht="15.75" customHeight="1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 customHeight="1">
      <c r="A98" s="187" t="s">
        <v>7</v>
      </c>
      <c r="B98" s="187"/>
      <c r="C98" s="187"/>
      <c r="D98" s="187"/>
      <c r="E98" s="187"/>
      <c r="F98" s="187"/>
      <c r="G98" s="187"/>
      <c r="H98" s="187"/>
      <c r="I98" s="187"/>
    </row>
    <row r="99" spans="1:9" ht="15.75" customHeight="1">
      <c r="A99" s="187" t="s">
        <v>8</v>
      </c>
      <c r="B99" s="187"/>
      <c r="C99" s="187"/>
      <c r="D99" s="187"/>
      <c r="E99" s="187"/>
      <c r="F99" s="187"/>
      <c r="G99" s="187"/>
      <c r="H99" s="187"/>
      <c r="I99" s="187"/>
    </row>
    <row r="100" spans="1:9" ht="15.75" customHeight="1">
      <c r="A100" s="190" t="s">
        <v>117</v>
      </c>
      <c r="B100" s="190"/>
      <c r="C100" s="190"/>
      <c r="D100" s="190"/>
      <c r="E100" s="190"/>
      <c r="F100" s="190"/>
      <c r="G100" s="190"/>
      <c r="H100" s="190"/>
      <c r="I100" s="190"/>
    </row>
    <row r="101" spans="1:9" ht="15.75" customHeight="1">
      <c r="A101" s="11"/>
    </row>
    <row r="102" spans="1:9" ht="15.75" customHeight="1">
      <c r="A102" s="191" t="s">
        <v>9</v>
      </c>
      <c r="B102" s="191"/>
      <c r="C102" s="191"/>
      <c r="D102" s="191"/>
      <c r="E102" s="191"/>
      <c r="F102" s="191"/>
      <c r="G102" s="191"/>
      <c r="H102" s="191"/>
      <c r="I102" s="191"/>
    </row>
    <row r="103" spans="1:9" ht="15.75" customHeight="1">
      <c r="A103" s="4"/>
    </row>
    <row r="104" spans="1:9" ht="15.75" customHeight="1">
      <c r="B104" s="73" t="s">
        <v>10</v>
      </c>
      <c r="C104" s="192" t="s">
        <v>84</v>
      </c>
      <c r="D104" s="192"/>
      <c r="E104" s="192"/>
      <c r="F104" s="87"/>
      <c r="I104" s="72"/>
    </row>
    <row r="105" spans="1:9" ht="15.75" customHeight="1">
      <c r="A105" s="70"/>
      <c r="C105" s="186" t="s">
        <v>11</v>
      </c>
      <c r="D105" s="186"/>
      <c r="E105" s="186"/>
      <c r="F105" s="26"/>
      <c r="I105" s="71" t="s">
        <v>12</v>
      </c>
    </row>
    <row r="106" spans="1:9" ht="15.75" customHeight="1">
      <c r="A106" s="27"/>
      <c r="C106" s="12"/>
      <c r="D106" s="12"/>
      <c r="G106" s="12"/>
      <c r="H106" s="12"/>
    </row>
    <row r="107" spans="1:9" ht="15.75" customHeight="1">
      <c r="B107" s="73" t="s">
        <v>13</v>
      </c>
      <c r="C107" s="193"/>
      <c r="D107" s="193"/>
      <c r="E107" s="193"/>
      <c r="F107" s="88"/>
      <c r="I107" s="72"/>
    </row>
    <row r="108" spans="1:9" ht="15.75" customHeight="1">
      <c r="A108" s="70"/>
      <c r="C108" s="189" t="s">
        <v>11</v>
      </c>
      <c r="D108" s="189"/>
      <c r="E108" s="189"/>
      <c r="F108" s="70"/>
      <c r="I108" s="71" t="s">
        <v>12</v>
      </c>
    </row>
    <row r="109" spans="1:9" ht="15.75" customHeight="1">
      <c r="A109" s="4" t="s">
        <v>14</v>
      </c>
    </row>
    <row r="110" spans="1:9">
      <c r="A110" s="188" t="s">
        <v>15</v>
      </c>
      <c r="B110" s="188"/>
      <c r="C110" s="188"/>
      <c r="D110" s="188"/>
      <c r="E110" s="188"/>
      <c r="F110" s="188"/>
      <c r="G110" s="188"/>
      <c r="H110" s="188"/>
      <c r="I110" s="188"/>
    </row>
    <row r="111" spans="1:9" ht="45" customHeight="1">
      <c r="A111" s="184" t="s">
        <v>16</v>
      </c>
      <c r="B111" s="184"/>
      <c r="C111" s="184"/>
      <c r="D111" s="184"/>
      <c r="E111" s="184"/>
      <c r="F111" s="184"/>
      <c r="G111" s="184"/>
      <c r="H111" s="184"/>
      <c r="I111" s="184"/>
    </row>
    <row r="112" spans="1:9" ht="30" customHeight="1">
      <c r="A112" s="184" t="s">
        <v>17</v>
      </c>
      <c r="B112" s="184"/>
      <c r="C112" s="184"/>
      <c r="D112" s="184"/>
      <c r="E112" s="184"/>
      <c r="F112" s="184"/>
      <c r="G112" s="184"/>
      <c r="H112" s="184"/>
      <c r="I112" s="184"/>
    </row>
    <row r="113" spans="1:9" ht="30" customHeight="1">
      <c r="A113" s="184" t="s">
        <v>21</v>
      </c>
      <c r="B113" s="184"/>
      <c r="C113" s="184"/>
      <c r="D113" s="184"/>
      <c r="E113" s="184"/>
      <c r="F113" s="184"/>
      <c r="G113" s="184"/>
      <c r="H113" s="184"/>
      <c r="I113" s="184"/>
    </row>
    <row r="114" spans="1:9" ht="15" customHeight="1">
      <c r="A114" s="184" t="s">
        <v>20</v>
      </c>
      <c r="B114" s="184"/>
      <c r="C114" s="184"/>
      <c r="D114" s="184"/>
      <c r="E114" s="184"/>
      <c r="F114" s="184"/>
      <c r="G114" s="184"/>
      <c r="H114" s="184"/>
      <c r="I114" s="184"/>
    </row>
  </sheetData>
  <autoFilter ref="I12:I83"/>
  <mergeCells count="28">
    <mergeCell ref="A14:I14"/>
    <mergeCell ref="A3:I3"/>
    <mergeCell ref="A4:I4"/>
    <mergeCell ref="A5:I5"/>
    <mergeCell ref="A8:I8"/>
    <mergeCell ref="A10:I10"/>
    <mergeCell ref="A100:I100"/>
    <mergeCell ref="A15:I15"/>
    <mergeCell ref="A28:I28"/>
    <mergeCell ref="A42:I42"/>
    <mergeCell ref="A53:I53"/>
    <mergeCell ref="A80:I80"/>
    <mergeCell ref="A84:I84"/>
    <mergeCell ref="A94:I94"/>
    <mergeCell ref="B95:G95"/>
    <mergeCell ref="B96:G96"/>
    <mergeCell ref="A98:I98"/>
    <mergeCell ref="A99:I99"/>
    <mergeCell ref="A111:I111"/>
    <mergeCell ref="A112:I112"/>
    <mergeCell ref="A113:I113"/>
    <mergeCell ref="A114:I114"/>
    <mergeCell ref="A102:I102"/>
    <mergeCell ref="C104:E104"/>
    <mergeCell ref="C105:E105"/>
    <mergeCell ref="C107:E107"/>
    <mergeCell ref="C108:E108"/>
    <mergeCell ref="A110:I1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U113"/>
  <sheetViews>
    <sheetView topLeftCell="A75" workbookViewId="0">
      <selection activeCell="B85" sqref="B85:I8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0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155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94" t="s">
        <v>138</v>
      </c>
      <c r="B3" s="194"/>
      <c r="C3" s="194"/>
      <c r="D3" s="194"/>
      <c r="E3" s="194"/>
      <c r="F3" s="194"/>
      <c r="G3" s="194"/>
      <c r="H3" s="194"/>
      <c r="I3" s="194"/>
      <c r="J3" s="3"/>
      <c r="K3" s="3"/>
      <c r="L3" s="3"/>
    </row>
    <row r="4" spans="1:13" ht="31.5" customHeight="1">
      <c r="A4" s="195" t="s">
        <v>120</v>
      </c>
      <c r="B4" s="195"/>
      <c r="C4" s="195"/>
      <c r="D4" s="195"/>
      <c r="E4" s="195"/>
      <c r="F4" s="195"/>
      <c r="G4" s="195"/>
      <c r="H4" s="195"/>
      <c r="I4" s="195"/>
    </row>
    <row r="5" spans="1:13" ht="15.75" customHeight="1">
      <c r="A5" s="194" t="s">
        <v>187</v>
      </c>
      <c r="B5" s="198"/>
      <c r="C5" s="198"/>
      <c r="D5" s="198"/>
      <c r="E5" s="198"/>
      <c r="F5" s="198"/>
      <c r="G5" s="198"/>
      <c r="H5" s="198"/>
      <c r="I5" s="198"/>
      <c r="J5" s="2"/>
      <c r="K5" s="2"/>
      <c r="L5" s="2"/>
      <c r="M5" s="2"/>
    </row>
    <row r="6" spans="1:13" ht="15.75" customHeight="1">
      <c r="A6" s="2"/>
      <c r="B6" s="74"/>
      <c r="C6" s="74"/>
      <c r="D6" s="74"/>
      <c r="E6" s="74"/>
      <c r="F6" s="74"/>
      <c r="G6" s="74"/>
      <c r="H6" s="74"/>
      <c r="I6" s="32">
        <v>43921</v>
      </c>
      <c r="J6" s="2"/>
      <c r="K6" s="2"/>
      <c r="L6" s="2"/>
      <c r="M6" s="2"/>
    </row>
    <row r="7" spans="1:13" ht="15.75" customHeight="1">
      <c r="B7" s="73"/>
      <c r="C7" s="73"/>
      <c r="D7" s="73"/>
      <c r="E7" s="3"/>
      <c r="F7" s="3"/>
      <c r="G7" s="3"/>
      <c r="H7" s="3"/>
      <c r="J7" s="3"/>
      <c r="K7" s="3"/>
      <c r="L7" s="3"/>
      <c r="M7" s="3"/>
    </row>
    <row r="8" spans="1:13" s="64" customFormat="1" ht="78.75" customHeight="1">
      <c r="A8" s="196" t="s">
        <v>186</v>
      </c>
      <c r="B8" s="196"/>
      <c r="C8" s="196"/>
      <c r="D8" s="196"/>
      <c r="E8" s="196"/>
      <c r="F8" s="196"/>
      <c r="G8" s="196"/>
      <c r="H8" s="196"/>
      <c r="I8" s="196"/>
      <c r="J8" s="76"/>
      <c r="K8" s="76"/>
      <c r="L8" s="76"/>
      <c r="M8" s="76"/>
    </row>
    <row r="9" spans="1:13" ht="15.75">
      <c r="A9" s="4"/>
      <c r="J9" s="2"/>
      <c r="K9" s="2"/>
      <c r="L9" s="2"/>
      <c r="M9" s="2"/>
    </row>
    <row r="10" spans="1:13" ht="47.25" customHeight="1">
      <c r="A10" s="197" t="s">
        <v>150</v>
      </c>
      <c r="B10" s="197"/>
      <c r="C10" s="197"/>
      <c r="D10" s="197"/>
      <c r="E10" s="197"/>
      <c r="F10" s="197"/>
      <c r="G10" s="197"/>
      <c r="H10" s="197"/>
      <c r="I10" s="19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 ht="15.7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9" t="s">
        <v>59</v>
      </c>
      <c r="B14" s="199"/>
      <c r="C14" s="199"/>
      <c r="D14" s="199"/>
      <c r="E14" s="199"/>
      <c r="F14" s="199"/>
      <c r="G14" s="199"/>
      <c r="H14" s="199"/>
      <c r="I14" s="199"/>
      <c r="J14" s="8"/>
      <c r="K14" s="8"/>
      <c r="L14" s="8"/>
      <c r="M14" s="8"/>
    </row>
    <row r="15" spans="1:13" ht="15.75" customHeight="1">
      <c r="A15" s="200" t="s">
        <v>4</v>
      </c>
      <c r="B15" s="200"/>
      <c r="C15" s="200"/>
      <c r="D15" s="200"/>
      <c r="E15" s="200"/>
      <c r="F15" s="200"/>
      <c r="G15" s="200"/>
      <c r="H15" s="200"/>
      <c r="I15" s="200"/>
      <c r="J15" s="8"/>
      <c r="K15" s="8"/>
      <c r="L15" s="8"/>
      <c r="M15" s="8"/>
    </row>
    <row r="16" spans="1:13" ht="15.75" customHeight="1">
      <c r="A16" s="31">
        <v>1</v>
      </c>
      <c r="B16" s="34" t="s">
        <v>83</v>
      </c>
      <c r="C16" s="40" t="s">
        <v>88</v>
      </c>
      <c r="D16" s="34" t="s">
        <v>161</v>
      </c>
      <c r="E16" s="123">
        <v>47.52</v>
      </c>
      <c r="F16" s="124">
        <f>SUM(E16*156/100)</f>
        <v>74.131200000000007</v>
      </c>
      <c r="G16" s="124">
        <v>261.45</v>
      </c>
      <c r="H16" s="95">
        <f t="shared" ref="H16:H27" si="0">SUM(F16*G16/1000)</f>
        <v>19.381602239999999</v>
      </c>
      <c r="I16" s="13">
        <f>F16/12*G16</f>
        <v>1615.1335200000001</v>
      </c>
      <c r="J16" s="8"/>
      <c r="K16" s="8"/>
      <c r="L16" s="8"/>
      <c r="M16" s="8"/>
    </row>
    <row r="17" spans="1:13" ht="15.75" customHeight="1">
      <c r="A17" s="31">
        <v>2</v>
      </c>
      <c r="B17" s="34" t="s">
        <v>97</v>
      </c>
      <c r="C17" s="40" t="s">
        <v>88</v>
      </c>
      <c r="D17" s="34" t="s">
        <v>162</v>
      </c>
      <c r="E17" s="123">
        <v>190.08</v>
      </c>
      <c r="F17" s="124">
        <f>SUM(E17*104/100)</f>
        <v>197.6832</v>
      </c>
      <c r="G17" s="124">
        <v>261.45</v>
      </c>
      <c r="H17" s="95">
        <f t="shared" si="0"/>
        <v>51.684272639999996</v>
      </c>
      <c r="I17" s="13">
        <f>F17/12*G17</f>
        <v>4307.0227199999999</v>
      </c>
      <c r="J17" s="8"/>
      <c r="K17" s="8"/>
      <c r="L17" s="8"/>
      <c r="M17" s="8"/>
    </row>
    <row r="18" spans="1:13" ht="15.75" customHeight="1">
      <c r="A18" s="31">
        <v>3</v>
      </c>
      <c r="B18" s="34" t="s">
        <v>98</v>
      </c>
      <c r="C18" s="40" t="s">
        <v>88</v>
      </c>
      <c r="D18" s="34" t="s">
        <v>165</v>
      </c>
      <c r="E18" s="123">
        <f>SUM(E16+E17)</f>
        <v>237.60000000000002</v>
      </c>
      <c r="F18" s="124">
        <f>SUM(E18*18/100)</f>
        <v>42.768000000000001</v>
      </c>
      <c r="G18" s="124">
        <v>752.16</v>
      </c>
      <c r="H18" s="95">
        <f t="shared" si="0"/>
        <v>32.168378879999999</v>
      </c>
      <c r="I18" s="13">
        <f>F18/18*G18</f>
        <v>1787.1321599999999</v>
      </c>
      <c r="J18" s="8"/>
      <c r="K18" s="8"/>
      <c r="L18" s="8"/>
      <c r="M18" s="8"/>
    </row>
    <row r="19" spans="1:13" ht="15.75" hidden="1" customHeight="1">
      <c r="A19" s="31">
        <v>4</v>
      </c>
      <c r="B19" s="34" t="s">
        <v>121</v>
      </c>
      <c r="C19" s="40" t="s">
        <v>122</v>
      </c>
      <c r="D19" s="34" t="s">
        <v>123</v>
      </c>
      <c r="E19" s="123">
        <v>18.48</v>
      </c>
      <c r="F19" s="124">
        <f>SUM(E19/10)</f>
        <v>1.8480000000000001</v>
      </c>
      <c r="G19" s="124">
        <v>253.7</v>
      </c>
      <c r="H19" s="95">
        <f t="shared" si="0"/>
        <v>0.46883760000000002</v>
      </c>
      <c r="I19" s="13">
        <v>0</v>
      </c>
      <c r="J19" s="8"/>
      <c r="K19" s="8"/>
      <c r="L19" s="8"/>
      <c r="M19" s="8"/>
    </row>
    <row r="20" spans="1:13" ht="15.75" customHeight="1">
      <c r="A20" s="31">
        <v>4</v>
      </c>
      <c r="B20" s="34" t="s">
        <v>87</v>
      </c>
      <c r="C20" s="40" t="s">
        <v>88</v>
      </c>
      <c r="D20" s="34" t="s">
        <v>164</v>
      </c>
      <c r="E20" s="123">
        <v>10.5</v>
      </c>
      <c r="F20" s="124">
        <f>SUM(E20*12/100)</f>
        <v>1.26</v>
      </c>
      <c r="G20" s="124">
        <v>324.83999999999997</v>
      </c>
      <c r="H20" s="95">
        <f t="shared" si="0"/>
        <v>0.40929839999999995</v>
      </c>
      <c r="I20" s="13">
        <f>F20/12*G20</f>
        <v>34.108199999999997</v>
      </c>
      <c r="J20" s="8"/>
      <c r="K20" s="8"/>
      <c r="L20" s="8"/>
      <c r="M20" s="8"/>
    </row>
    <row r="21" spans="1:13" ht="15.75" customHeight="1">
      <c r="A21" s="31">
        <v>5</v>
      </c>
      <c r="B21" s="34" t="s">
        <v>95</v>
      </c>
      <c r="C21" s="40" t="s">
        <v>88</v>
      </c>
      <c r="D21" s="34" t="s">
        <v>164</v>
      </c>
      <c r="E21" s="123">
        <v>2.7</v>
      </c>
      <c r="F21" s="124">
        <f>SUM(E21*12/100)</f>
        <v>0.32400000000000007</v>
      </c>
      <c r="G21" s="124">
        <v>322.20999999999998</v>
      </c>
      <c r="H21" s="95">
        <f t="shared" si="0"/>
        <v>0.10439604000000001</v>
      </c>
      <c r="I21" s="13">
        <f>F21/12*G21</f>
        <v>8.6996700000000011</v>
      </c>
      <c r="J21" s="8"/>
      <c r="K21" s="8"/>
      <c r="L21" s="8"/>
      <c r="M21" s="8"/>
    </row>
    <row r="22" spans="1:13" ht="15.75" hidden="1" customHeight="1">
      <c r="A22" s="31">
        <v>7</v>
      </c>
      <c r="B22" s="34" t="s">
        <v>89</v>
      </c>
      <c r="C22" s="40" t="s">
        <v>53</v>
      </c>
      <c r="D22" s="34" t="s">
        <v>123</v>
      </c>
      <c r="E22" s="123">
        <v>267.75</v>
      </c>
      <c r="F22" s="124">
        <f>SUM(E22/100)</f>
        <v>2.6775000000000002</v>
      </c>
      <c r="G22" s="124">
        <v>401.44</v>
      </c>
      <c r="H22" s="95">
        <f t="shared" si="0"/>
        <v>1.0748556</v>
      </c>
      <c r="I22" s="13">
        <v>0</v>
      </c>
      <c r="J22" s="8"/>
      <c r="K22" s="8"/>
      <c r="L22" s="8"/>
      <c r="M22" s="8"/>
    </row>
    <row r="23" spans="1:13" ht="15.75" hidden="1" customHeight="1">
      <c r="A23" s="31">
        <v>8</v>
      </c>
      <c r="B23" s="34" t="s">
        <v>90</v>
      </c>
      <c r="C23" s="40" t="s">
        <v>53</v>
      </c>
      <c r="D23" s="34" t="s">
        <v>123</v>
      </c>
      <c r="E23" s="154">
        <v>36</v>
      </c>
      <c r="F23" s="124">
        <f>SUM(E23/100)</f>
        <v>0.36</v>
      </c>
      <c r="G23" s="124">
        <v>66.03</v>
      </c>
      <c r="H23" s="95">
        <f t="shared" si="0"/>
        <v>2.3770800000000002E-2</v>
      </c>
      <c r="I23" s="13">
        <v>0</v>
      </c>
      <c r="J23" s="8"/>
      <c r="K23" s="8"/>
      <c r="L23" s="8"/>
      <c r="M23" s="8"/>
    </row>
    <row r="24" spans="1:13" ht="15.75" hidden="1" customHeight="1">
      <c r="A24" s="31">
        <v>9</v>
      </c>
      <c r="B24" s="34" t="s">
        <v>91</v>
      </c>
      <c r="C24" s="40" t="s">
        <v>53</v>
      </c>
      <c r="D24" s="34" t="s">
        <v>124</v>
      </c>
      <c r="E24" s="123">
        <v>15</v>
      </c>
      <c r="F24" s="124">
        <f>E24/100</f>
        <v>0.15</v>
      </c>
      <c r="G24" s="124">
        <v>581.02</v>
      </c>
      <c r="H24" s="95">
        <f t="shared" si="0"/>
        <v>8.7152999999999994E-2</v>
      </c>
      <c r="I24" s="13">
        <v>0</v>
      </c>
      <c r="J24" s="8"/>
      <c r="K24" s="8"/>
      <c r="L24" s="8"/>
      <c r="M24" s="8"/>
    </row>
    <row r="25" spans="1:13" ht="15.75" hidden="1" customHeight="1">
      <c r="A25" s="31">
        <v>10</v>
      </c>
      <c r="B25" s="34" t="s">
        <v>96</v>
      </c>
      <c r="C25" s="40" t="s">
        <v>88</v>
      </c>
      <c r="D25" s="34" t="s">
        <v>54</v>
      </c>
      <c r="E25" s="123">
        <v>14.25</v>
      </c>
      <c r="F25" s="124">
        <v>0.1</v>
      </c>
      <c r="G25" s="124">
        <v>322.20999999999998</v>
      </c>
      <c r="H25" s="95">
        <v>3.1E-2</v>
      </c>
      <c r="I25" s="13">
        <v>0</v>
      </c>
      <c r="J25" s="8"/>
      <c r="K25" s="8"/>
      <c r="L25" s="8"/>
      <c r="M25" s="8"/>
    </row>
    <row r="26" spans="1:13" ht="15.75" hidden="1" customHeight="1">
      <c r="A26" s="31">
        <v>11</v>
      </c>
      <c r="B26" s="34" t="s">
        <v>92</v>
      </c>
      <c r="C26" s="40" t="s">
        <v>53</v>
      </c>
      <c r="D26" s="34" t="s">
        <v>123</v>
      </c>
      <c r="E26" s="123">
        <v>6.38</v>
      </c>
      <c r="F26" s="124">
        <f>SUM(E26/100)</f>
        <v>6.3799999999999996E-2</v>
      </c>
      <c r="G26" s="124">
        <v>776.46</v>
      </c>
      <c r="H26" s="95">
        <f t="shared" si="0"/>
        <v>4.9538147999999997E-2</v>
      </c>
      <c r="I26" s="13">
        <v>0</v>
      </c>
      <c r="J26" s="8"/>
      <c r="K26" s="8"/>
      <c r="L26" s="8"/>
      <c r="M26" s="8"/>
    </row>
    <row r="27" spans="1:13" ht="15.75" customHeight="1">
      <c r="A27" s="31">
        <v>6</v>
      </c>
      <c r="B27" s="34" t="s">
        <v>160</v>
      </c>
      <c r="C27" s="40" t="s">
        <v>25</v>
      </c>
      <c r="D27" s="34" t="s">
        <v>166</v>
      </c>
      <c r="E27" s="133">
        <v>4.83</v>
      </c>
      <c r="F27" s="124">
        <f>SUM(E27*258)</f>
        <v>1246.1400000000001</v>
      </c>
      <c r="G27" s="124">
        <v>10.81</v>
      </c>
      <c r="H27" s="95">
        <f t="shared" si="0"/>
        <v>13.470773400000002</v>
      </c>
      <c r="I27" s="13">
        <f>F27/12*G27</f>
        <v>1122.5644500000003</v>
      </c>
      <c r="J27" s="8"/>
      <c r="K27" s="8"/>
      <c r="L27" s="8"/>
      <c r="M27" s="8"/>
    </row>
    <row r="28" spans="1:13" ht="15.75" customHeight="1">
      <c r="A28" s="200" t="s">
        <v>82</v>
      </c>
      <c r="B28" s="200"/>
      <c r="C28" s="200"/>
      <c r="D28" s="200"/>
      <c r="E28" s="200"/>
      <c r="F28" s="200"/>
      <c r="G28" s="200"/>
      <c r="H28" s="200"/>
      <c r="I28" s="200"/>
      <c r="J28" s="24"/>
      <c r="K28" s="8"/>
      <c r="L28" s="8"/>
      <c r="M28" s="8"/>
    </row>
    <row r="29" spans="1:13" ht="15.75" hidden="1" customHeight="1">
      <c r="A29" s="41"/>
      <c r="B29" s="51" t="s">
        <v>28</v>
      </c>
      <c r="C29" s="51"/>
      <c r="D29" s="51"/>
      <c r="E29" s="51"/>
      <c r="F29" s="51"/>
      <c r="G29" s="51"/>
      <c r="H29" s="51"/>
      <c r="I29" s="19"/>
      <c r="J29" s="24"/>
      <c r="K29" s="8"/>
      <c r="L29" s="8"/>
      <c r="M29" s="8"/>
    </row>
    <row r="30" spans="1:13" ht="15.75" hidden="1" customHeight="1">
      <c r="A30" s="41">
        <v>2</v>
      </c>
      <c r="B30" s="91" t="s">
        <v>99</v>
      </c>
      <c r="C30" s="92" t="s">
        <v>100</v>
      </c>
      <c r="D30" s="91" t="s">
        <v>101</v>
      </c>
      <c r="E30" s="94">
        <v>1167.4000000000001</v>
      </c>
      <c r="F30" s="94">
        <f>SUM(E30*52/1000)</f>
        <v>60.704800000000006</v>
      </c>
      <c r="G30" s="94">
        <v>155.88999999999999</v>
      </c>
      <c r="H30" s="95">
        <f t="shared" ref="H30:H32" si="1">SUM(F30*G30/1000)</f>
        <v>9.4632712720000001</v>
      </c>
      <c r="I30" s="13">
        <v>0</v>
      </c>
      <c r="J30" s="24"/>
      <c r="K30" s="8"/>
      <c r="L30" s="8"/>
      <c r="M30" s="8"/>
    </row>
    <row r="31" spans="1:13" ht="31.5" hidden="1" customHeight="1">
      <c r="A31" s="41">
        <v>3</v>
      </c>
      <c r="B31" s="91" t="s">
        <v>134</v>
      </c>
      <c r="C31" s="92" t="s">
        <v>100</v>
      </c>
      <c r="D31" s="91" t="s">
        <v>102</v>
      </c>
      <c r="E31" s="94">
        <v>540.04999999999995</v>
      </c>
      <c r="F31" s="94">
        <f>SUM(E31*78/1000)</f>
        <v>42.123899999999992</v>
      </c>
      <c r="G31" s="94">
        <v>258.63</v>
      </c>
      <c r="H31" s="95">
        <f t="shared" si="1"/>
        <v>10.894504256999998</v>
      </c>
      <c r="I31" s="13">
        <v>0</v>
      </c>
      <c r="J31" s="24"/>
      <c r="K31" s="8"/>
      <c r="L31" s="8"/>
      <c r="M31" s="8"/>
    </row>
    <row r="32" spans="1:13" ht="15.75" hidden="1" customHeight="1">
      <c r="A32" s="41">
        <v>4</v>
      </c>
      <c r="B32" s="91" t="s">
        <v>27</v>
      </c>
      <c r="C32" s="92" t="s">
        <v>100</v>
      </c>
      <c r="D32" s="91" t="s">
        <v>54</v>
      </c>
      <c r="E32" s="94">
        <v>1167.4000000000001</v>
      </c>
      <c r="F32" s="94">
        <f>SUM(E32/1000)</f>
        <v>1.1674</v>
      </c>
      <c r="G32" s="94">
        <v>3020.33</v>
      </c>
      <c r="H32" s="95">
        <f t="shared" si="1"/>
        <v>3.5259332420000002</v>
      </c>
      <c r="I32" s="13">
        <v>0</v>
      </c>
      <c r="J32" s="24"/>
      <c r="K32" s="8"/>
      <c r="L32" s="8"/>
      <c r="M32" s="8"/>
    </row>
    <row r="33" spans="1:13" ht="15.75" hidden="1" customHeight="1">
      <c r="A33" s="41">
        <v>5</v>
      </c>
      <c r="B33" s="91" t="s">
        <v>103</v>
      </c>
      <c r="C33" s="92" t="s">
        <v>30</v>
      </c>
      <c r="D33" s="91" t="s">
        <v>63</v>
      </c>
      <c r="E33" s="98">
        <v>0.33333333333333331</v>
      </c>
      <c r="F33" s="94">
        <f>155/3</f>
        <v>51.666666666666664</v>
      </c>
      <c r="G33" s="94">
        <v>56.69</v>
      </c>
      <c r="H33" s="95">
        <f>SUM(G33*155/3/1000)</f>
        <v>2.9289833333333331</v>
      </c>
      <c r="I33" s="13">
        <v>0</v>
      </c>
      <c r="J33" s="24"/>
      <c r="K33" s="8"/>
      <c r="L33" s="8"/>
      <c r="M33" s="8"/>
    </row>
    <row r="34" spans="1:13" ht="15.75" hidden="1" customHeight="1">
      <c r="A34" s="41">
        <v>4</v>
      </c>
      <c r="B34" s="91" t="s">
        <v>64</v>
      </c>
      <c r="C34" s="92" t="s">
        <v>32</v>
      </c>
      <c r="D34" s="91" t="s">
        <v>65</v>
      </c>
      <c r="E34" s="93"/>
      <c r="F34" s="94">
        <v>3</v>
      </c>
      <c r="G34" s="94">
        <v>191.32</v>
      </c>
      <c r="H34" s="95">
        <f t="shared" ref="H34" si="2">SUM(F34*G34/1000)</f>
        <v>0.57396000000000003</v>
      </c>
      <c r="I34" s="13">
        <v>0</v>
      </c>
      <c r="J34" s="24"/>
      <c r="K34" s="8"/>
      <c r="L34" s="8"/>
      <c r="M34" s="8"/>
    </row>
    <row r="35" spans="1:13" ht="15.75" customHeight="1">
      <c r="A35" s="41"/>
      <c r="B35" s="49" t="s">
        <v>5</v>
      </c>
      <c r="C35" s="49"/>
      <c r="D35" s="49"/>
      <c r="E35" s="13"/>
      <c r="F35" s="13"/>
      <c r="G35" s="14"/>
      <c r="H35" s="14"/>
      <c r="I35" s="19"/>
      <c r="J35" s="24"/>
      <c r="K35" s="8"/>
      <c r="L35" s="8"/>
      <c r="M35" s="8"/>
    </row>
    <row r="36" spans="1:13" ht="15.75" customHeight="1">
      <c r="A36" s="41">
        <v>7</v>
      </c>
      <c r="B36" s="155" t="s">
        <v>26</v>
      </c>
      <c r="C36" s="40" t="s">
        <v>31</v>
      </c>
      <c r="D36" s="34" t="s">
        <v>197</v>
      </c>
      <c r="E36" s="123"/>
      <c r="F36" s="124">
        <v>6</v>
      </c>
      <c r="G36" s="124">
        <v>1930</v>
      </c>
      <c r="H36" s="95">
        <f t="shared" ref="H36:H42" si="3">SUM(F36*G36/1000)</f>
        <v>11.58</v>
      </c>
      <c r="I36" s="13">
        <f>G36*0.6</f>
        <v>1158</v>
      </c>
      <c r="J36" s="24"/>
      <c r="K36" s="8"/>
      <c r="L36" s="8"/>
      <c r="M36" s="8"/>
    </row>
    <row r="37" spans="1:13" ht="15.75" customHeight="1">
      <c r="A37" s="35">
        <v>8</v>
      </c>
      <c r="B37" s="155" t="s">
        <v>66</v>
      </c>
      <c r="C37" s="156" t="s">
        <v>29</v>
      </c>
      <c r="D37" s="155" t="s">
        <v>167</v>
      </c>
      <c r="E37" s="157">
        <v>26.33</v>
      </c>
      <c r="F37" s="157">
        <f>SUM(E37*30/1000)</f>
        <v>0.78989999999999994</v>
      </c>
      <c r="G37" s="157">
        <v>3134.93</v>
      </c>
      <c r="H37" s="95">
        <f t="shared" si="3"/>
        <v>2.4762812069999995</v>
      </c>
      <c r="I37" s="13">
        <f t="shared" ref="I37:I40" si="4">F37/6*G37</f>
        <v>412.71353449999992</v>
      </c>
      <c r="J37" s="24"/>
      <c r="K37" s="8"/>
      <c r="L37" s="8"/>
      <c r="M37" s="8"/>
    </row>
    <row r="38" spans="1:13" ht="15.75" customHeight="1">
      <c r="A38" s="35">
        <v>9</v>
      </c>
      <c r="B38" s="34" t="s">
        <v>188</v>
      </c>
      <c r="C38" s="40" t="s">
        <v>29</v>
      </c>
      <c r="D38" s="34" t="s">
        <v>168</v>
      </c>
      <c r="E38" s="124">
        <v>26.33</v>
      </c>
      <c r="F38" s="157">
        <f>SUM(E38*155/1000)</f>
        <v>4.0811500000000001</v>
      </c>
      <c r="G38" s="124">
        <v>522.92999999999995</v>
      </c>
      <c r="H38" s="95">
        <f t="shared" si="3"/>
        <v>2.1341557694999995</v>
      </c>
      <c r="I38" s="13">
        <f t="shared" si="4"/>
        <v>355.69262824999993</v>
      </c>
      <c r="J38" s="24"/>
      <c r="K38" s="8"/>
      <c r="L38" s="8"/>
      <c r="M38" s="8"/>
    </row>
    <row r="39" spans="1:13" ht="15.75" hidden="1" customHeight="1">
      <c r="A39" s="35"/>
      <c r="B39" s="34" t="s">
        <v>189</v>
      </c>
      <c r="C39" s="40" t="s">
        <v>190</v>
      </c>
      <c r="D39" s="34"/>
      <c r="E39" s="124"/>
      <c r="F39" s="157">
        <v>39</v>
      </c>
      <c r="G39" s="124">
        <v>330</v>
      </c>
      <c r="H39" s="95"/>
      <c r="I39" s="13"/>
      <c r="J39" s="24"/>
      <c r="K39" s="8"/>
      <c r="L39" s="8"/>
      <c r="M39" s="8"/>
    </row>
    <row r="40" spans="1:13" ht="47.25" customHeight="1">
      <c r="A40" s="35">
        <v>10</v>
      </c>
      <c r="B40" s="34" t="s">
        <v>191</v>
      </c>
      <c r="C40" s="40" t="s">
        <v>100</v>
      </c>
      <c r="D40" s="34" t="s">
        <v>198</v>
      </c>
      <c r="E40" s="124">
        <v>26.33</v>
      </c>
      <c r="F40" s="157">
        <f>SUM(E40*35/1000)</f>
        <v>0.92154999999999998</v>
      </c>
      <c r="G40" s="124">
        <v>8652.07</v>
      </c>
      <c r="H40" s="95">
        <f t="shared" si="3"/>
        <v>7.9733151084999996</v>
      </c>
      <c r="I40" s="13">
        <f t="shared" si="4"/>
        <v>1328.8858514166666</v>
      </c>
      <c r="J40" s="24"/>
      <c r="K40" s="8"/>
      <c r="L40" s="8"/>
      <c r="M40" s="8"/>
    </row>
    <row r="41" spans="1:13" ht="15.75" hidden="1" customHeight="1">
      <c r="A41" s="35">
        <v>11</v>
      </c>
      <c r="B41" s="34" t="s">
        <v>105</v>
      </c>
      <c r="C41" s="40" t="s">
        <v>100</v>
      </c>
      <c r="D41" s="34" t="s">
        <v>192</v>
      </c>
      <c r="E41" s="124">
        <v>90.4</v>
      </c>
      <c r="F41" s="157">
        <f>SUM(E41*15/1000)</f>
        <v>1.3560000000000001</v>
      </c>
      <c r="G41" s="124">
        <v>639.1</v>
      </c>
      <c r="H41" s="95">
        <f t="shared" si="3"/>
        <v>0.86661960000000016</v>
      </c>
      <c r="I41" s="13">
        <f>(F41/7.5*1.5)*G41</f>
        <v>173.32392000000002</v>
      </c>
      <c r="J41" s="24"/>
      <c r="K41" s="8"/>
      <c r="L41" s="8"/>
      <c r="M41" s="8"/>
    </row>
    <row r="42" spans="1:13" ht="15.75" hidden="1" customHeight="1">
      <c r="A42" s="35">
        <v>12</v>
      </c>
      <c r="B42" s="155" t="s">
        <v>70</v>
      </c>
      <c r="C42" s="156" t="s">
        <v>32</v>
      </c>
      <c r="D42" s="155"/>
      <c r="E42" s="133"/>
      <c r="F42" s="157">
        <v>0.6</v>
      </c>
      <c r="G42" s="157">
        <v>900</v>
      </c>
      <c r="H42" s="152">
        <f t="shared" si="3"/>
        <v>0.54</v>
      </c>
      <c r="I42" s="126">
        <f>(F42/7.5*1.5)*G42</f>
        <v>108</v>
      </c>
      <c r="J42" s="24"/>
      <c r="K42" s="8"/>
      <c r="L42" s="8"/>
      <c r="M42" s="8"/>
    </row>
    <row r="43" spans="1:13" ht="34.5" customHeight="1">
      <c r="A43" s="153">
        <v>11</v>
      </c>
      <c r="B43" s="34" t="s">
        <v>193</v>
      </c>
      <c r="C43" s="40" t="s">
        <v>29</v>
      </c>
      <c r="D43" s="34" t="s">
        <v>163</v>
      </c>
      <c r="E43" s="123">
        <v>1.2</v>
      </c>
      <c r="F43" s="124">
        <f>E43*12/1000</f>
        <v>1.4399999999999998E-2</v>
      </c>
      <c r="G43" s="124">
        <v>20547.34</v>
      </c>
      <c r="H43" s="13"/>
      <c r="I43" s="13">
        <f>G43*F43/6</f>
        <v>49.313615999999996</v>
      </c>
      <c r="J43" s="24"/>
      <c r="K43" s="8"/>
      <c r="L43" s="8"/>
      <c r="M43" s="8"/>
    </row>
    <row r="44" spans="1:13" ht="15.75" hidden="1" customHeight="1">
      <c r="A44" s="201" t="s">
        <v>131</v>
      </c>
      <c r="B44" s="202"/>
      <c r="C44" s="202"/>
      <c r="D44" s="202"/>
      <c r="E44" s="202"/>
      <c r="F44" s="202"/>
      <c r="G44" s="202"/>
      <c r="H44" s="202"/>
      <c r="I44" s="203"/>
      <c r="J44" s="24"/>
      <c r="K44" s="8"/>
      <c r="L44" s="8"/>
      <c r="M44" s="8"/>
    </row>
    <row r="45" spans="1:13" ht="15.75" hidden="1" customHeight="1">
      <c r="A45" s="41">
        <v>15</v>
      </c>
      <c r="B45" s="91" t="s">
        <v>106</v>
      </c>
      <c r="C45" s="92" t="s">
        <v>100</v>
      </c>
      <c r="D45" s="91" t="s">
        <v>42</v>
      </c>
      <c r="E45" s="93">
        <v>965.8</v>
      </c>
      <c r="F45" s="94">
        <f>SUM(E45*2/1000)</f>
        <v>1.9316</v>
      </c>
      <c r="G45" s="13">
        <v>849.49</v>
      </c>
      <c r="H45" s="95">
        <f t="shared" ref="H45:H54" si="5">SUM(F45*G45/1000)</f>
        <v>1.640874884</v>
      </c>
      <c r="I45" s="13">
        <v>0</v>
      </c>
      <c r="J45" s="24"/>
      <c r="K45" s="8"/>
    </row>
    <row r="46" spans="1:13" ht="15.75" hidden="1" customHeight="1">
      <c r="A46" s="41">
        <v>16</v>
      </c>
      <c r="B46" s="91" t="s">
        <v>35</v>
      </c>
      <c r="C46" s="92" t="s">
        <v>100</v>
      </c>
      <c r="D46" s="91" t="s">
        <v>42</v>
      </c>
      <c r="E46" s="93">
        <v>36</v>
      </c>
      <c r="F46" s="94">
        <f>SUM(E46*2/1000)</f>
        <v>7.1999999999999995E-2</v>
      </c>
      <c r="G46" s="13">
        <v>579.48</v>
      </c>
      <c r="H46" s="95">
        <f t="shared" si="5"/>
        <v>4.1722559999999999E-2</v>
      </c>
      <c r="I46" s="13">
        <v>0</v>
      </c>
      <c r="J46" s="25"/>
    </row>
    <row r="47" spans="1:13" ht="15.75" hidden="1" customHeight="1">
      <c r="A47" s="41">
        <v>17</v>
      </c>
      <c r="B47" s="91" t="s">
        <v>36</v>
      </c>
      <c r="C47" s="92" t="s">
        <v>100</v>
      </c>
      <c r="D47" s="91" t="s">
        <v>42</v>
      </c>
      <c r="E47" s="93">
        <v>1197.7</v>
      </c>
      <c r="F47" s="94">
        <f>SUM(E47*2/1000)</f>
        <v>2.3954</v>
      </c>
      <c r="G47" s="13">
        <v>579.48</v>
      </c>
      <c r="H47" s="95">
        <f t="shared" si="5"/>
        <v>1.3880863919999999</v>
      </c>
      <c r="I47" s="13">
        <v>0</v>
      </c>
      <c r="J47" s="25"/>
    </row>
    <row r="48" spans="1:13" ht="15.75" hidden="1" customHeight="1">
      <c r="A48" s="41"/>
      <c r="B48" s="91" t="s">
        <v>37</v>
      </c>
      <c r="C48" s="92" t="s">
        <v>100</v>
      </c>
      <c r="D48" s="91" t="s">
        <v>42</v>
      </c>
      <c r="E48" s="93">
        <v>2275.92</v>
      </c>
      <c r="F48" s="94">
        <f>SUM(E48*2/1000)</f>
        <v>4.5518400000000003</v>
      </c>
      <c r="G48" s="13">
        <v>606.77</v>
      </c>
      <c r="H48" s="95">
        <f t="shared" si="5"/>
        <v>2.7619199567999999</v>
      </c>
      <c r="I48" s="13">
        <v>0</v>
      </c>
      <c r="J48" s="25"/>
    </row>
    <row r="49" spans="1:14" ht="15.75" hidden="1" customHeight="1">
      <c r="A49" s="41">
        <v>18</v>
      </c>
      <c r="B49" s="91" t="s">
        <v>33</v>
      </c>
      <c r="C49" s="92" t="s">
        <v>34</v>
      </c>
      <c r="D49" s="91" t="s">
        <v>42</v>
      </c>
      <c r="E49" s="93">
        <v>81.709999999999994</v>
      </c>
      <c r="F49" s="94">
        <f>SUM(E49*2/100)</f>
        <v>1.6341999999999999</v>
      </c>
      <c r="G49" s="13">
        <v>68.56</v>
      </c>
      <c r="H49" s="95">
        <f t="shared" si="5"/>
        <v>0.11204075199999999</v>
      </c>
      <c r="I49" s="13">
        <v>0</v>
      </c>
      <c r="J49" s="25"/>
    </row>
    <row r="50" spans="1:14" ht="15.75" hidden="1" customHeight="1">
      <c r="A50" s="41">
        <v>14</v>
      </c>
      <c r="B50" s="91" t="s">
        <v>56</v>
      </c>
      <c r="C50" s="92" t="s">
        <v>100</v>
      </c>
      <c r="D50" s="91" t="s">
        <v>135</v>
      </c>
      <c r="E50" s="93">
        <v>1711.8</v>
      </c>
      <c r="F50" s="94">
        <f>SUM(E50*5/1000)</f>
        <v>8.5589999999999993</v>
      </c>
      <c r="G50" s="13">
        <v>1213.55</v>
      </c>
      <c r="H50" s="95">
        <f t="shared" si="5"/>
        <v>10.386774449999999</v>
      </c>
      <c r="I50" s="13">
        <f>F50/5*G50</f>
        <v>2077.3548899999996</v>
      </c>
      <c r="J50" s="25"/>
    </row>
    <row r="51" spans="1:14" ht="31.5" hidden="1" customHeight="1">
      <c r="A51" s="41">
        <v>14</v>
      </c>
      <c r="B51" s="91" t="s">
        <v>107</v>
      </c>
      <c r="C51" s="92" t="s">
        <v>100</v>
      </c>
      <c r="D51" s="91" t="s">
        <v>42</v>
      </c>
      <c r="E51" s="93">
        <v>1711.8</v>
      </c>
      <c r="F51" s="94">
        <f>SUM(E51*2/1000)</f>
        <v>3.4236</v>
      </c>
      <c r="G51" s="13">
        <v>1213.55</v>
      </c>
      <c r="H51" s="95">
        <f t="shared" si="5"/>
        <v>4.1547097800000001</v>
      </c>
      <c r="I51" s="13">
        <f>F51/2*G51</f>
        <v>2077.3548900000001</v>
      </c>
      <c r="J51" s="25"/>
    </row>
    <row r="52" spans="1:14" ht="31.5" hidden="1" customHeight="1">
      <c r="A52" s="41">
        <v>15</v>
      </c>
      <c r="B52" s="91" t="s">
        <v>108</v>
      </c>
      <c r="C52" s="92" t="s">
        <v>38</v>
      </c>
      <c r="D52" s="91" t="s">
        <v>42</v>
      </c>
      <c r="E52" s="93">
        <v>15</v>
      </c>
      <c r="F52" s="94">
        <f>SUM(E52*2/100)</f>
        <v>0.3</v>
      </c>
      <c r="G52" s="13">
        <v>2730.49</v>
      </c>
      <c r="H52" s="95">
        <f t="shared" si="5"/>
        <v>0.81914699999999996</v>
      </c>
      <c r="I52" s="13">
        <f t="shared" ref="I52:I53" si="6">F52/2*G52</f>
        <v>409.57349999999997</v>
      </c>
      <c r="J52" s="25"/>
    </row>
    <row r="53" spans="1:14" ht="15.75" hidden="1" customHeight="1">
      <c r="A53" s="41">
        <v>16</v>
      </c>
      <c r="B53" s="91" t="s">
        <v>39</v>
      </c>
      <c r="C53" s="92" t="s">
        <v>40</v>
      </c>
      <c r="D53" s="91" t="s">
        <v>42</v>
      </c>
      <c r="E53" s="93">
        <v>1</v>
      </c>
      <c r="F53" s="94">
        <v>0.02</v>
      </c>
      <c r="G53" s="13">
        <v>5322.15</v>
      </c>
      <c r="H53" s="95">
        <f t="shared" si="5"/>
        <v>0.106443</v>
      </c>
      <c r="I53" s="13">
        <f t="shared" si="6"/>
        <v>53.221499999999999</v>
      </c>
      <c r="J53" s="25"/>
      <c r="L53" s="21"/>
      <c r="M53" s="22"/>
      <c r="N53" s="23"/>
    </row>
    <row r="54" spans="1:14" ht="15.75" hidden="1" customHeight="1">
      <c r="A54" s="148">
        <v>15</v>
      </c>
      <c r="B54" s="145" t="s">
        <v>41</v>
      </c>
      <c r="C54" s="149" t="s">
        <v>85</v>
      </c>
      <c r="D54" s="145" t="s">
        <v>71</v>
      </c>
      <c r="E54" s="150">
        <v>90</v>
      </c>
      <c r="F54" s="151">
        <f>SUM(E54)*3</f>
        <v>270</v>
      </c>
      <c r="G54" s="126">
        <v>65.67</v>
      </c>
      <c r="H54" s="152">
        <f t="shared" si="5"/>
        <v>17.730900000000002</v>
      </c>
      <c r="I54" s="126">
        <f>E54*G54</f>
        <v>5910.3</v>
      </c>
      <c r="J54" s="25"/>
      <c r="L54" s="21"/>
      <c r="M54" s="22"/>
      <c r="N54" s="23"/>
    </row>
    <row r="55" spans="1:14" ht="15.75" customHeight="1">
      <c r="A55" s="201" t="s">
        <v>142</v>
      </c>
      <c r="B55" s="202"/>
      <c r="C55" s="202"/>
      <c r="D55" s="202"/>
      <c r="E55" s="202"/>
      <c r="F55" s="202"/>
      <c r="G55" s="202"/>
      <c r="H55" s="202"/>
      <c r="I55" s="203"/>
      <c r="J55" s="25"/>
      <c r="L55" s="21"/>
      <c r="M55" s="22"/>
      <c r="N55" s="23"/>
    </row>
    <row r="56" spans="1:14" ht="15.75" customHeight="1">
      <c r="A56" s="147"/>
      <c r="B56" s="48" t="s">
        <v>43</v>
      </c>
      <c r="C56" s="17"/>
      <c r="D56" s="16"/>
      <c r="E56" s="16"/>
      <c r="F56" s="16"/>
      <c r="G56" s="31"/>
      <c r="H56" s="31"/>
      <c r="I56" s="19"/>
      <c r="J56" s="25"/>
      <c r="L56" s="21"/>
      <c r="M56" s="22"/>
      <c r="N56" s="23"/>
    </row>
    <row r="57" spans="1:14" ht="31.5" customHeight="1">
      <c r="A57" s="41">
        <v>12</v>
      </c>
      <c r="B57" s="34" t="s">
        <v>109</v>
      </c>
      <c r="C57" s="40" t="s">
        <v>88</v>
      </c>
      <c r="D57" s="34"/>
      <c r="E57" s="123">
        <v>62.4</v>
      </c>
      <c r="F57" s="124">
        <f>SUM(E57*6/100)</f>
        <v>3.7439999999999998</v>
      </c>
      <c r="G57" s="37">
        <v>2306.83</v>
      </c>
      <c r="H57" s="95">
        <f>SUM(F57*G57/1000)</f>
        <v>8.6367715199999981</v>
      </c>
      <c r="I57" s="13">
        <f>G57*0.412</f>
        <v>950.41395999999997</v>
      </c>
      <c r="J57" s="25"/>
      <c r="L57" s="21"/>
      <c r="M57" s="22"/>
      <c r="N57" s="23"/>
    </row>
    <row r="58" spans="1:14" ht="18.75" customHeight="1">
      <c r="A58" s="41">
        <v>13</v>
      </c>
      <c r="B58" s="34" t="s">
        <v>139</v>
      </c>
      <c r="C58" s="40" t="s">
        <v>140</v>
      </c>
      <c r="D58" s="34" t="s">
        <v>173</v>
      </c>
      <c r="E58" s="123"/>
      <c r="F58" s="125">
        <v>10</v>
      </c>
      <c r="G58" s="37">
        <v>1800</v>
      </c>
      <c r="H58" s="84"/>
      <c r="I58" s="13">
        <f>G58*1</f>
        <v>1800</v>
      </c>
      <c r="J58" s="25"/>
      <c r="L58" s="21"/>
      <c r="M58" s="22"/>
      <c r="N58" s="23"/>
    </row>
    <row r="59" spans="1:14" ht="15.75" customHeight="1">
      <c r="A59" s="41"/>
      <c r="B59" s="67" t="s">
        <v>44</v>
      </c>
      <c r="C59" s="40"/>
      <c r="D59" s="34"/>
      <c r="E59" s="19"/>
      <c r="F59" s="85"/>
      <c r="G59" s="37"/>
      <c r="H59" s="68"/>
      <c r="I59" s="20"/>
      <c r="J59" s="25"/>
      <c r="L59" s="21"/>
      <c r="M59" s="22"/>
      <c r="N59" s="23"/>
    </row>
    <row r="60" spans="1:14" ht="15.75" hidden="1" customHeight="1">
      <c r="A60" s="41"/>
      <c r="B60" s="91" t="s">
        <v>45</v>
      </c>
      <c r="C60" s="92" t="s">
        <v>88</v>
      </c>
      <c r="D60" s="91" t="s">
        <v>54</v>
      </c>
      <c r="E60" s="93">
        <v>855.9</v>
      </c>
      <c r="F60" s="95">
        <v>8.6</v>
      </c>
      <c r="G60" s="13">
        <v>747.3</v>
      </c>
      <c r="H60" s="99">
        <v>6.4</v>
      </c>
      <c r="I60" s="13">
        <v>0</v>
      </c>
      <c r="J60" s="25"/>
      <c r="L60" s="21"/>
      <c r="M60" s="22"/>
      <c r="N60" s="23"/>
    </row>
    <row r="61" spans="1:14" ht="15.75" customHeight="1">
      <c r="A61" s="41">
        <v>14</v>
      </c>
      <c r="B61" s="34" t="s">
        <v>86</v>
      </c>
      <c r="C61" s="40" t="s">
        <v>25</v>
      </c>
      <c r="D61" s="34" t="s">
        <v>165</v>
      </c>
      <c r="E61" s="123">
        <v>130</v>
      </c>
      <c r="F61" s="124">
        <f>E61*12</f>
        <v>1560</v>
      </c>
      <c r="G61" s="68">
        <v>1.4</v>
      </c>
      <c r="H61" s="99">
        <f>F61*G61/1000</f>
        <v>2.1840000000000002</v>
      </c>
      <c r="I61" s="13">
        <f>F61/12*G61</f>
        <v>182</v>
      </c>
      <c r="J61" s="25"/>
      <c r="L61" s="21"/>
      <c r="M61" s="22"/>
      <c r="N61" s="23"/>
    </row>
    <row r="62" spans="1:14" ht="15.75" hidden="1" customHeight="1">
      <c r="A62" s="41"/>
      <c r="B62" s="67" t="s">
        <v>126</v>
      </c>
      <c r="C62" s="40"/>
      <c r="D62" s="34"/>
      <c r="E62" s="19"/>
      <c r="F62" s="85"/>
      <c r="G62" s="69"/>
      <c r="H62" s="68"/>
      <c r="I62" s="20"/>
      <c r="J62" s="25"/>
      <c r="L62" s="21"/>
      <c r="M62" s="22"/>
      <c r="N62" s="23"/>
    </row>
    <row r="63" spans="1:14" ht="15.75" hidden="1" customHeight="1">
      <c r="A63" s="41"/>
      <c r="B63" s="91" t="s">
        <v>127</v>
      </c>
      <c r="C63" s="92" t="s">
        <v>85</v>
      </c>
      <c r="D63" s="91" t="s">
        <v>65</v>
      </c>
      <c r="E63" s="93">
        <v>2</v>
      </c>
      <c r="F63" s="94">
        <f>SUM(E63)</f>
        <v>2</v>
      </c>
      <c r="G63" s="100">
        <v>237.75</v>
      </c>
      <c r="H63" s="95">
        <f t="shared" ref="H63" si="7">SUM(F63*G63/1000)</f>
        <v>0.47549999999999998</v>
      </c>
      <c r="I63" s="13">
        <v>0</v>
      </c>
      <c r="J63" s="25"/>
      <c r="L63" s="21"/>
      <c r="M63" s="22"/>
      <c r="N63" s="23"/>
    </row>
    <row r="64" spans="1:14" ht="15.75" hidden="1" customHeight="1">
      <c r="A64" s="41"/>
      <c r="B64" s="146" t="s">
        <v>46</v>
      </c>
      <c r="C64" s="17"/>
      <c r="D64" s="16"/>
      <c r="E64" s="16"/>
      <c r="F64" s="86"/>
      <c r="G64" s="65"/>
      <c r="H64" s="68"/>
      <c r="I64" s="19"/>
      <c r="J64" s="25"/>
      <c r="L64" s="21"/>
      <c r="M64" s="22"/>
      <c r="N64" s="23"/>
    </row>
    <row r="65" spans="1:14" ht="15.75" hidden="1" customHeight="1">
      <c r="A65" s="41">
        <v>23</v>
      </c>
      <c r="B65" s="15" t="s">
        <v>47</v>
      </c>
      <c r="C65" s="17" t="s">
        <v>85</v>
      </c>
      <c r="D65" s="91" t="s">
        <v>65</v>
      </c>
      <c r="E65" s="19">
        <v>10</v>
      </c>
      <c r="F65" s="94">
        <v>10</v>
      </c>
      <c r="G65" s="13">
        <v>222.4</v>
      </c>
      <c r="H65" s="101">
        <f t="shared" ref="H65:H72" si="8">SUM(F65*G65/1000)</f>
        <v>2.2240000000000002</v>
      </c>
      <c r="I65" s="13">
        <v>0</v>
      </c>
      <c r="J65" s="25"/>
      <c r="L65" s="21"/>
      <c r="M65" s="22"/>
      <c r="N65" s="23"/>
    </row>
    <row r="66" spans="1:14" ht="15.75" hidden="1" customHeight="1">
      <c r="A66" s="31">
        <v>29</v>
      </c>
      <c r="B66" s="15" t="s">
        <v>48</v>
      </c>
      <c r="C66" s="17" t="s">
        <v>85</v>
      </c>
      <c r="D66" s="91" t="s">
        <v>65</v>
      </c>
      <c r="E66" s="19">
        <v>5</v>
      </c>
      <c r="F66" s="94">
        <v>5</v>
      </c>
      <c r="G66" s="13">
        <v>75.25</v>
      </c>
      <c r="H66" s="101">
        <f t="shared" si="8"/>
        <v>0.37624999999999997</v>
      </c>
      <c r="I66" s="13">
        <v>0</v>
      </c>
      <c r="J66" s="25"/>
      <c r="L66" s="21"/>
      <c r="M66" s="22"/>
      <c r="N66" s="23"/>
    </row>
    <row r="67" spans="1:14" ht="15.75" hidden="1" customHeight="1">
      <c r="A67" s="31">
        <v>8</v>
      </c>
      <c r="B67" s="15" t="s">
        <v>49</v>
      </c>
      <c r="C67" s="17" t="s">
        <v>111</v>
      </c>
      <c r="D67" s="15" t="s">
        <v>54</v>
      </c>
      <c r="E67" s="93">
        <v>13018</v>
      </c>
      <c r="F67" s="13">
        <f>SUM(E67/100)</f>
        <v>130.18</v>
      </c>
      <c r="G67" s="13">
        <v>212.15</v>
      </c>
      <c r="H67" s="101">
        <f t="shared" si="8"/>
        <v>27.617687</v>
      </c>
      <c r="I67" s="13">
        <v>0</v>
      </c>
      <c r="J67" s="25"/>
      <c r="L67" s="21"/>
      <c r="M67" s="22"/>
      <c r="N67" s="23"/>
    </row>
    <row r="68" spans="1:14" ht="15.75" hidden="1" customHeight="1">
      <c r="A68" s="31">
        <v>9</v>
      </c>
      <c r="B68" s="15" t="s">
        <v>50</v>
      </c>
      <c r="C68" s="17" t="s">
        <v>112</v>
      </c>
      <c r="D68" s="15"/>
      <c r="E68" s="93">
        <v>13018</v>
      </c>
      <c r="F68" s="13">
        <f>SUM(E68/1000)</f>
        <v>13.018000000000001</v>
      </c>
      <c r="G68" s="13">
        <v>165.21</v>
      </c>
      <c r="H68" s="101">
        <f t="shared" si="8"/>
        <v>2.1507037800000002</v>
      </c>
      <c r="I68" s="13">
        <v>0</v>
      </c>
      <c r="J68" s="25"/>
      <c r="L68" s="21"/>
      <c r="M68" s="22"/>
      <c r="N68" s="23"/>
    </row>
    <row r="69" spans="1:14" ht="15.75" hidden="1" customHeight="1">
      <c r="A69" s="31">
        <v>10</v>
      </c>
      <c r="B69" s="15" t="s">
        <v>51</v>
      </c>
      <c r="C69" s="17" t="s">
        <v>76</v>
      </c>
      <c r="D69" s="15" t="s">
        <v>54</v>
      </c>
      <c r="E69" s="93">
        <v>1279</v>
      </c>
      <c r="F69" s="13">
        <f>SUM(E69/100)</f>
        <v>12.79</v>
      </c>
      <c r="G69" s="13">
        <v>2074.63</v>
      </c>
      <c r="H69" s="101">
        <f t="shared" si="8"/>
        <v>26.534517700000002</v>
      </c>
      <c r="I69" s="13">
        <v>0</v>
      </c>
      <c r="J69" s="25"/>
      <c r="L69" s="21"/>
      <c r="M69" s="22"/>
      <c r="N69" s="23"/>
    </row>
    <row r="70" spans="1:14" ht="15.75" hidden="1" customHeight="1">
      <c r="A70" s="31">
        <v>11</v>
      </c>
      <c r="B70" s="102" t="s">
        <v>113</v>
      </c>
      <c r="C70" s="17" t="s">
        <v>32</v>
      </c>
      <c r="D70" s="15"/>
      <c r="E70" s="93">
        <v>12</v>
      </c>
      <c r="F70" s="13">
        <f>SUM(E70)</f>
        <v>12</v>
      </c>
      <c r="G70" s="13">
        <v>45.32</v>
      </c>
      <c r="H70" s="101">
        <f t="shared" si="8"/>
        <v>0.54383999999999999</v>
      </c>
      <c r="I70" s="13">
        <v>0</v>
      </c>
      <c r="J70" s="25"/>
      <c r="L70" s="21"/>
      <c r="M70" s="22"/>
      <c r="N70" s="23"/>
    </row>
    <row r="71" spans="1:14" ht="15.75" hidden="1" customHeight="1">
      <c r="A71" s="31">
        <v>12</v>
      </c>
      <c r="B71" s="102" t="s">
        <v>114</v>
      </c>
      <c r="C71" s="17" t="s">
        <v>32</v>
      </c>
      <c r="D71" s="15"/>
      <c r="E71" s="93">
        <v>12</v>
      </c>
      <c r="F71" s="13">
        <f>SUM(E71)</f>
        <v>12</v>
      </c>
      <c r="G71" s="13">
        <v>42.28</v>
      </c>
      <c r="H71" s="101">
        <f t="shared" si="8"/>
        <v>0.50736000000000003</v>
      </c>
      <c r="I71" s="13">
        <v>0</v>
      </c>
      <c r="J71" s="25"/>
      <c r="L71" s="21"/>
      <c r="M71" s="22"/>
      <c r="N71" s="23"/>
    </row>
    <row r="72" spans="1:14" ht="15.75" hidden="1" customHeight="1">
      <c r="A72" s="31">
        <v>13</v>
      </c>
      <c r="B72" s="15" t="s">
        <v>57</v>
      </c>
      <c r="C72" s="17" t="s">
        <v>58</v>
      </c>
      <c r="D72" s="15" t="s">
        <v>54</v>
      </c>
      <c r="E72" s="19">
        <v>1</v>
      </c>
      <c r="F72" s="94">
        <f>SUM(E72)</f>
        <v>1</v>
      </c>
      <c r="G72" s="13">
        <v>49.88</v>
      </c>
      <c r="H72" s="101">
        <f t="shared" si="8"/>
        <v>4.9880000000000001E-2</v>
      </c>
      <c r="I72" s="13">
        <v>0</v>
      </c>
      <c r="J72" s="25"/>
      <c r="L72" s="21"/>
      <c r="M72" s="22"/>
      <c r="N72" s="23"/>
    </row>
    <row r="73" spans="1:14" ht="15.75" hidden="1" customHeight="1">
      <c r="A73" s="147"/>
      <c r="B73" s="146" t="s">
        <v>115</v>
      </c>
      <c r="C73" s="146"/>
      <c r="D73" s="146"/>
      <c r="E73" s="146"/>
      <c r="F73" s="146"/>
      <c r="G73" s="146"/>
      <c r="H73" s="146"/>
      <c r="I73" s="19"/>
      <c r="J73" s="25"/>
      <c r="L73" s="21"/>
      <c r="M73" s="22"/>
      <c r="N73" s="23"/>
    </row>
    <row r="74" spans="1:14" ht="15.75" hidden="1" customHeight="1">
      <c r="A74" s="31">
        <v>15</v>
      </c>
      <c r="B74" s="91" t="s">
        <v>116</v>
      </c>
      <c r="C74" s="17"/>
      <c r="D74" s="15"/>
      <c r="E74" s="85"/>
      <c r="F74" s="13">
        <v>1</v>
      </c>
      <c r="G74" s="13">
        <v>10041.700000000001</v>
      </c>
      <c r="H74" s="101">
        <f>G74*F74/1000</f>
        <v>10.041700000000001</v>
      </c>
      <c r="I74" s="13">
        <v>0</v>
      </c>
      <c r="J74" s="25"/>
      <c r="L74" s="21"/>
      <c r="M74" s="22"/>
      <c r="N74" s="23"/>
    </row>
    <row r="75" spans="1:14" ht="15.75" customHeight="1">
      <c r="A75" s="31"/>
      <c r="B75" s="144" t="s">
        <v>174</v>
      </c>
      <c r="C75" s="38"/>
      <c r="D75" s="121"/>
      <c r="E75" s="18"/>
      <c r="F75" s="68"/>
      <c r="G75" s="37"/>
      <c r="H75" s="137"/>
      <c r="I75" s="138"/>
      <c r="J75" s="25"/>
      <c r="L75" s="21"/>
      <c r="M75" s="22"/>
      <c r="N75" s="23"/>
    </row>
    <row r="76" spans="1:14" ht="33" customHeight="1">
      <c r="A76" s="31">
        <v>15</v>
      </c>
      <c r="B76" s="121" t="s">
        <v>175</v>
      </c>
      <c r="C76" s="41" t="s">
        <v>176</v>
      </c>
      <c r="D76" s="121"/>
      <c r="E76" s="18">
        <v>2581.1999999999998</v>
      </c>
      <c r="F76" s="37">
        <f>E76*12</f>
        <v>30974.399999999998</v>
      </c>
      <c r="G76" s="37">
        <v>2.6</v>
      </c>
      <c r="H76" s="137"/>
      <c r="I76" s="138">
        <f>G76*F76/12</f>
        <v>6711.12</v>
      </c>
      <c r="J76" s="25"/>
      <c r="L76" s="21"/>
      <c r="M76" s="22"/>
      <c r="N76" s="23"/>
    </row>
    <row r="77" spans="1:14" ht="15.75" hidden="1" customHeight="1">
      <c r="A77" s="31"/>
      <c r="B77" s="49" t="s">
        <v>72</v>
      </c>
      <c r="C77" s="49"/>
      <c r="D77" s="49"/>
      <c r="E77" s="19"/>
      <c r="F77" s="19"/>
      <c r="G77" s="31"/>
      <c r="H77" s="31"/>
      <c r="I77" s="19"/>
      <c r="J77" s="25"/>
      <c r="L77" s="21"/>
      <c r="M77" s="22"/>
      <c r="N77" s="23"/>
    </row>
    <row r="78" spans="1:14" ht="15.75" hidden="1" customHeight="1">
      <c r="A78" s="31">
        <v>16</v>
      </c>
      <c r="B78" s="15" t="s">
        <v>73</v>
      </c>
      <c r="C78" s="17" t="s">
        <v>74</v>
      </c>
      <c r="D78" s="15" t="s">
        <v>171</v>
      </c>
      <c r="E78" s="19">
        <v>5</v>
      </c>
      <c r="F78" s="13">
        <v>0.5</v>
      </c>
      <c r="G78" s="13">
        <v>501.62</v>
      </c>
      <c r="H78" s="101">
        <f t="shared" ref="H78:H80" si="9">SUM(F78*G78/1000)</f>
        <v>0.25080999999999998</v>
      </c>
      <c r="I78" s="13">
        <f>G78*0.3</f>
        <v>150.48599999999999</v>
      </c>
      <c r="J78" s="25"/>
      <c r="L78" s="21"/>
      <c r="M78" s="22"/>
      <c r="N78" s="23"/>
    </row>
    <row r="79" spans="1:14" ht="15.75" hidden="1" customHeight="1">
      <c r="A79" s="31"/>
      <c r="B79" s="15" t="s">
        <v>128</v>
      </c>
      <c r="C79" s="17" t="s">
        <v>85</v>
      </c>
      <c r="D79" s="15"/>
      <c r="E79" s="19">
        <v>1</v>
      </c>
      <c r="F79" s="84">
        <f>E79</f>
        <v>1</v>
      </c>
      <c r="G79" s="13">
        <v>852.99</v>
      </c>
      <c r="H79" s="101">
        <f t="shared" si="9"/>
        <v>0.85299000000000003</v>
      </c>
      <c r="I79" s="13">
        <v>0</v>
      </c>
      <c r="J79" s="25"/>
      <c r="L79" s="21"/>
      <c r="M79" s="22"/>
      <c r="N79" s="23"/>
    </row>
    <row r="80" spans="1:14" ht="15.75" hidden="1" customHeight="1">
      <c r="A80" s="31"/>
      <c r="B80" s="15" t="s">
        <v>129</v>
      </c>
      <c r="C80" s="17" t="s">
        <v>85</v>
      </c>
      <c r="D80" s="15"/>
      <c r="E80" s="19">
        <v>1</v>
      </c>
      <c r="F80" s="94">
        <f>SUM(E80)</f>
        <v>1</v>
      </c>
      <c r="G80" s="13">
        <v>358.51</v>
      </c>
      <c r="H80" s="101">
        <f t="shared" si="9"/>
        <v>0.35851</v>
      </c>
      <c r="I80" s="13">
        <v>0</v>
      </c>
      <c r="J80" s="25"/>
      <c r="L80" s="21"/>
      <c r="M80" s="22"/>
      <c r="N80" s="23"/>
    </row>
    <row r="81" spans="1:21" ht="15.75" customHeight="1">
      <c r="A81" s="31"/>
      <c r="B81" s="121" t="s">
        <v>194</v>
      </c>
      <c r="C81" s="38" t="s">
        <v>85</v>
      </c>
      <c r="D81" s="121" t="s">
        <v>164</v>
      </c>
      <c r="E81" s="18">
        <v>2</v>
      </c>
      <c r="F81" s="68">
        <f>E81*12</f>
        <v>24</v>
      </c>
      <c r="G81" s="37">
        <v>420</v>
      </c>
      <c r="H81" s="101"/>
      <c r="I81" s="13">
        <f>G81*2</f>
        <v>840</v>
      </c>
      <c r="J81" s="25"/>
      <c r="L81" s="21"/>
      <c r="M81" s="22"/>
      <c r="N81" s="23"/>
    </row>
    <row r="82" spans="1:21" ht="15.75" hidden="1" customHeight="1">
      <c r="A82" s="31"/>
      <c r="B82" s="50" t="s">
        <v>75</v>
      </c>
      <c r="C82" s="38"/>
      <c r="D82" s="31"/>
      <c r="E82" s="19"/>
      <c r="F82" s="19"/>
      <c r="G82" s="37" t="s">
        <v>117</v>
      </c>
      <c r="H82" s="37"/>
      <c r="I82" s="19"/>
      <c r="J82" s="25"/>
      <c r="L82" s="21"/>
      <c r="M82" s="22"/>
      <c r="N82" s="23"/>
    </row>
    <row r="83" spans="1:21" ht="15.75" hidden="1" customHeight="1">
      <c r="A83" s="31">
        <v>12</v>
      </c>
      <c r="B83" s="52" t="s">
        <v>118</v>
      </c>
      <c r="C83" s="17" t="s">
        <v>76</v>
      </c>
      <c r="D83" s="15"/>
      <c r="E83" s="19"/>
      <c r="F83" s="13">
        <v>0.3</v>
      </c>
      <c r="G83" s="13">
        <v>2759.44</v>
      </c>
      <c r="H83" s="101">
        <f t="shared" ref="H83" si="10">SUM(F83*G83/1000)</f>
        <v>0.82783200000000001</v>
      </c>
      <c r="I83" s="13">
        <v>0</v>
      </c>
      <c r="J83" s="25"/>
      <c r="L83" s="21"/>
      <c r="M83" s="22"/>
      <c r="N83" s="23"/>
    </row>
    <row r="84" spans="1:21" ht="15.75" customHeight="1">
      <c r="A84" s="200" t="s">
        <v>143</v>
      </c>
      <c r="B84" s="200"/>
      <c r="C84" s="200"/>
      <c r="D84" s="200"/>
      <c r="E84" s="200"/>
      <c r="F84" s="200"/>
      <c r="G84" s="200"/>
      <c r="H84" s="200"/>
      <c r="I84" s="200"/>
      <c r="J84" s="25"/>
      <c r="L84" s="21"/>
      <c r="M84" s="22"/>
      <c r="N84" s="23"/>
    </row>
    <row r="85" spans="1:21" ht="15.75" customHeight="1">
      <c r="A85" s="163">
        <v>16</v>
      </c>
      <c r="B85" s="158" t="s">
        <v>119</v>
      </c>
      <c r="C85" s="159" t="s">
        <v>55</v>
      </c>
      <c r="D85" s="160"/>
      <c r="E85" s="161">
        <v>2581.1999999999998</v>
      </c>
      <c r="F85" s="161">
        <f>SUM(E85*12)</f>
        <v>30974.399999999998</v>
      </c>
      <c r="G85" s="161">
        <v>3.5</v>
      </c>
      <c r="H85" s="164">
        <f>SUM(F85*G85/1000)</f>
        <v>108.4104</v>
      </c>
      <c r="I85" s="165">
        <f>F85/12*G85</f>
        <v>9034.1999999999989</v>
      </c>
      <c r="J85" s="25"/>
      <c r="L85" s="21"/>
    </row>
    <row r="86" spans="1:21" ht="31.5" customHeight="1">
      <c r="A86" s="31">
        <v>17</v>
      </c>
      <c r="B86" s="121" t="s">
        <v>195</v>
      </c>
      <c r="C86" s="38" t="s">
        <v>55</v>
      </c>
      <c r="D86" s="66"/>
      <c r="E86" s="123">
        <f>E85</f>
        <v>2581.1999999999998</v>
      </c>
      <c r="F86" s="37">
        <f>E86*12</f>
        <v>30974.399999999998</v>
      </c>
      <c r="G86" s="37">
        <v>3.2</v>
      </c>
      <c r="H86" s="101">
        <f>F86*G86/1000</f>
        <v>99.118080000000006</v>
      </c>
      <c r="I86" s="13">
        <f>F86/12*G86</f>
        <v>8259.84</v>
      </c>
    </row>
    <row r="87" spans="1:21" ht="31.5" customHeight="1">
      <c r="A87" s="31">
        <v>18</v>
      </c>
      <c r="B87" s="121" t="s">
        <v>196</v>
      </c>
      <c r="C87" s="38" t="s">
        <v>55</v>
      </c>
      <c r="D87" s="66"/>
      <c r="E87" s="162">
        <v>2581.1999999999998</v>
      </c>
      <c r="F87" s="37">
        <f>E87*1</f>
        <v>2581.1999999999998</v>
      </c>
      <c r="G87" s="37">
        <v>3.2</v>
      </c>
      <c r="H87" s="101"/>
      <c r="I87" s="13">
        <f>G87*F87/1</f>
        <v>8259.84</v>
      </c>
    </row>
    <row r="88" spans="1:21" ht="15.75" customHeight="1">
      <c r="A88" s="53"/>
      <c r="B88" s="39" t="s">
        <v>79</v>
      </c>
      <c r="C88" s="41"/>
      <c r="D88" s="16"/>
      <c r="E88" s="16"/>
      <c r="F88" s="16"/>
      <c r="G88" s="19"/>
      <c r="H88" s="19"/>
      <c r="I88" s="33">
        <f>I87+I86+I85+I81+I76+I61+I58+I57+I43+I40+I38+I37+I36+I27+I21+I20+I18+I17+I16</f>
        <v>48216.680310166666</v>
      </c>
    </row>
    <row r="89" spans="1:21" ht="15.75" customHeight="1">
      <c r="A89" s="208" t="s">
        <v>60</v>
      </c>
      <c r="B89" s="209"/>
      <c r="C89" s="209"/>
      <c r="D89" s="209"/>
      <c r="E89" s="209"/>
      <c r="F89" s="209"/>
      <c r="G89" s="209"/>
      <c r="H89" s="209"/>
      <c r="I89" s="210"/>
    </row>
    <row r="90" spans="1:21" ht="15.75" customHeight="1">
      <c r="A90" s="31"/>
      <c r="B90" s="46" t="s">
        <v>52</v>
      </c>
      <c r="C90" s="42"/>
      <c r="D90" s="54"/>
      <c r="E90" s="42">
        <v>1</v>
      </c>
      <c r="F90" s="42"/>
      <c r="G90" s="42"/>
      <c r="H90" s="42"/>
      <c r="I90" s="33">
        <v>0</v>
      </c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</row>
    <row r="91" spans="1:21" ht="15.75" customHeight="1">
      <c r="A91" s="31"/>
      <c r="B91" s="52" t="s">
        <v>78</v>
      </c>
      <c r="C91" s="16"/>
      <c r="D91" s="16"/>
      <c r="E91" s="43"/>
      <c r="F91" s="43"/>
      <c r="G91" s="44"/>
      <c r="H91" s="44"/>
      <c r="I91" s="18">
        <v>0</v>
      </c>
    </row>
    <row r="92" spans="1:21" ht="15.75" customHeight="1">
      <c r="A92" s="55"/>
      <c r="B92" s="47" t="s">
        <v>136</v>
      </c>
      <c r="C92" s="36"/>
      <c r="D92" s="36"/>
      <c r="E92" s="36"/>
      <c r="F92" s="36"/>
      <c r="G92" s="36"/>
      <c r="H92" s="36"/>
      <c r="I92" s="45">
        <f>I88+I90</f>
        <v>48216.680310166666</v>
      </c>
    </row>
    <row r="93" spans="1:21" ht="15.75" customHeight="1">
      <c r="A93" s="204" t="s">
        <v>199</v>
      </c>
      <c r="B93" s="204"/>
      <c r="C93" s="204"/>
      <c r="D93" s="204"/>
      <c r="E93" s="204"/>
      <c r="F93" s="204"/>
      <c r="G93" s="204"/>
      <c r="H93" s="204"/>
      <c r="I93" s="204"/>
    </row>
    <row r="94" spans="1:21" ht="15.75" customHeight="1">
      <c r="A94" s="77"/>
      <c r="B94" s="185" t="s">
        <v>200</v>
      </c>
      <c r="C94" s="185"/>
      <c r="D94" s="185"/>
      <c r="E94" s="185"/>
      <c r="F94" s="185"/>
      <c r="G94" s="185"/>
      <c r="H94" s="89"/>
      <c r="I94" s="3"/>
    </row>
    <row r="95" spans="1:21" ht="15.75" customHeight="1">
      <c r="A95" s="70"/>
      <c r="B95" s="186" t="s">
        <v>6</v>
      </c>
      <c r="C95" s="186"/>
      <c r="D95" s="186"/>
      <c r="E95" s="186"/>
      <c r="F95" s="186"/>
      <c r="G95" s="186"/>
      <c r="H95" s="26"/>
      <c r="I95" s="5"/>
    </row>
    <row r="96" spans="1:21" ht="15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 customHeight="1">
      <c r="A97" s="187" t="s">
        <v>7</v>
      </c>
      <c r="B97" s="187"/>
      <c r="C97" s="187"/>
      <c r="D97" s="187"/>
      <c r="E97" s="187"/>
      <c r="F97" s="187"/>
      <c r="G97" s="187"/>
      <c r="H97" s="187"/>
      <c r="I97" s="187"/>
    </row>
    <row r="98" spans="1:9" ht="15.75" customHeight="1">
      <c r="A98" s="187" t="s">
        <v>8</v>
      </c>
      <c r="B98" s="187"/>
      <c r="C98" s="187"/>
      <c r="D98" s="187"/>
      <c r="E98" s="187"/>
      <c r="F98" s="187"/>
      <c r="G98" s="187"/>
      <c r="H98" s="187"/>
      <c r="I98" s="187"/>
    </row>
    <row r="99" spans="1:9" ht="15.75" customHeight="1">
      <c r="A99" s="190" t="s">
        <v>61</v>
      </c>
      <c r="B99" s="190"/>
      <c r="C99" s="190"/>
      <c r="D99" s="190"/>
      <c r="E99" s="190"/>
      <c r="F99" s="190"/>
      <c r="G99" s="190"/>
      <c r="H99" s="190"/>
      <c r="I99" s="190"/>
    </row>
    <row r="100" spans="1:9" ht="15.75" customHeight="1">
      <c r="A100" s="11"/>
    </row>
    <row r="101" spans="1:9" ht="15.75" customHeight="1">
      <c r="A101" s="191" t="s">
        <v>9</v>
      </c>
      <c r="B101" s="191"/>
      <c r="C101" s="191"/>
      <c r="D101" s="191"/>
      <c r="E101" s="191"/>
      <c r="F101" s="191"/>
      <c r="G101" s="191"/>
      <c r="H101" s="191"/>
      <c r="I101" s="191"/>
    </row>
    <row r="102" spans="1:9" ht="15.75" customHeight="1">
      <c r="A102" s="4"/>
    </row>
    <row r="103" spans="1:9" ht="15.75" customHeight="1">
      <c r="B103" s="73" t="s">
        <v>10</v>
      </c>
      <c r="C103" s="192" t="s">
        <v>84</v>
      </c>
      <c r="D103" s="192"/>
      <c r="E103" s="192"/>
      <c r="F103" s="87"/>
      <c r="I103" s="72"/>
    </row>
    <row r="104" spans="1:9" ht="15.75" customHeight="1">
      <c r="A104" s="70"/>
      <c r="C104" s="186" t="s">
        <v>11</v>
      </c>
      <c r="D104" s="186"/>
      <c r="E104" s="186"/>
      <c r="F104" s="26"/>
      <c r="I104" s="71" t="s">
        <v>12</v>
      </c>
    </row>
    <row r="105" spans="1:9" ht="15.75" customHeight="1">
      <c r="A105" s="27"/>
      <c r="C105" s="12"/>
      <c r="D105" s="12"/>
      <c r="G105" s="12"/>
      <c r="H105" s="12"/>
    </row>
    <row r="106" spans="1:9" ht="15.75" customHeight="1">
      <c r="B106" s="73" t="s">
        <v>13</v>
      </c>
      <c r="C106" s="193"/>
      <c r="D106" s="193"/>
      <c r="E106" s="193"/>
      <c r="F106" s="88"/>
      <c r="I106" s="72"/>
    </row>
    <row r="107" spans="1:9" ht="15.75" customHeight="1">
      <c r="A107" s="70"/>
      <c r="C107" s="189" t="s">
        <v>11</v>
      </c>
      <c r="D107" s="189"/>
      <c r="E107" s="189"/>
      <c r="F107" s="70"/>
      <c r="I107" s="71" t="s">
        <v>12</v>
      </c>
    </row>
    <row r="108" spans="1:9" ht="15.75" customHeight="1">
      <c r="A108" s="4" t="s">
        <v>14</v>
      </c>
    </row>
    <row r="109" spans="1:9">
      <c r="A109" s="188" t="s">
        <v>15</v>
      </c>
      <c r="B109" s="188"/>
      <c r="C109" s="188"/>
      <c r="D109" s="188"/>
      <c r="E109" s="188"/>
      <c r="F109" s="188"/>
      <c r="G109" s="188"/>
      <c r="H109" s="188"/>
      <c r="I109" s="188"/>
    </row>
    <row r="110" spans="1:9" ht="45" customHeight="1">
      <c r="A110" s="184" t="s">
        <v>16</v>
      </c>
      <c r="B110" s="184"/>
      <c r="C110" s="184"/>
      <c r="D110" s="184"/>
      <c r="E110" s="184"/>
      <c r="F110" s="184"/>
      <c r="G110" s="184"/>
      <c r="H110" s="184"/>
      <c r="I110" s="184"/>
    </row>
    <row r="111" spans="1:9" ht="30" customHeight="1">
      <c r="A111" s="184" t="s">
        <v>17</v>
      </c>
      <c r="B111" s="184"/>
      <c r="C111" s="184"/>
      <c r="D111" s="184"/>
      <c r="E111" s="184"/>
      <c r="F111" s="184"/>
      <c r="G111" s="184"/>
      <c r="H111" s="184"/>
      <c r="I111" s="184"/>
    </row>
    <row r="112" spans="1:9" ht="30" customHeight="1">
      <c r="A112" s="184" t="s">
        <v>21</v>
      </c>
      <c r="B112" s="184"/>
      <c r="C112" s="184"/>
      <c r="D112" s="184"/>
      <c r="E112" s="184"/>
      <c r="F112" s="184"/>
      <c r="G112" s="184"/>
      <c r="H112" s="184"/>
      <c r="I112" s="184"/>
    </row>
    <row r="113" spans="1:9" ht="15" customHeight="1">
      <c r="A113" s="184" t="s">
        <v>20</v>
      </c>
      <c r="B113" s="184"/>
      <c r="C113" s="184"/>
      <c r="D113" s="184"/>
      <c r="E113" s="184"/>
      <c r="F113" s="184"/>
      <c r="G113" s="184"/>
      <c r="H113" s="184"/>
      <c r="I113" s="184"/>
    </row>
  </sheetData>
  <autoFilter ref="I12:I88"/>
  <mergeCells count="28">
    <mergeCell ref="A14:I14"/>
    <mergeCell ref="A3:I3"/>
    <mergeCell ref="A4:I4"/>
    <mergeCell ref="A5:I5"/>
    <mergeCell ref="A8:I8"/>
    <mergeCell ref="A10:I10"/>
    <mergeCell ref="A99:I99"/>
    <mergeCell ref="A15:I15"/>
    <mergeCell ref="A28:I28"/>
    <mergeCell ref="A44:I44"/>
    <mergeCell ref="A55:I55"/>
    <mergeCell ref="A84:I84"/>
    <mergeCell ref="A89:I89"/>
    <mergeCell ref="A93:I93"/>
    <mergeCell ref="B94:G94"/>
    <mergeCell ref="B95:G95"/>
    <mergeCell ref="A97:I97"/>
    <mergeCell ref="A98:I98"/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rowBreaks count="1" manualBreakCount="1">
    <brk id="108" max="8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U113"/>
  <sheetViews>
    <sheetView topLeftCell="A55" workbookViewId="0">
      <selection activeCell="B86" sqref="B86:I8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155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94" t="s">
        <v>141</v>
      </c>
      <c r="B3" s="194"/>
      <c r="C3" s="194"/>
      <c r="D3" s="194"/>
      <c r="E3" s="194"/>
      <c r="F3" s="194"/>
      <c r="G3" s="194"/>
      <c r="H3" s="194"/>
      <c r="I3" s="194"/>
      <c r="J3" s="3"/>
      <c r="K3" s="3"/>
      <c r="L3" s="3"/>
    </row>
    <row r="4" spans="1:13" ht="31.5" customHeight="1">
      <c r="A4" s="195" t="s">
        <v>120</v>
      </c>
      <c r="B4" s="195"/>
      <c r="C4" s="195"/>
      <c r="D4" s="195"/>
      <c r="E4" s="195"/>
      <c r="F4" s="195"/>
      <c r="G4" s="195"/>
      <c r="H4" s="195"/>
      <c r="I4" s="195"/>
    </row>
    <row r="5" spans="1:13" ht="15.75" customHeight="1">
      <c r="A5" s="194" t="s">
        <v>201</v>
      </c>
      <c r="B5" s="198"/>
      <c r="C5" s="198"/>
      <c r="D5" s="198"/>
      <c r="E5" s="198"/>
      <c r="F5" s="198"/>
      <c r="G5" s="198"/>
      <c r="H5" s="198"/>
      <c r="I5" s="198"/>
      <c r="J5" s="2"/>
      <c r="K5" s="2"/>
      <c r="L5" s="2"/>
      <c r="M5" s="2"/>
    </row>
    <row r="6" spans="1:13" ht="15.75" customHeight="1">
      <c r="A6" s="2"/>
      <c r="B6" s="74"/>
      <c r="C6" s="74"/>
      <c r="D6" s="74"/>
      <c r="E6" s="74"/>
      <c r="F6" s="74"/>
      <c r="G6" s="74"/>
      <c r="H6" s="74"/>
      <c r="I6" s="32">
        <v>43951</v>
      </c>
      <c r="J6" s="2"/>
      <c r="K6" s="2"/>
      <c r="L6" s="2"/>
      <c r="M6" s="2"/>
    </row>
    <row r="7" spans="1:13" ht="15.75" customHeight="1">
      <c r="B7" s="73"/>
      <c r="C7" s="73"/>
      <c r="D7" s="73"/>
      <c r="E7" s="3"/>
      <c r="F7" s="3"/>
      <c r="G7" s="3"/>
      <c r="H7" s="3"/>
      <c r="J7" s="3"/>
      <c r="K7" s="3"/>
      <c r="L7" s="3"/>
      <c r="M7" s="3"/>
    </row>
    <row r="8" spans="1:13" s="64" customFormat="1" ht="78.75" customHeight="1">
      <c r="A8" s="196" t="s">
        <v>186</v>
      </c>
      <c r="B8" s="196"/>
      <c r="C8" s="196"/>
      <c r="D8" s="196"/>
      <c r="E8" s="196"/>
      <c r="F8" s="196"/>
      <c r="G8" s="196"/>
      <c r="H8" s="196"/>
      <c r="I8" s="196"/>
      <c r="J8" s="76"/>
      <c r="K8" s="76"/>
      <c r="L8" s="76"/>
      <c r="M8" s="76"/>
    </row>
    <row r="9" spans="1:13" ht="15.75">
      <c r="A9" s="4"/>
      <c r="J9" s="2"/>
      <c r="K9" s="2"/>
      <c r="L9" s="2"/>
      <c r="M9" s="2"/>
    </row>
    <row r="10" spans="1:13" ht="47.25" customHeight="1">
      <c r="A10" s="197" t="s">
        <v>150</v>
      </c>
      <c r="B10" s="197"/>
      <c r="C10" s="197"/>
      <c r="D10" s="197"/>
      <c r="E10" s="197"/>
      <c r="F10" s="197"/>
      <c r="G10" s="197"/>
      <c r="H10" s="197"/>
      <c r="I10" s="19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 ht="15.7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9" t="s">
        <v>59</v>
      </c>
      <c r="B14" s="199"/>
      <c r="C14" s="199"/>
      <c r="D14" s="199"/>
      <c r="E14" s="199"/>
      <c r="F14" s="199"/>
      <c r="G14" s="199"/>
      <c r="H14" s="199"/>
      <c r="I14" s="199"/>
      <c r="J14" s="8"/>
      <c r="K14" s="8"/>
      <c r="L14" s="8"/>
      <c r="M14" s="8"/>
    </row>
    <row r="15" spans="1:13" ht="15.75" customHeight="1">
      <c r="A15" s="200" t="s">
        <v>4</v>
      </c>
      <c r="B15" s="200"/>
      <c r="C15" s="200"/>
      <c r="D15" s="200"/>
      <c r="E15" s="200"/>
      <c r="F15" s="200"/>
      <c r="G15" s="200"/>
      <c r="H15" s="200"/>
      <c r="I15" s="200"/>
      <c r="J15" s="8"/>
      <c r="K15" s="8"/>
      <c r="L15" s="8"/>
      <c r="M15" s="8"/>
    </row>
    <row r="16" spans="1:13" ht="15.75" customHeight="1">
      <c r="A16" s="31">
        <v>1</v>
      </c>
      <c r="B16" s="34" t="s">
        <v>83</v>
      </c>
      <c r="C16" s="40" t="s">
        <v>88</v>
      </c>
      <c r="D16" s="34" t="s">
        <v>161</v>
      </c>
      <c r="E16" s="123">
        <v>47.52</v>
      </c>
      <c r="F16" s="124">
        <f>SUM(E16*156/100)</f>
        <v>74.131200000000007</v>
      </c>
      <c r="G16" s="124">
        <v>261.45</v>
      </c>
      <c r="H16" s="95">
        <f t="shared" ref="H16:H27" si="0">SUM(F16*G16/1000)</f>
        <v>19.381602239999999</v>
      </c>
      <c r="I16" s="13">
        <f>F16/12*G16</f>
        <v>1615.1335200000001</v>
      </c>
      <c r="J16" s="8"/>
      <c r="K16" s="8"/>
      <c r="L16" s="8"/>
      <c r="M16" s="8"/>
    </row>
    <row r="17" spans="1:13" ht="15.75" customHeight="1">
      <c r="A17" s="31">
        <v>2</v>
      </c>
      <c r="B17" s="34" t="s">
        <v>97</v>
      </c>
      <c r="C17" s="40" t="s">
        <v>88</v>
      </c>
      <c r="D17" s="34" t="s">
        <v>162</v>
      </c>
      <c r="E17" s="123">
        <v>190.08</v>
      </c>
      <c r="F17" s="124">
        <f>SUM(E17*104/100)</f>
        <v>197.6832</v>
      </c>
      <c r="G17" s="124">
        <v>261.45</v>
      </c>
      <c r="H17" s="95">
        <f t="shared" si="0"/>
        <v>51.684272639999996</v>
      </c>
      <c r="I17" s="13">
        <f>F17/12*G17</f>
        <v>4307.0227199999999</v>
      </c>
      <c r="J17" s="8"/>
      <c r="K17" s="8"/>
      <c r="L17" s="8"/>
      <c r="M17" s="8"/>
    </row>
    <row r="18" spans="1:13" ht="15.75" customHeight="1">
      <c r="A18" s="31">
        <v>3</v>
      </c>
      <c r="B18" s="34" t="s">
        <v>98</v>
      </c>
      <c r="C18" s="40" t="s">
        <v>88</v>
      </c>
      <c r="D18" s="34" t="s">
        <v>165</v>
      </c>
      <c r="E18" s="123">
        <f>SUM(E16+E17)</f>
        <v>237.60000000000002</v>
      </c>
      <c r="F18" s="124">
        <f>SUM(E18*18/100)</f>
        <v>42.768000000000001</v>
      </c>
      <c r="G18" s="124">
        <v>752.16</v>
      </c>
      <c r="H18" s="95">
        <f t="shared" si="0"/>
        <v>32.168378879999999</v>
      </c>
      <c r="I18" s="13">
        <f>F18/18*G18</f>
        <v>1787.1321599999999</v>
      </c>
      <c r="J18" s="8"/>
      <c r="K18" s="8"/>
      <c r="L18" s="8"/>
      <c r="M18" s="8"/>
    </row>
    <row r="19" spans="1:13" ht="15.75" hidden="1" customHeight="1">
      <c r="A19" s="31">
        <v>4</v>
      </c>
      <c r="B19" s="34" t="s">
        <v>121</v>
      </c>
      <c r="C19" s="40" t="s">
        <v>122</v>
      </c>
      <c r="D19" s="34" t="s">
        <v>123</v>
      </c>
      <c r="E19" s="123">
        <v>18.48</v>
      </c>
      <c r="F19" s="124">
        <f>SUM(E19/10)</f>
        <v>1.8480000000000001</v>
      </c>
      <c r="G19" s="124">
        <v>253.7</v>
      </c>
      <c r="H19" s="95">
        <f t="shared" si="0"/>
        <v>0.46883760000000002</v>
      </c>
      <c r="I19" s="13">
        <v>0</v>
      </c>
      <c r="J19" s="8"/>
      <c r="K19" s="8"/>
      <c r="L19" s="8"/>
      <c r="M19" s="8"/>
    </row>
    <row r="20" spans="1:13" ht="15.75" customHeight="1">
      <c r="A20" s="31">
        <v>4</v>
      </c>
      <c r="B20" s="34" t="s">
        <v>87</v>
      </c>
      <c r="C20" s="40" t="s">
        <v>88</v>
      </c>
      <c r="D20" s="34" t="s">
        <v>164</v>
      </c>
      <c r="E20" s="123">
        <v>10.5</v>
      </c>
      <c r="F20" s="124">
        <f>SUM(E20*12/100)</f>
        <v>1.26</v>
      </c>
      <c r="G20" s="124">
        <v>324.83999999999997</v>
      </c>
      <c r="H20" s="95">
        <f t="shared" si="0"/>
        <v>0.40929839999999995</v>
      </c>
      <c r="I20" s="13">
        <f>F20/12*G20</f>
        <v>34.108199999999997</v>
      </c>
      <c r="J20" s="8"/>
      <c r="K20" s="8"/>
      <c r="L20" s="8"/>
      <c r="M20" s="8"/>
    </row>
    <row r="21" spans="1:13" ht="15.75" customHeight="1">
      <c r="A21" s="31">
        <v>5</v>
      </c>
      <c r="B21" s="34" t="s">
        <v>95</v>
      </c>
      <c r="C21" s="40" t="s">
        <v>88</v>
      </c>
      <c r="D21" s="34" t="s">
        <v>164</v>
      </c>
      <c r="E21" s="123">
        <v>2.7</v>
      </c>
      <c r="F21" s="124">
        <f>SUM(E21*12/100)</f>
        <v>0.32400000000000007</v>
      </c>
      <c r="G21" s="124">
        <v>322.20999999999998</v>
      </c>
      <c r="H21" s="95">
        <f t="shared" si="0"/>
        <v>0.10439604000000001</v>
      </c>
      <c r="I21" s="13">
        <f>F21/12*G21</f>
        <v>8.6996700000000011</v>
      </c>
      <c r="J21" s="8"/>
      <c r="K21" s="8"/>
      <c r="L21" s="8"/>
      <c r="M21" s="8"/>
    </row>
    <row r="22" spans="1:13" ht="15.75" hidden="1" customHeight="1">
      <c r="A22" s="31">
        <v>7</v>
      </c>
      <c r="B22" s="34" t="s">
        <v>89</v>
      </c>
      <c r="C22" s="40" t="s">
        <v>53</v>
      </c>
      <c r="D22" s="34" t="s">
        <v>123</v>
      </c>
      <c r="E22" s="123">
        <v>267.75</v>
      </c>
      <c r="F22" s="124">
        <f>SUM(E22/100)</f>
        <v>2.6775000000000002</v>
      </c>
      <c r="G22" s="124">
        <v>401.44</v>
      </c>
      <c r="H22" s="95">
        <f t="shared" si="0"/>
        <v>1.0748556</v>
      </c>
      <c r="I22" s="13">
        <v>0</v>
      </c>
      <c r="J22" s="8"/>
      <c r="K22" s="8"/>
      <c r="L22" s="8"/>
      <c r="M22" s="8"/>
    </row>
    <row r="23" spans="1:13" ht="15.75" hidden="1" customHeight="1">
      <c r="A23" s="31">
        <v>8</v>
      </c>
      <c r="B23" s="34" t="s">
        <v>90</v>
      </c>
      <c r="C23" s="40" t="s">
        <v>53</v>
      </c>
      <c r="D23" s="34" t="s">
        <v>123</v>
      </c>
      <c r="E23" s="154">
        <v>36</v>
      </c>
      <c r="F23" s="124">
        <f>SUM(E23/100)</f>
        <v>0.36</v>
      </c>
      <c r="G23" s="124">
        <v>66.03</v>
      </c>
      <c r="H23" s="95">
        <f t="shared" si="0"/>
        <v>2.3770800000000002E-2</v>
      </c>
      <c r="I23" s="13">
        <v>0</v>
      </c>
      <c r="J23" s="8"/>
      <c r="K23" s="8"/>
      <c r="L23" s="8"/>
      <c r="M23" s="8"/>
    </row>
    <row r="24" spans="1:13" ht="15.75" hidden="1" customHeight="1">
      <c r="A24" s="31">
        <v>9</v>
      </c>
      <c r="B24" s="34" t="s">
        <v>91</v>
      </c>
      <c r="C24" s="40" t="s">
        <v>53</v>
      </c>
      <c r="D24" s="34" t="s">
        <v>124</v>
      </c>
      <c r="E24" s="123">
        <v>15</v>
      </c>
      <c r="F24" s="124">
        <f>E24/100</f>
        <v>0.15</v>
      </c>
      <c r="G24" s="124">
        <v>581.02</v>
      </c>
      <c r="H24" s="95">
        <f t="shared" si="0"/>
        <v>8.7152999999999994E-2</v>
      </c>
      <c r="I24" s="13">
        <v>0</v>
      </c>
      <c r="J24" s="8"/>
      <c r="K24" s="8"/>
      <c r="L24" s="8"/>
      <c r="M24" s="8"/>
    </row>
    <row r="25" spans="1:13" ht="15.75" hidden="1" customHeight="1">
      <c r="A25" s="31">
        <v>10</v>
      </c>
      <c r="B25" s="34" t="s">
        <v>96</v>
      </c>
      <c r="C25" s="40" t="s">
        <v>88</v>
      </c>
      <c r="D25" s="34" t="s">
        <v>54</v>
      </c>
      <c r="E25" s="123">
        <v>14.25</v>
      </c>
      <c r="F25" s="124">
        <v>0.1</v>
      </c>
      <c r="G25" s="124">
        <v>322.20999999999998</v>
      </c>
      <c r="H25" s="95">
        <v>3.1E-2</v>
      </c>
      <c r="I25" s="13">
        <v>0</v>
      </c>
      <c r="J25" s="8"/>
      <c r="K25" s="8"/>
      <c r="L25" s="8"/>
      <c r="M25" s="8"/>
    </row>
    <row r="26" spans="1:13" ht="15.75" hidden="1" customHeight="1">
      <c r="A26" s="31">
        <v>11</v>
      </c>
      <c r="B26" s="34" t="s">
        <v>92</v>
      </c>
      <c r="C26" s="40" t="s">
        <v>53</v>
      </c>
      <c r="D26" s="34" t="s">
        <v>123</v>
      </c>
      <c r="E26" s="123">
        <v>6.38</v>
      </c>
      <c r="F26" s="124">
        <f>SUM(E26/100)</f>
        <v>6.3799999999999996E-2</v>
      </c>
      <c r="G26" s="124">
        <v>776.46</v>
      </c>
      <c r="H26" s="95">
        <f t="shared" si="0"/>
        <v>4.9538147999999997E-2</v>
      </c>
      <c r="I26" s="13">
        <v>0</v>
      </c>
      <c r="J26" s="8"/>
      <c r="K26" s="8"/>
      <c r="L26" s="8"/>
      <c r="M26" s="8"/>
    </row>
    <row r="27" spans="1:13" ht="15.75" customHeight="1">
      <c r="A27" s="31">
        <v>6</v>
      </c>
      <c r="B27" s="34" t="s">
        <v>160</v>
      </c>
      <c r="C27" s="40" t="s">
        <v>25</v>
      </c>
      <c r="D27" s="34" t="s">
        <v>166</v>
      </c>
      <c r="E27" s="133">
        <v>4.83</v>
      </c>
      <c r="F27" s="124">
        <f>SUM(E27*258)</f>
        <v>1246.1400000000001</v>
      </c>
      <c r="G27" s="124">
        <v>10.81</v>
      </c>
      <c r="H27" s="95">
        <f t="shared" si="0"/>
        <v>13.470773400000002</v>
      </c>
      <c r="I27" s="13">
        <f>F27/12*G27</f>
        <v>1122.5644500000003</v>
      </c>
      <c r="J27" s="8"/>
      <c r="K27" s="8"/>
      <c r="L27" s="8"/>
      <c r="M27" s="8"/>
    </row>
    <row r="28" spans="1:13" ht="15.75" customHeight="1">
      <c r="A28" s="200" t="s">
        <v>82</v>
      </c>
      <c r="B28" s="200"/>
      <c r="C28" s="200"/>
      <c r="D28" s="200"/>
      <c r="E28" s="200"/>
      <c r="F28" s="200"/>
      <c r="G28" s="200"/>
      <c r="H28" s="200"/>
      <c r="I28" s="200"/>
      <c r="J28" s="24"/>
      <c r="K28" s="8"/>
      <c r="L28" s="8"/>
      <c r="M28" s="8"/>
    </row>
    <row r="29" spans="1:13" ht="15.75" hidden="1" customHeight="1">
      <c r="A29" s="41"/>
      <c r="B29" s="51" t="s">
        <v>28</v>
      </c>
      <c r="C29" s="51"/>
      <c r="D29" s="51"/>
      <c r="E29" s="51"/>
      <c r="F29" s="51"/>
      <c r="G29" s="51"/>
      <c r="H29" s="51"/>
      <c r="I29" s="19"/>
      <c r="J29" s="24"/>
      <c r="K29" s="8"/>
      <c r="L29" s="8"/>
      <c r="M29" s="8"/>
    </row>
    <row r="30" spans="1:13" ht="15.75" hidden="1" customHeight="1">
      <c r="A30" s="41">
        <v>2</v>
      </c>
      <c r="B30" s="91" t="s">
        <v>99</v>
      </c>
      <c r="C30" s="92" t="s">
        <v>100</v>
      </c>
      <c r="D30" s="91" t="s">
        <v>101</v>
      </c>
      <c r="E30" s="94">
        <v>1167.4000000000001</v>
      </c>
      <c r="F30" s="94">
        <f>SUM(E30*52/1000)</f>
        <v>60.704800000000006</v>
      </c>
      <c r="G30" s="94">
        <v>155.88999999999999</v>
      </c>
      <c r="H30" s="95">
        <f t="shared" ref="H30:H32" si="1">SUM(F30*G30/1000)</f>
        <v>9.4632712720000001</v>
      </c>
      <c r="I30" s="13">
        <v>0</v>
      </c>
      <c r="J30" s="24"/>
      <c r="K30" s="8"/>
      <c r="L30" s="8"/>
      <c r="M30" s="8"/>
    </row>
    <row r="31" spans="1:13" ht="31.5" hidden="1" customHeight="1">
      <c r="A31" s="41">
        <v>3</v>
      </c>
      <c r="B31" s="91" t="s">
        <v>134</v>
      </c>
      <c r="C31" s="92" t="s">
        <v>100</v>
      </c>
      <c r="D31" s="91" t="s">
        <v>102</v>
      </c>
      <c r="E31" s="94">
        <v>540.04999999999995</v>
      </c>
      <c r="F31" s="94">
        <f>SUM(E31*78/1000)</f>
        <v>42.123899999999992</v>
      </c>
      <c r="G31" s="94">
        <v>258.63</v>
      </c>
      <c r="H31" s="95">
        <f t="shared" si="1"/>
        <v>10.894504256999998</v>
      </c>
      <c r="I31" s="13">
        <v>0</v>
      </c>
      <c r="J31" s="24"/>
      <c r="K31" s="8"/>
      <c r="L31" s="8"/>
      <c r="M31" s="8"/>
    </row>
    <row r="32" spans="1:13" ht="15.75" hidden="1" customHeight="1">
      <c r="A32" s="41">
        <v>4</v>
      </c>
      <c r="B32" s="91" t="s">
        <v>27</v>
      </c>
      <c r="C32" s="92" t="s">
        <v>100</v>
      </c>
      <c r="D32" s="91" t="s">
        <v>54</v>
      </c>
      <c r="E32" s="94">
        <v>1167.4000000000001</v>
      </c>
      <c r="F32" s="94">
        <f>SUM(E32/1000)</f>
        <v>1.1674</v>
      </c>
      <c r="G32" s="94">
        <v>3020.33</v>
      </c>
      <c r="H32" s="95">
        <f t="shared" si="1"/>
        <v>3.5259332420000002</v>
      </c>
      <c r="I32" s="13">
        <v>0</v>
      </c>
      <c r="J32" s="24"/>
      <c r="K32" s="8"/>
      <c r="L32" s="8"/>
      <c r="M32" s="8"/>
    </row>
    <row r="33" spans="1:13" ht="15.75" hidden="1" customHeight="1">
      <c r="A33" s="41">
        <v>5</v>
      </c>
      <c r="B33" s="91" t="s">
        <v>103</v>
      </c>
      <c r="C33" s="92" t="s">
        <v>30</v>
      </c>
      <c r="D33" s="91" t="s">
        <v>63</v>
      </c>
      <c r="E33" s="98">
        <v>0.33333333333333331</v>
      </c>
      <c r="F33" s="94">
        <f>155/3</f>
        <v>51.666666666666664</v>
      </c>
      <c r="G33" s="94">
        <v>56.69</v>
      </c>
      <c r="H33" s="95">
        <f>SUM(G33*155/3/1000)</f>
        <v>2.9289833333333331</v>
      </c>
      <c r="I33" s="13">
        <v>0</v>
      </c>
      <c r="J33" s="24"/>
      <c r="K33" s="8"/>
      <c r="L33" s="8"/>
      <c r="M33" s="8"/>
    </row>
    <row r="34" spans="1:13" ht="15.75" hidden="1" customHeight="1">
      <c r="A34" s="41">
        <v>4</v>
      </c>
      <c r="B34" s="91" t="s">
        <v>64</v>
      </c>
      <c r="C34" s="92" t="s">
        <v>32</v>
      </c>
      <c r="D34" s="91" t="s">
        <v>65</v>
      </c>
      <c r="E34" s="93"/>
      <c r="F34" s="94">
        <v>3</v>
      </c>
      <c r="G34" s="94">
        <v>191.32</v>
      </c>
      <c r="H34" s="95">
        <f t="shared" ref="H34" si="2">SUM(F34*G34/1000)</f>
        <v>0.57396000000000003</v>
      </c>
      <c r="I34" s="13">
        <v>0</v>
      </c>
      <c r="J34" s="24"/>
      <c r="K34" s="8"/>
      <c r="L34" s="8"/>
      <c r="M34" s="8"/>
    </row>
    <row r="35" spans="1:13" ht="15.75" customHeight="1">
      <c r="A35" s="41"/>
      <c r="B35" s="49" t="s">
        <v>5</v>
      </c>
      <c r="C35" s="49"/>
      <c r="D35" s="49"/>
      <c r="E35" s="13"/>
      <c r="F35" s="13"/>
      <c r="G35" s="14"/>
      <c r="H35" s="14"/>
      <c r="I35" s="19"/>
      <c r="J35" s="24"/>
      <c r="K35" s="8"/>
      <c r="L35" s="8"/>
      <c r="M35" s="8"/>
    </row>
    <row r="36" spans="1:13" ht="16.5" hidden="1" customHeight="1">
      <c r="A36" s="41">
        <v>8</v>
      </c>
      <c r="B36" s="155" t="s">
        <v>26</v>
      </c>
      <c r="C36" s="40" t="s">
        <v>31</v>
      </c>
      <c r="D36" s="34" t="s">
        <v>197</v>
      </c>
      <c r="E36" s="123"/>
      <c r="F36" s="124">
        <v>6</v>
      </c>
      <c r="G36" s="124">
        <v>1930</v>
      </c>
      <c r="H36" s="95">
        <f t="shared" ref="H36:H42" si="3">SUM(F36*G36/1000)</f>
        <v>11.58</v>
      </c>
      <c r="I36" s="13">
        <f>G36*0.6</f>
        <v>1158</v>
      </c>
      <c r="J36" s="24"/>
      <c r="K36" s="8"/>
      <c r="L36" s="8"/>
      <c r="M36" s="8"/>
    </row>
    <row r="37" spans="1:13" ht="15.75" customHeight="1">
      <c r="A37" s="35">
        <v>7</v>
      </c>
      <c r="B37" s="155" t="s">
        <v>66</v>
      </c>
      <c r="C37" s="156" t="s">
        <v>29</v>
      </c>
      <c r="D37" s="155" t="s">
        <v>167</v>
      </c>
      <c r="E37" s="157">
        <v>26.33</v>
      </c>
      <c r="F37" s="157">
        <f>SUM(E37*30/1000)</f>
        <v>0.78989999999999994</v>
      </c>
      <c r="G37" s="157">
        <v>3134.93</v>
      </c>
      <c r="H37" s="95">
        <f t="shared" si="3"/>
        <v>2.4762812069999995</v>
      </c>
      <c r="I37" s="13">
        <f t="shared" ref="I37:I40" si="4">F37/6*G37</f>
        <v>412.71353449999992</v>
      </c>
      <c r="J37" s="24"/>
      <c r="K37" s="8"/>
      <c r="L37" s="8"/>
      <c r="M37" s="8"/>
    </row>
    <row r="38" spans="1:13" ht="15.75" customHeight="1">
      <c r="A38" s="35">
        <v>8</v>
      </c>
      <c r="B38" s="34" t="s">
        <v>188</v>
      </c>
      <c r="C38" s="40" t="s">
        <v>29</v>
      </c>
      <c r="D38" s="34" t="s">
        <v>168</v>
      </c>
      <c r="E38" s="124">
        <v>26.33</v>
      </c>
      <c r="F38" s="157">
        <f>SUM(E38*155/1000)</f>
        <v>4.0811500000000001</v>
      </c>
      <c r="G38" s="124">
        <v>522.92999999999995</v>
      </c>
      <c r="H38" s="95">
        <f t="shared" si="3"/>
        <v>2.1341557694999995</v>
      </c>
      <c r="I38" s="13">
        <f t="shared" si="4"/>
        <v>355.69262824999993</v>
      </c>
      <c r="J38" s="24"/>
      <c r="K38" s="8"/>
      <c r="L38" s="8"/>
      <c r="M38" s="8"/>
    </row>
    <row r="39" spans="1:13" ht="47.25" hidden="1" customHeight="1">
      <c r="A39" s="35">
        <v>9</v>
      </c>
      <c r="B39" s="34" t="s">
        <v>189</v>
      </c>
      <c r="C39" s="40" t="s">
        <v>190</v>
      </c>
      <c r="D39" s="34"/>
      <c r="E39" s="124"/>
      <c r="F39" s="157">
        <v>39</v>
      </c>
      <c r="G39" s="124">
        <v>330</v>
      </c>
      <c r="H39" s="95"/>
      <c r="I39" s="13"/>
      <c r="J39" s="24"/>
      <c r="K39" s="8"/>
      <c r="L39" s="8"/>
      <c r="M39" s="8"/>
    </row>
    <row r="40" spans="1:13" ht="32.25" customHeight="1">
      <c r="A40" s="35">
        <v>9</v>
      </c>
      <c r="B40" s="34" t="s">
        <v>191</v>
      </c>
      <c r="C40" s="40" t="s">
        <v>100</v>
      </c>
      <c r="D40" s="34" t="s">
        <v>198</v>
      </c>
      <c r="E40" s="124">
        <v>26.33</v>
      </c>
      <c r="F40" s="157">
        <f>SUM(E40*35/1000)</f>
        <v>0.92154999999999998</v>
      </c>
      <c r="G40" s="124">
        <v>8652.07</v>
      </c>
      <c r="H40" s="95">
        <f t="shared" si="3"/>
        <v>7.9733151084999996</v>
      </c>
      <c r="I40" s="13">
        <f t="shared" si="4"/>
        <v>1328.8858514166666</v>
      </c>
      <c r="J40" s="24"/>
      <c r="K40" s="8"/>
      <c r="L40" s="8"/>
      <c r="M40" s="8"/>
    </row>
    <row r="41" spans="1:13" ht="15.75" hidden="1" customHeight="1">
      <c r="A41" s="35">
        <v>11</v>
      </c>
      <c r="B41" s="34" t="s">
        <v>105</v>
      </c>
      <c r="C41" s="40" t="s">
        <v>100</v>
      </c>
      <c r="D41" s="34" t="s">
        <v>192</v>
      </c>
      <c r="E41" s="124">
        <v>90.4</v>
      </c>
      <c r="F41" s="157">
        <f>SUM(E41*15/1000)</f>
        <v>1.3560000000000001</v>
      </c>
      <c r="G41" s="124">
        <v>639.1</v>
      </c>
      <c r="H41" s="95">
        <f t="shared" si="3"/>
        <v>0.86661960000000016</v>
      </c>
      <c r="I41" s="13">
        <f>(F41/7.5*1.5)*G41</f>
        <v>173.32392000000002</v>
      </c>
      <c r="J41" s="24"/>
      <c r="K41" s="8"/>
      <c r="L41" s="8"/>
      <c r="M41" s="8"/>
    </row>
    <row r="42" spans="1:13" ht="15.75" hidden="1" customHeight="1">
      <c r="A42" s="153"/>
      <c r="B42" s="155" t="s">
        <v>70</v>
      </c>
      <c r="C42" s="156" t="s">
        <v>32</v>
      </c>
      <c r="D42" s="155"/>
      <c r="E42" s="133"/>
      <c r="F42" s="157">
        <v>0.6</v>
      </c>
      <c r="G42" s="157">
        <v>900</v>
      </c>
      <c r="H42" s="152">
        <f t="shared" si="3"/>
        <v>0.54</v>
      </c>
      <c r="I42" s="126">
        <f>(F42/7.5*1.5)*G42</f>
        <v>108</v>
      </c>
      <c r="J42" s="24"/>
      <c r="K42" s="8"/>
      <c r="L42" s="8"/>
      <c r="M42" s="8"/>
    </row>
    <row r="43" spans="1:13" ht="29.25" customHeight="1">
      <c r="A43" s="153">
        <v>10</v>
      </c>
      <c r="B43" s="34" t="s">
        <v>193</v>
      </c>
      <c r="C43" s="40" t="s">
        <v>29</v>
      </c>
      <c r="D43" s="34" t="s">
        <v>163</v>
      </c>
      <c r="E43" s="123">
        <v>1.2</v>
      </c>
      <c r="F43" s="124">
        <f>E43*12/1000</f>
        <v>1.4399999999999998E-2</v>
      </c>
      <c r="G43" s="124">
        <v>20547.34</v>
      </c>
      <c r="H43" s="13"/>
      <c r="I43" s="13">
        <f>G43*F43/6</f>
        <v>49.313615999999996</v>
      </c>
      <c r="J43" s="24"/>
      <c r="K43" s="8"/>
      <c r="L43" s="8"/>
      <c r="M43" s="8"/>
    </row>
    <row r="44" spans="1:13" ht="15.75" hidden="1" customHeight="1">
      <c r="A44" s="201" t="s">
        <v>131</v>
      </c>
      <c r="B44" s="202"/>
      <c r="C44" s="202"/>
      <c r="D44" s="202"/>
      <c r="E44" s="202"/>
      <c r="F44" s="202"/>
      <c r="G44" s="202"/>
      <c r="H44" s="202"/>
      <c r="I44" s="203"/>
      <c r="J44" s="24"/>
      <c r="K44" s="8"/>
      <c r="L44" s="8"/>
      <c r="M44" s="8"/>
    </row>
    <row r="45" spans="1:13" ht="15.75" hidden="1" customHeight="1">
      <c r="A45" s="41">
        <v>15</v>
      </c>
      <c r="B45" s="91" t="s">
        <v>106</v>
      </c>
      <c r="C45" s="92" t="s">
        <v>100</v>
      </c>
      <c r="D45" s="91" t="s">
        <v>42</v>
      </c>
      <c r="E45" s="93">
        <v>965.8</v>
      </c>
      <c r="F45" s="94">
        <f>SUM(E45*2/1000)</f>
        <v>1.9316</v>
      </c>
      <c r="G45" s="13">
        <v>849.49</v>
      </c>
      <c r="H45" s="95">
        <f t="shared" ref="H45:H54" si="5">SUM(F45*G45/1000)</f>
        <v>1.640874884</v>
      </c>
      <c r="I45" s="13">
        <v>0</v>
      </c>
      <c r="J45" s="24"/>
      <c r="K45" s="8"/>
    </row>
    <row r="46" spans="1:13" ht="15.75" hidden="1" customHeight="1">
      <c r="A46" s="41">
        <v>16</v>
      </c>
      <c r="B46" s="91" t="s">
        <v>35</v>
      </c>
      <c r="C46" s="92" t="s">
        <v>100</v>
      </c>
      <c r="D46" s="91" t="s">
        <v>42</v>
      </c>
      <c r="E46" s="93">
        <v>36</v>
      </c>
      <c r="F46" s="94">
        <f>SUM(E46*2/1000)</f>
        <v>7.1999999999999995E-2</v>
      </c>
      <c r="G46" s="13">
        <v>579.48</v>
      </c>
      <c r="H46" s="95">
        <f t="shared" si="5"/>
        <v>4.1722559999999999E-2</v>
      </c>
      <c r="I46" s="13">
        <v>0</v>
      </c>
      <c r="J46" s="25"/>
    </row>
    <row r="47" spans="1:13" ht="15.75" hidden="1" customHeight="1">
      <c r="A47" s="41">
        <v>17</v>
      </c>
      <c r="B47" s="91" t="s">
        <v>36</v>
      </c>
      <c r="C47" s="92" t="s">
        <v>100</v>
      </c>
      <c r="D47" s="91" t="s">
        <v>42</v>
      </c>
      <c r="E47" s="93">
        <v>1197.7</v>
      </c>
      <c r="F47" s="94">
        <f>SUM(E47*2/1000)</f>
        <v>2.3954</v>
      </c>
      <c r="G47" s="13">
        <v>579.48</v>
      </c>
      <c r="H47" s="95">
        <f t="shared" si="5"/>
        <v>1.3880863919999999</v>
      </c>
      <c r="I47" s="13">
        <v>0</v>
      </c>
      <c r="J47" s="25"/>
    </row>
    <row r="48" spans="1:13" ht="15.75" hidden="1" customHeight="1">
      <c r="A48" s="41"/>
      <c r="B48" s="91" t="s">
        <v>37</v>
      </c>
      <c r="C48" s="92" t="s">
        <v>100</v>
      </c>
      <c r="D48" s="91" t="s">
        <v>42</v>
      </c>
      <c r="E48" s="93">
        <v>2275.92</v>
      </c>
      <c r="F48" s="94">
        <f>SUM(E48*2/1000)</f>
        <v>4.5518400000000003</v>
      </c>
      <c r="G48" s="13">
        <v>606.77</v>
      </c>
      <c r="H48" s="95">
        <f t="shared" si="5"/>
        <v>2.7619199567999999</v>
      </c>
      <c r="I48" s="13">
        <v>0</v>
      </c>
      <c r="J48" s="25"/>
    </row>
    <row r="49" spans="1:14" ht="15.75" hidden="1" customHeight="1">
      <c r="A49" s="41">
        <v>18</v>
      </c>
      <c r="B49" s="91" t="s">
        <v>33</v>
      </c>
      <c r="C49" s="92" t="s">
        <v>34</v>
      </c>
      <c r="D49" s="91" t="s">
        <v>42</v>
      </c>
      <c r="E49" s="93">
        <v>81.709999999999994</v>
      </c>
      <c r="F49" s="94">
        <f>SUM(E49*2/100)</f>
        <v>1.6341999999999999</v>
      </c>
      <c r="G49" s="13">
        <v>68.56</v>
      </c>
      <c r="H49" s="95">
        <f t="shared" si="5"/>
        <v>0.11204075199999999</v>
      </c>
      <c r="I49" s="13">
        <v>0</v>
      </c>
      <c r="J49" s="25"/>
    </row>
    <row r="50" spans="1:14" ht="15.75" hidden="1" customHeight="1">
      <c r="A50" s="41">
        <v>14</v>
      </c>
      <c r="B50" s="91" t="s">
        <v>56</v>
      </c>
      <c r="C50" s="92" t="s">
        <v>100</v>
      </c>
      <c r="D50" s="91" t="s">
        <v>135</v>
      </c>
      <c r="E50" s="93">
        <v>1711.8</v>
      </c>
      <c r="F50" s="94">
        <f>SUM(E50*5/1000)</f>
        <v>8.5589999999999993</v>
      </c>
      <c r="G50" s="13">
        <v>1213.55</v>
      </c>
      <c r="H50" s="95">
        <f t="shared" si="5"/>
        <v>10.386774449999999</v>
      </c>
      <c r="I50" s="13">
        <f>F50/5*G50</f>
        <v>2077.3548899999996</v>
      </c>
      <c r="J50" s="25"/>
    </row>
    <row r="51" spans="1:14" ht="31.5" hidden="1" customHeight="1">
      <c r="A51" s="41">
        <v>14</v>
      </c>
      <c r="B51" s="91" t="s">
        <v>107</v>
      </c>
      <c r="C51" s="92" t="s">
        <v>100</v>
      </c>
      <c r="D51" s="91" t="s">
        <v>42</v>
      </c>
      <c r="E51" s="93">
        <v>1711.8</v>
      </c>
      <c r="F51" s="94">
        <f>SUM(E51*2/1000)</f>
        <v>3.4236</v>
      </c>
      <c r="G51" s="13">
        <v>1213.55</v>
      </c>
      <c r="H51" s="95">
        <f t="shared" si="5"/>
        <v>4.1547097800000001</v>
      </c>
      <c r="I51" s="13">
        <f>F51/2*G51</f>
        <v>2077.3548900000001</v>
      </c>
      <c r="J51" s="25"/>
    </row>
    <row r="52" spans="1:14" ht="31.5" hidden="1" customHeight="1">
      <c r="A52" s="41">
        <v>15</v>
      </c>
      <c r="B52" s="91" t="s">
        <v>108</v>
      </c>
      <c r="C52" s="92" t="s">
        <v>38</v>
      </c>
      <c r="D52" s="91" t="s">
        <v>42</v>
      </c>
      <c r="E52" s="93">
        <v>15</v>
      </c>
      <c r="F52" s="94">
        <f>SUM(E52*2/100)</f>
        <v>0.3</v>
      </c>
      <c r="G52" s="13">
        <v>2730.49</v>
      </c>
      <c r="H52" s="95">
        <f t="shared" si="5"/>
        <v>0.81914699999999996</v>
      </c>
      <c r="I52" s="13">
        <f t="shared" ref="I52:I53" si="6">F52/2*G52</f>
        <v>409.57349999999997</v>
      </c>
      <c r="J52" s="25"/>
    </row>
    <row r="53" spans="1:14" ht="15.75" hidden="1" customHeight="1">
      <c r="A53" s="41">
        <v>16</v>
      </c>
      <c r="B53" s="91" t="s">
        <v>39</v>
      </c>
      <c r="C53" s="92" t="s">
        <v>40</v>
      </c>
      <c r="D53" s="91" t="s">
        <v>42</v>
      </c>
      <c r="E53" s="93">
        <v>1</v>
      </c>
      <c r="F53" s="94">
        <v>0.02</v>
      </c>
      <c r="G53" s="13">
        <v>5322.15</v>
      </c>
      <c r="H53" s="95">
        <f t="shared" si="5"/>
        <v>0.106443</v>
      </c>
      <c r="I53" s="13">
        <f t="shared" si="6"/>
        <v>53.221499999999999</v>
      </c>
      <c r="J53" s="25"/>
      <c r="L53" s="21"/>
      <c r="M53" s="22"/>
      <c r="N53" s="23"/>
    </row>
    <row r="54" spans="1:14" ht="15.75" hidden="1" customHeight="1">
      <c r="A54" s="41">
        <v>15</v>
      </c>
      <c r="B54" s="91" t="s">
        <v>41</v>
      </c>
      <c r="C54" s="92" t="s">
        <v>85</v>
      </c>
      <c r="D54" s="91" t="s">
        <v>71</v>
      </c>
      <c r="E54" s="93">
        <v>90</v>
      </c>
      <c r="F54" s="94">
        <f>SUM(E54)*3</f>
        <v>270</v>
      </c>
      <c r="G54" s="13">
        <v>65.67</v>
      </c>
      <c r="H54" s="95">
        <f t="shared" si="5"/>
        <v>17.730900000000002</v>
      </c>
      <c r="I54" s="13">
        <f>E54*G54</f>
        <v>5910.3</v>
      </c>
      <c r="J54" s="25"/>
      <c r="L54" s="21"/>
      <c r="M54" s="22"/>
      <c r="N54" s="23"/>
    </row>
    <row r="55" spans="1:14" ht="15.75" customHeight="1">
      <c r="A55" s="201" t="s">
        <v>142</v>
      </c>
      <c r="B55" s="202"/>
      <c r="C55" s="202"/>
      <c r="D55" s="202"/>
      <c r="E55" s="202"/>
      <c r="F55" s="202"/>
      <c r="G55" s="202"/>
      <c r="H55" s="202"/>
      <c r="I55" s="203"/>
      <c r="J55" s="25"/>
      <c r="L55" s="21"/>
      <c r="M55" s="22"/>
      <c r="N55" s="23"/>
    </row>
    <row r="56" spans="1:14" ht="15.75" hidden="1" customHeight="1">
      <c r="A56" s="53"/>
      <c r="B56" s="48" t="s">
        <v>43</v>
      </c>
      <c r="C56" s="17"/>
      <c r="D56" s="16"/>
      <c r="E56" s="16"/>
      <c r="F56" s="16"/>
      <c r="G56" s="31"/>
      <c r="H56" s="31"/>
      <c r="I56" s="19"/>
      <c r="J56" s="25"/>
      <c r="L56" s="21"/>
      <c r="M56" s="22"/>
      <c r="N56" s="23"/>
    </row>
    <row r="57" spans="1:14" ht="39" hidden="1" customHeight="1">
      <c r="A57" s="41">
        <v>12</v>
      </c>
      <c r="B57" s="91" t="s">
        <v>109</v>
      </c>
      <c r="C57" s="92" t="s">
        <v>88</v>
      </c>
      <c r="D57" s="91"/>
      <c r="E57" s="93">
        <v>96.58</v>
      </c>
      <c r="F57" s="94">
        <f>SUM(E57*6/100)</f>
        <v>5.7948000000000004</v>
      </c>
      <c r="G57" s="13">
        <v>1547.28</v>
      </c>
      <c r="H57" s="95">
        <f>SUM(F57*G57/1000)</f>
        <v>8.9661781440000006</v>
      </c>
      <c r="I57" s="13">
        <f>G57*0.312</f>
        <v>482.75135999999998</v>
      </c>
      <c r="J57" s="25"/>
      <c r="L57" s="21"/>
      <c r="M57" s="22"/>
      <c r="N57" s="23"/>
    </row>
    <row r="58" spans="1:14" ht="15.75" customHeight="1">
      <c r="A58" s="41"/>
      <c r="B58" s="67" t="s">
        <v>44</v>
      </c>
      <c r="C58" s="40"/>
      <c r="D58" s="34"/>
      <c r="E58" s="19"/>
      <c r="F58" s="85"/>
      <c r="G58" s="37"/>
      <c r="H58" s="68"/>
      <c r="I58" s="20"/>
      <c r="J58" s="25"/>
      <c r="L58" s="21"/>
      <c r="M58" s="22"/>
      <c r="N58" s="23"/>
    </row>
    <row r="59" spans="1:14" ht="15.75" hidden="1" customHeight="1">
      <c r="A59" s="41"/>
      <c r="B59" s="91" t="s">
        <v>45</v>
      </c>
      <c r="C59" s="92" t="s">
        <v>88</v>
      </c>
      <c r="D59" s="91" t="s">
        <v>54</v>
      </c>
      <c r="E59" s="93">
        <v>855.9</v>
      </c>
      <c r="F59" s="95">
        <v>8.6</v>
      </c>
      <c r="G59" s="13">
        <v>747.3</v>
      </c>
      <c r="H59" s="99">
        <v>6.4</v>
      </c>
      <c r="I59" s="13">
        <v>0</v>
      </c>
      <c r="J59" s="25"/>
      <c r="L59" s="21"/>
      <c r="M59" s="22"/>
      <c r="N59" s="23"/>
    </row>
    <row r="60" spans="1:14" ht="15.75" customHeight="1">
      <c r="A60" s="41">
        <v>11</v>
      </c>
      <c r="B60" s="91" t="s">
        <v>86</v>
      </c>
      <c r="C60" s="92" t="s">
        <v>25</v>
      </c>
      <c r="D60" s="91" t="s">
        <v>165</v>
      </c>
      <c r="E60" s="93">
        <v>256</v>
      </c>
      <c r="F60" s="95">
        <f>E60*12</f>
        <v>3072</v>
      </c>
      <c r="G60" s="13">
        <v>1.4</v>
      </c>
      <c r="H60" s="99">
        <f>F60*G60/1000</f>
        <v>4.3007999999999988</v>
      </c>
      <c r="I60" s="13">
        <f>1560/12*G60</f>
        <v>182</v>
      </c>
      <c r="J60" s="25"/>
      <c r="L60" s="21"/>
      <c r="M60" s="22"/>
      <c r="N60" s="23"/>
    </row>
    <row r="61" spans="1:14" ht="15.75" hidden="1" customHeight="1">
      <c r="A61" s="41"/>
      <c r="B61" s="67" t="s">
        <v>126</v>
      </c>
      <c r="C61" s="40"/>
      <c r="D61" s="34"/>
      <c r="E61" s="19"/>
      <c r="F61" s="85"/>
      <c r="G61" s="69"/>
      <c r="H61" s="68"/>
      <c r="I61" s="20"/>
      <c r="J61" s="25"/>
      <c r="L61" s="21"/>
      <c r="M61" s="22"/>
      <c r="N61" s="23"/>
    </row>
    <row r="62" spans="1:14" ht="15.75" hidden="1" customHeight="1">
      <c r="A62" s="41"/>
      <c r="B62" s="91" t="s">
        <v>127</v>
      </c>
      <c r="C62" s="92" t="s">
        <v>85</v>
      </c>
      <c r="D62" s="91" t="s">
        <v>65</v>
      </c>
      <c r="E62" s="93">
        <v>2</v>
      </c>
      <c r="F62" s="94">
        <f>SUM(E62)</f>
        <v>2</v>
      </c>
      <c r="G62" s="100">
        <v>237.75</v>
      </c>
      <c r="H62" s="95">
        <f t="shared" ref="H62" si="7">SUM(F62*G62/1000)</f>
        <v>0.47549999999999998</v>
      </c>
      <c r="I62" s="13">
        <v>0</v>
      </c>
      <c r="J62" s="25"/>
      <c r="L62" s="21"/>
      <c r="M62" s="22"/>
      <c r="N62" s="23"/>
    </row>
    <row r="63" spans="1:14" ht="15.75" hidden="1" customHeight="1">
      <c r="A63" s="41"/>
      <c r="B63" s="75" t="s">
        <v>46</v>
      </c>
      <c r="C63" s="17"/>
      <c r="D63" s="16"/>
      <c r="E63" s="16"/>
      <c r="F63" s="86"/>
      <c r="G63" s="65"/>
      <c r="H63" s="68"/>
      <c r="I63" s="19"/>
      <c r="J63" s="25"/>
      <c r="L63" s="21"/>
      <c r="M63" s="22"/>
      <c r="N63" s="23"/>
    </row>
    <row r="64" spans="1:14" ht="15.75" hidden="1" customHeight="1">
      <c r="A64" s="41">
        <v>23</v>
      </c>
      <c r="B64" s="15" t="s">
        <v>47</v>
      </c>
      <c r="C64" s="17" t="s">
        <v>85</v>
      </c>
      <c r="D64" s="91" t="s">
        <v>65</v>
      </c>
      <c r="E64" s="19">
        <v>10</v>
      </c>
      <c r="F64" s="94">
        <v>10</v>
      </c>
      <c r="G64" s="13">
        <v>222.4</v>
      </c>
      <c r="H64" s="101">
        <f t="shared" ref="H64:H71" si="8">SUM(F64*G64/1000)</f>
        <v>2.2240000000000002</v>
      </c>
      <c r="I64" s="13">
        <v>0</v>
      </c>
      <c r="J64" s="25"/>
      <c r="L64" s="21"/>
      <c r="M64" s="22"/>
      <c r="N64" s="23"/>
    </row>
    <row r="65" spans="1:14" ht="15.75" hidden="1" customHeight="1">
      <c r="A65" s="31">
        <v>29</v>
      </c>
      <c r="B65" s="15" t="s">
        <v>48</v>
      </c>
      <c r="C65" s="17" t="s">
        <v>85</v>
      </c>
      <c r="D65" s="91" t="s">
        <v>65</v>
      </c>
      <c r="E65" s="19">
        <v>5</v>
      </c>
      <c r="F65" s="94">
        <v>5</v>
      </c>
      <c r="G65" s="13">
        <v>75.25</v>
      </c>
      <c r="H65" s="101">
        <f t="shared" si="8"/>
        <v>0.37624999999999997</v>
      </c>
      <c r="I65" s="13">
        <v>0</v>
      </c>
      <c r="J65" s="25"/>
      <c r="L65" s="21"/>
      <c r="M65" s="22"/>
      <c r="N65" s="23"/>
    </row>
    <row r="66" spans="1:14" ht="15.75" hidden="1" customHeight="1">
      <c r="A66" s="31">
        <v>8</v>
      </c>
      <c r="B66" s="15" t="s">
        <v>49</v>
      </c>
      <c r="C66" s="17" t="s">
        <v>111</v>
      </c>
      <c r="D66" s="15" t="s">
        <v>54</v>
      </c>
      <c r="E66" s="93">
        <v>13018</v>
      </c>
      <c r="F66" s="13">
        <f>SUM(E66/100)</f>
        <v>130.18</v>
      </c>
      <c r="G66" s="13">
        <v>212.15</v>
      </c>
      <c r="H66" s="101">
        <f t="shared" si="8"/>
        <v>27.617687</v>
      </c>
      <c r="I66" s="13">
        <v>0</v>
      </c>
      <c r="J66" s="25"/>
      <c r="L66" s="21"/>
      <c r="M66" s="22"/>
      <c r="N66" s="23"/>
    </row>
    <row r="67" spans="1:14" ht="15.75" hidden="1" customHeight="1">
      <c r="A67" s="31">
        <v>9</v>
      </c>
      <c r="B67" s="15" t="s">
        <v>50</v>
      </c>
      <c r="C67" s="17" t="s">
        <v>112</v>
      </c>
      <c r="D67" s="15"/>
      <c r="E67" s="93">
        <v>13018</v>
      </c>
      <c r="F67" s="13">
        <f>SUM(E67/1000)</f>
        <v>13.018000000000001</v>
      </c>
      <c r="G67" s="13">
        <v>165.21</v>
      </c>
      <c r="H67" s="101">
        <f t="shared" si="8"/>
        <v>2.1507037800000002</v>
      </c>
      <c r="I67" s="13">
        <v>0</v>
      </c>
      <c r="J67" s="25"/>
      <c r="L67" s="21"/>
      <c r="M67" s="22"/>
      <c r="N67" s="23"/>
    </row>
    <row r="68" spans="1:14" ht="15.75" hidden="1" customHeight="1">
      <c r="A68" s="31">
        <v>10</v>
      </c>
      <c r="B68" s="15" t="s">
        <v>51</v>
      </c>
      <c r="C68" s="17" t="s">
        <v>76</v>
      </c>
      <c r="D68" s="15" t="s">
        <v>54</v>
      </c>
      <c r="E68" s="93">
        <v>1279</v>
      </c>
      <c r="F68" s="13">
        <f>SUM(E68/100)</f>
        <v>12.79</v>
      </c>
      <c r="G68" s="13">
        <v>2074.63</v>
      </c>
      <c r="H68" s="101">
        <f t="shared" si="8"/>
        <v>26.534517700000002</v>
      </c>
      <c r="I68" s="13">
        <v>0</v>
      </c>
      <c r="J68" s="25"/>
      <c r="L68" s="21"/>
      <c r="M68" s="22"/>
      <c r="N68" s="23"/>
    </row>
    <row r="69" spans="1:14" ht="15.75" hidden="1" customHeight="1">
      <c r="A69" s="31">
        <v>11</v>
      </c>
      <c r="B69" s="102" t="s">
        <v>113</v>
      </c>
      <c r="C69" s="17" t="s">
        <v>32</v>
      </c>
      <c r="D69" s="15"/>
      <c r="E69" s="93">
        <v>12</v>
      </c>
      <c r="F69" s="13">
        <f>SUM(E69)</f>
        <v>12</v>
      </c>
      <c r="G69" s="13">
        <v>45.32</v>
      </c>
      <c r="H69" s="101">
        <f t="shared" si="8"/>
        <v>0.54383999999999999</v>
      </c>
      <c r="I69" s="13">
        <v>0</v>
      </c>
      <c r="J69" s="25"/>
      <c r="L69" s="21"/>
      <c r="M69" s="22"/>
      <c r="N69" s="23"/>
    </row>
    <row r="70" spans="1:14" ht="15.75" hidden="1" customHeight="1">
      <c r="A70" s="31">
        <v>12</v>
      </c>
      <c r="B70" s="102" t="s">
        <v>114</v>
      </c>
      <c r="C70" s="17" t="s">
        <v>32</v>
      </c>
      <c r="D70" s="15"/>
      <c r="E70" s="93">
        <v>12</v>
      </c>
      <c r="F70" s="13">
        <f>SUM(E70)</f>
        <v>12</v>
      </c>
      <c r="G70" s="13">
        <v>42.28</v>
      </c>
      <c r="H70" s="101">
        <f t="shared" si="8"/>
        <v>0.50736000000000003</v>
      </c>
      <c r="I70" s="13">
        <v>0</v>
      </c>
      <c r="J70" s="25"/>
      <c r="L70" s="21"/>
      <c r="M70" s="22"/>
      <c r="N70" s="23"/>
    </row>
    <row r="71" spans="1:14" ht="15.75" hidden="1" customHeight="1">
      <c r="A71" s="31">
        <v>13</v>
      </c>
      <c r="B71" s="15" t="s">
        <v>57</v>
      </c>
      <c r="C71" s="17" t="s">
        <v>58</v>
      </c>
      <c r="D71" s="15" t="s">
        <v>54</v>
      </c>
      <c r="E71" s="19">
        <v>1</v>
      </c>
      <c r="F71" s="94">
        <f>SUM(E71)</f>
        <v>1</v>
      </c>
      <c r="G71" s="13">
        <v>49.88</v>
      </c>
      <c r="H71" s="101">
        <f t="shared" si="8"/>
        <v>4.9880000000000001E-2</v>
      </c>
      <c r="I71" s="13">
        <v>0</v>
      </c>
      <c r="J71" s="25"/>
      <c r="L71" s="21"/>
      <c r="M71" s="22"/>
      <c r="N71" s="23"/>
    </row>
    <row r="72" spans="1:14" ht="15.75" hidden="1" customHeight="1">
      <c r="A72" s="53"/>
      <c r="B72" s="75" t="s">
        <v>115</v>
      </c>
      <c r="C72" s="75"/>
      <c r="D72" s="75"/>
      <c r="E72" s="75"/>
      <c r="F72" s="75"/>
      <c r="G72" s="75"/>
      <c r="H72" s="75"/>
      <c r="I72" s="19"/>
      <c r="J72" s="25"/>
      <c r="L72" s="21"/>
      <c r="M72" s="22"/>
      <c r="N72" s="23"/>
    </row>
    <row r="73" spans="1:14" ht="15.75" hidden="1" customHeight="1">
      <c r="A73" s="31">
        <v>16</v>
      </c>
      <c r="B73" s="91" t="s">
        <v>116</v>
      </c>
      <c r="C73" s="17"/>
      <c r="D73" s="15"/>
      <c r="E73" s="85"/>
      <c r="F73" s="13">
        <v>1</v>
      </c>
      <c r="G73" s="13">
        <v>10041.700000000001</v>
      </c>
      <c r="H73" s="101">
        <f>G73*F73/1000</f>
        <v>10.041700000000001</v>
      </c>
      <c r="I73" s="13">
        <f>G73</f>
        <v>10041.700000000001</v>
      </c>
      <c r="J73" s="25"/>
      <c r="L73" s="21"/>
      <c r="M73" s="22"/>
      <c r="N73" s="23"/>
    </row>
    <row r="74" spans="1:14" ht="15.75" hidden="1" customHeight="1">
      <c r="A74" s="31"/>
      <c r="B74" s="49" t="s">
        <v>72</v>
      </c>
      <c r="C74" s="49"/>
      <c r="D74" s="49"/>
      <c r="E74" s="19"/>
      <c r="F74" s="19"/>
      <c r="G74" s="31"/>
      <c r="H74" s="31"/>
      <c r="I74" s="19"/>
      <c r="J74" s="25"/>
      <c r="L74" s="21"/>
      <c r="M74" s="22"/>
      <c r="N74" s="23"/>
    </row>
    <row r="75" spans="1:14" ht="15.75" hidden="1" customHeight="1">
      <c r="A75" s="31">
        <v>19</v>
      </c>
      <c r="B75" s="15" t="s">
        <v>73</v>
      </c>
      <c r="C75" s="17" t="s">
        <v>74</v>
      </c>
      <c r="D75" s="15" t="s">
        <v>65</v>
      </c>
      <c r="E75" s="19">
        <v>5</v>
      </c>
      <c r="F75" s="13">
        <v>0.5</v>
      </c>
      <c r="G75" s="13">
        <v>501.62</v>
      </c>
      <c r="H75" s="101">
        <f t="shared" ref="H75:H77" si="9">SUM(F75*G75/1000)</f>
        <v>0.25080999999999998</v>
      </c>
      <c r="I75" s="13">
        <f>G75*0.1</f>
        <v>50.162000000000006</v>
      </c>
      <c r="J75" s="25"/>
      <c r="L75" s="21"/>
      <c r="M75" s="22"/>
      <c r="N75" s="23"/>
    </row>
    <row r="76" spans="1:14" ht="15.75" hidden="1" customHeight="1">
      <c r="A76" s="31"/>
      <c r="B76" s="15" t="s">
        <v>128</v>
      </c>
      <c r="C76" s="17" t="s">
        <v>85</v>
      </c>
      <c r="D76" s="15"/>
      <c r="E76" s="19">
        <v>1</v>
      </c>
      <c r="F76" s="84">
        <f>E76</f>
        <v>1</v>
      </c>
      <c r="G76" s="13">
        <v>852.99</v>
      </c>
      <c r="H76" s="101">
        <f t="shared" si="9"/>
        <v>0.85299000000000003</v>
      </c>
      <c r="I76" s="13">
        <v>0</v>
      </c>
      <c r="J76" s="25"/>
      <c r="L76" s="21"/>
      <c r="M76" s="22"/>
      <c r="N76" s="23"/>
    </row>
    <row r="77" spans="1:14" ht="15.75" hidden="1" customHeight="1">
      <c r="A77" s="31"/>
      <c r="B77" s="15" t="s">
        <v>129</v>
      </c>
      <c r="C77" s="17" t="s">
        <v>85</v>
      </c>
      <c r="D77" s="15"/>
      <c r="E77" s="19">
        <v>1</v>
      </c>
      <c r="F77" s="94">
        <f>SUM(E77)</f>
        <v>1</v>
      </c>
      <c r="G77" s="13">
        <v>358.51</v>
      </c>
      <c r="H77" s="101">
        <f t="shared" si="9"/>
        <v>0.35851</v>
      </c>
      <c r="I77" s="13">
        <v>0</v>
      </c>
      <c r="J77" s="25"/>
      <c r="L77" s="21"/>
      <c r="M77" s="22"/>
      <c r="N77" s="23"/>
    </row>
    <row r="78" spans="1:14" ht="15.75" hidden="1" customHeight="1">
      <c r="A78" s="31"/>
      <c r="B78" s="50" t="s">
        <v>75</v>
      </c>
      <c r="C78" s="38"/>
      <c r="D78" s="31"/>
      <c r="E78" s="19"/>
      <c r="F78" s="19"/>
      <c r="G78" s="37" t="s">
        <v>117</v>
      </c>
      <c r="H78" s="37"/>
      <c r="I78" s="19"/>
      <c r="J78" s="25"/>
      <c r="L78" s="21"/>
      <c r="M78" s="22"/>
      <c r="N78" s="23"/>
    </row>
    <row r="79" spans="1:14" ht="15.75" hidden="1" customHeight="1">
      <c r="A79" s="31">
        <v>12</v>
      </c>
      <c r="B79" s="52" t="s">
        <v>118</v>
      </c>
      <c r="C79" s="17" t="s">
        <v>76</v>
      </c>
      <c r="D79" s="15"/>
      <c r="E79" s="19"/>
      <c r="F79" s="13">
        <v>0.3</v>
      </c>
      <c r="G79" s="13">
        <v>2759.44</v>
      </c>
      <c r="H79" s="101">
        <f t="shared" ref="H79" si="10">SUM(F79*G79/1000)</f>
        <v>0.82783200000000001</v>
      </c>
      <c r="I79" s="13">
        <v>0</v>
      </c>
      <c r="J79" s="25"/>
      <c r="L79" s="21"/>
      <c r="M79" s="22"/>
      <c r="N79" s="23"/>
    </row>
    <row r="80" spans="1:14" ht="15.75" hidden="1" customHeight="1">
      <c r="A80" s="31"/>
      <c r="B80" s="129" t="s">
        <v>46</v>
      </c>
      <c r="C80" s="127"/>
      <c r="D80" s="128"/>
      <c r="E80" s="19"/>
      <c r="F80" s="13"/>
      <c r="G80" s="13"/>
      <c r="H80" s="13"/>
      <c r="I80" s="13"/>
      <c r="J80" s="25"/>
      <c r="L80" s="21"/>
      <c r="M80" s="22"/>
      <c r="N80" s="23"/>
    </row>
    <row r="81" spans="1:21" ht="15.75" hidden="1" customHeight="1">
      <c r="A81" s="31">
        <v>14</v>
      </c>
      <c r="B81" s="130" t="s">
        <v>47</v>
      </c>
      <c r="C81" s="38" t="s">
        <v>85</v>
      </c>
      <c r="D81" s="121" t="s">
        <v>163</v>
      </c>
      <c r="E81" s="19"/>
      <c r="F81" s="13"/>
      <c r="G81" s="37">
        <v>222.4</v>
      </c>
      <c r="H81" s="13"/>
      <c r="I81" s="13">
        <f>G81*2</f>
        <v>444.8</v>
      </c>
      <c r="J81" s="25"/>
      <c r="L81" s="21"/>
      <c r="M81" s="22"/>
      <c r="N81" s="23"/>
    </row>
    <row r="82" spans="1:21" ht="15.75" customHeight="1">
      <c r="A82" s="136"/>
      <c r="B82" s="144" t="s">
        <v>174</v>
      </c>
      <c r="C82" s="38"/>
      <c r="D82" s="121"/>
      <c r="E82" s="18"/>
      <c r="F82" s="68"/>
      <c r="G82" s="37"/>
      <c r="H82" s="137"/>
      <c r="I82" s="138"/>
      <c r="J82" s="25"/>
      <c r="L82" s="21"/>
      <c r="M82" s="22"/>
      <c r="N82" s="23"/>
    </row>
    <row r="83" spans="1:21" ht="33.75" customHeight="1">
      <c r="A83" s="136">
        <v>12</v>
      </c>
      <c r="B83" s="121" t="s">
        <v>175</v>
      </c>
      <c r="C83" s="41" t="s">
        <v>176</v>
      </c>
      <c r="D83" s="121"/>
      <c r="E83" s="18">
        <v>2581.1999999999998</v>
      </c>
      <c r="F83" s="37">
        <f>E83*12</f>
        <v>30974.399999999998</v>
      </c>
      <c r="G83" s="37">
        <v>2.6</v>
      </c>
      <c r="H83" s="137"/>
      <c r="I83" s="138">
        <f>G83*F83/12</f>
        <v>6711.12</v>
      </c>
      <c r="J83" s="25"/>
      <c r="L83" s="21"/>
      <c r="M83" s="22"/>
      <c r="N83" s="23"/>
    </row>
    <row r="84" spans="1:21" ht="15.75" customHeight="1">
      <c r="A84" s="31"/>
      <c r="B84" s="121" t="s">
        <v>194</v>
      </c>
      <c r="C84" s="38" t="s">
        <v>85</v>
      </c>
      <c r="D84" s="121" t="s">
        <v>164</v>
      </c>
      <c r="E84" s="18">
        <v>2</v>
      </c>
      <c r="F84" s="68">
        <f>E84*12</f>
        <v>24</v>
      </c>
      <c r="G84" s="37">
        <v>420</v>
      </c>
      <c r="H84" s="101"/>
      <c r="I84" s="13">
        <f>G84*2</f>
        <v>840</v>
      </c>
      <c r="J84" s="25"/>
      <c r="L84" s="21"/>
      <c r="M84" s="22"/>
      <c r="N84" s="23"/>
    </row>
    <row r="85" spans="1:21" ht="15.75" customHeight="1">
      <c r="A85" s="205" t="s">
        <v>143</v>
      </c>
      <c r="B85" s="206"/>
      <c r="C85" s="206"/>
      <c r="D85" s="206"/>
      <c r="E85" s="206"/>
      <c r="F85" s="206"/>
      <c r="G85" s="206"/>
      <c r="H85" s="206"/>
      <c r="I85" s="207"/>
      <c r="J85" s="25"/>
      <c r="L85" s="21"/>
      <c r="M85" s="22"/>
      <c r="N85" s="23"/>
    </row>
    <row r="86" spans="1:21" ht="15.75" customHeight="1">
      <c r="A86" s="31">
        <v>13</v>
      </c>
      <c r="B86" s="121" t="s">
        <v>119</v>
      </c>
      <c r="C86" s="38" t="s">
        <v>55</v>
      </c>
      <c r="D86" s="169"/>
      <c r="E86" s="37">
        <v>2581.1999999999998</v>
      </c>
      <c r="F86" s="37">
        <f>SUM(E86*12)</f>
        <v>30974.399999999998</v>
      </c>
      <c r="G86" s="37">
        <v>3.5</v>
      </c>
      <c r="H86" s="164">
        <f>SUM(F86*G86/1000)</f>
        <v>108.4104</v>
      </c>
      <c r="I86" s="165">
        <f>F86/12*G86</f>
        <v>9034.1999999999989</v>
      </c>
      <c r="J86" s="25"/>
      <c r="L86" s="21"/>
    </row>
    <row r="87" spans="1:21" ht="31.5" customHeight="1">
      <c r="A87" s="31">
        <v>14</v>
      </c>
      <c r="B87" s="166" t="s">
        <v>195</v>
      </c>
      <c r="C87" s="159" t="s">
        <v>55</v>
      </c>
      <c r="D87" s="167"/>
      <c r="E87" s="168">
        <f>E86</f>
        <v>2581.1999999999998</v>
      </c>
      <c r="F87" s="161">
        <f>E87*12</f>
        <v>30974.399999999998</v>
      </c>
      <c r="G87" s="161">
        <v>3.2</v>
      </c>
      <c r="H87" s="101">
        <f>F87*G87/1000</f>
        <v>99.118080000000006</v>
      </c>
      <c r="I87" s="13">
        <f>F87/12*G87</f>
        <v>8259.84</v>
      </c>
    </row>
    <row r="88" spans="1:21" ht="15.75" customHeight="1">
      <c r="A88" s="53"/>
      <c r="B88" s="39" t="s">
        <v>79</v>
      </c>
      <c r="C88" s="41"/>
      <c r="D88" s="16"/>
      <c r="E88" s="16"/>
      <c r="F88" s="16"/>
      <c r="G88" s="19"/>
      <c r="H88" s="19"/>
      <c r="I88" s="33">
        <f>I87+I86+I84+I83+I60+I43+I40+I38+I37+I27+I21+I20+I18+I17+I16</f>
        <v>36048.426350166672</v>
      </c>
    </row>
    <row r="89" spans="1:21" ht="15.75" customHeight="1">
      <c r="A89" s="208" t="s">
        <v>60</v>
      </c>
      <c r="B89" s="209"/>
      <c r="C89" s="209"/>
      <c r="D89" s="209"/>
      <c r="E89" s="209"/>
      <c r="F89" s="209"/>
      <c r="G89" s="209"/>
      <c r="H89" s="209"/>
      <c r="I89" s="210"/>
    </row>
    <row r="90" spans="1:21" ht="15.75" customHeight="1">
      <c r="A90" s="31"/>
      <c r="B90" s="46" t="s">
        <v>52</v>
      </c>
      <c r="C90" s="42"/>
      <c r="D90" s="54"/>
      <c r="E90" s="42">
        <v>1</v>
      </c>
      <c r="F90" s="42"/>
      <c r="G90" s="42"/>
      <c r="H90" s="42"/>
      <c r="I90" s="33">
        <v>0</v>
      </c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</row>
    <row r="91" spans="1:21" ht="15.75" customHeight="1">
      <c r="A91" s="31"/>
      <c r="B91" s="52" t="s">
        <v>78</v>
      </c>
      <c r="C91" s="16"/>
      <c r="D91" s="16"/>
      <c r="E91" s="43"/>
      <c r="F91" s="43"/>
      <c r="G91" s="44"/>
      <c r="H91" s="44"/>
      <c r="I91" s="18">
        <v>0</v>
      </c>
    </row>
    <row r="92" spans="1:21" ht="15.75" customHeight="1">
      <c r="A92" s="55"/>
      <c r="B92" s="47" t="s">
        <v>136</v>
      </c>
      <c r="C92" s="36"/>
      <c r="D92" s="36"/>
      <c r="E92" s="36"/>
      <c r="F92" s="36"/>
      <c r="G92" s="36"/>
      <c r="H92" s="36"/>
      <c r="I92" s="45">
        <f>I88+I90</f>
        <v>36048.426350166672</v>
      </c>
    </row>
    <row r="93" spans="1:21" ht="15.75" customHeight="1">
      <c r="A93" s="204" t="s">
        <v>202</v>
      </c>
      <c r="B93" s="204"/>
      <c r="C93" s="204"/>
      <c r="D93" s="204"/>
      <c r="E93" s="204"/>
      <c r="F93" s="204"/>
      <c r="G93" s="204"/>
      <c r="H93" s="204"/>
      <c r="I93" s="204"/>
    </row>
    <row r="94" spans="1:21" ht="15.75" customHeight="1">
      <c r="A94" s="77"/>
      <c r="B94" s="185" t="s">
        <v>203</v>
      </c>
      <c r="C94" s="185"/>
      <c r="D94" s="185"/>
      <c r="E94" s="185"/>
      <c r="F94" s="185"/>
      <c r="G94" s="185"/>
      <c r="H94" s="89"/>
      <c r="I94" s="3"/>
    </row>
    <row r="95" spans="1:21" ht="15.75" customHeight="1">
      <c r="A95" s="70"/>
      <c r="B95" s="186" t="s">
        <v>6</v>
      </c>
      <c r="C95" s="186"/>
      <c r="D95" s="186"/>
      <c r="E95" s="186"/>
      <c r="F95" s="186"/>
      <c r="G95" s="186"/>
      <c r="H95" s="26"/>
      <c r="I95" s="5"/>
    </row>
    <row r="96" spans="1:21" ht="15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 customHeight="1">
      <c r="A97" s="187" t="s">
        <v>7</v>
      </c>
      <c r="B97" s="187"/>
      <c r="C97" s="187"/>
      <c r="D97" s="187"/>
      <c r="E97" s="187"/>
      <c r="F97" s="187"/>
      <c r="G97" s="187"/>
      <c r="H97" s="187"/>
      <c r="I97" s="187"/>
    </row>
    <row r="98" spans="1:9" ht="15.75" customHeight="1">
      <c r="A98" s="187" t="s">
        <v>8</v>
      </c>
      <c r="B98" s="187"/>
      <c r="C98" s="187"/>
      <c r="D98" s="187"/>
      <c r="E98" s="187"/>
      <c r="F98" s="187"/>
      <c r="G98" s="187"/>
      <c r="H98" s="187"/>
      <c r="I98" s="187"/>
    </row>
    <row r="99" spans="1:9" ht="15.75" customHeight="1">
      <c r="A99" s="190" t="s">
        <v>61</v>
      </c>
      <c r="B99" s="190"/>
      <c r="C99" s="190"/>
      <c r="D99" s="190"/>
      <c r="E99" s="190"/>
      <c r="F99" s="190"/>
      <c r="G99" s="190"/>
      <c r="H99" s="190"/>
      <c r="I99" s="190"/>
    </row>
    <row r="100" spans="1:9" ht="15.75" customHeight="1">
      <c r="A100" s="11"/>
    </row>
    <row r="101" spans="1:9" ht="15.75" customHeight="1">
      <c r="A101" s="191" t="s">
        <v>9</v>
      </c>
      <c r="B101" s="191"/>
      <c r="C101" s="191"/>
      <c r="D101" s="191"/>
      <c r="E101" s="191"/>
      <c r="F101" s="191"/>
      <c r="G101" s="191"/>
      <c r="H101" s="191"/>
      <c r="I101" s="191"/>
    </row>
    <row r="102" spans="1:9" ht="15.75" customHeight="1">
      <c r="A102" s="4"/>
    </row>
    <row r="103" spans="1:9" ht="15.75" customHeight="1">
      <c r="B103" s="73" t="s">
        <v>10</v>
      </c>
      <c r="C103" s="192" t="s">
        <v>84</v>
      </c>
      <c r="D103" s="192"/>
      <c r="E103" s="192"/>
      <c r="F103" s="87"/>
      <c r="I103" s="72"/>
    </row>
    <row r="104" spans="1:9" ht="15.75" customHeight="1">
      <c r="A104" s="70"/>
      <c r="C104" s="186" t="s">
        <v>11</v>
      </c>
      <c r="D104" s="186"/>
      <c r="E104" s="186"/>
      <c r="F104" s="26"/>
      <c r="I104" s="71" t="s">
        <v>12</v>
      </c>
    </row>
    <row r="105" spans="1:9" ht="15.75" customHeight="1">
      <c r="A105" s="27"/>
      <c r="C105" s="12"/>
      <c r="D105" s="12"/>
      <c r="G105" s="12"/>
      <c r="H105" s="12"/>
    </row>
    <row r="106" spans="1:9" ht="15.75" customHeight="1">
      <c r="B106" s="73" t="s">
        <v>13</v>
      </c>
      <c r="C106" s="193"/>
      <c r="D106" s="193"/>
      <c r="E106" s="193"/>
      <c r="F106" s="88"/>
      <c r="I106" s="72"/>
    </row>
    <row r="107" spans="1:9" ht="15.75" customHeight="1">
      <c r="A107" s="70"/>
      <c r="C107" s="189" t="s">
        <v>11</v>
      </c>
      <c r="D107" s="189"/>
      <c r="E107" s="189"/>
      <c r="F107" s="70"/>
      <c r="I107" s="71" t="s">
        <v>12</v>
      </c>
    </row>
    <row r="108" spans="1:9" ht="15.75" customHeight="1">
      <c r="A108" s="4" t="s">
        <v>14</v>
      </c>
    </row>
    <row r="109" spans="1:9">
      <c r="A109" s="188" t="s">
        <v>15</v>
      </c>
      <c r="B109" s="188"/>
      <c r="C109" s="188"/>
      <c r="D109" s="188"/>
      <c r="E109" s="188"/>
      <c r="F109" s="188"/>
      <c r="G109" s="188"/>
      <c r="H109" s="188"/>
      <c r="I109" s="188"/>
    </row>
    <row r="110" spans="1:9" ht="45" customHeight="1">
      <c r="A110" s="184" t="s">
        <v>16</v>
      </c>
      <c r="B110" s="184"/>
      <c r="C110" s="184"/>
      <c r="D110" s="184"/>
      <c r="E110" s="184"/>
      <c r="F110" s="184"/>
      <c r="G110" s="184"/>
      <c r="H110" s="184"/>
      <c r="I110" s="184"/>
    </row>
    <row r="111" spans="1:9" ht="30" customHeight="1">
      <c r="A111" s="184" t="s">
        <v>17</v>
      </c>
      <c r="B111" s="184"/>
      <c r="C111" s="184"/>
      <c r="D111" s="184"/>
      <c r="E111" s="184"/>
      <c r="F111" s="184"/>
      <c r="G111" s="184"/>
      <c r="H111" s="184"/>
      <c r="I111" s="184"/>
    </row>
    <row r="112" spans="1:9" ht="30" customHeight="1">
      <c r="A112" s="184" t="s">
        <v>21</v>
      </c>
      <c r="B112" s="184"/>
      <c r="C112" s="184"/>
      <c r="D112" s="184"/>
      <c r="E112" s="184"/>
      <c r="F112" s="184"/>
      <c r="G112" s="184"/>
      <c r="H112" s="184"/>
      <c r="I112" s="184"/>
    </row>
    <row r="113" spans="1:9" ht="15" customHeight="1">
      <c r="A113" s="184" t="s">
        <v>20</v>
      </c>
      <c r="B113" s="184"/>
      <c r="C113" s="184"/>
      <c r="D113" s="184"/>
      <c r="E113" s="184"/>
      <c r="F113" s="184"/>
      <c r="G113" s="184"/>
      <c r="H113" s="184"/>
      <c r="I113" s="184"/>
    </row>
  </sheetData>
  <autoFilter ref="I12:I88"/>
  <mergeCells count="28">
    <mergeCell ref="A14:I14"/>
    <mergeCell ref="A3:I3"/>
    <mergeCell ref="A4:I4"/>
    <mergeCell ref="A5:I5"/>
    <mergeCell ref="A8:I8"/>
    <mergeCell ref="A10:I10"/>
    <mergeCell ref="A99:I99"/>
    <mergeCell ref="A15:I15"/>
    <mergeCell ref="A28:I28"/>
    <mergeCell ref="A44:I44"/>
    <mergeCell ref="A55:I55"/>
    <mergeCell ref="A85:I85"/>
    <mergeCell ref="A89:I89"/>
    <mergeCell ref="A93:I93"/>
    <mergeCell ref="B94:G94"/>
    <mergeCell ref="B95:G95"/>
    <mergeCell ref="A97:I97"/>
    <mergeCell ref="A98:I98"/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</mergeCells>
  <pageMargins left="0.70866141732283472" right="0.23622047244094491" top="0.27559055118110237" bottom="0.27559055118110237" header="0.31496062992125984" footer="0.31496062992125984"/>
  <pageSetup paperSize="9" scale="64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U108"/>
  <sheetViews>
    <sheetView topLeftCell="A77" workbookViewId="0">
      <selection activeCell="B27" sqref="B27:I2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3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155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94" t="s">
        <v>144</v>
      </c>
      <c r="B3" s="194"/>
      <c r="C3" s="194"/>
      <c r="D3" s="194"/>
      <c r="E3" s="194"/>
      <c r="F3" s="194"/>
      <c r="G3" s="194"/>
      <c r="H3" s="194"/>
      <c r="I3" s="194"/>
      <c r="J3" s="3"/>
      <c r="K3" s="3"/>
      <c r="L3" s="3"/>
    </row>
    <row r="4" spans="1:13" ht="31.5" customHeight="1">
      <c r="A4" s="195" t="s">
        <v>120</v>
      </c>
      <c r="B4" s="195"/>
      <c r="C4" s="195"/>
      <c r="D4" s="195"/>
      <c r="E4" s="195"/>
      <c r="F4" s="195"/>
      <c r="G4" s="195"/>
      <c r="H4" s="195"/>
      <c r="I4" s="195"/>
    </row>
    <row r="5" spans="1:13" ht="15.75" customHeight="1">
      <c r="A5" s="194" t="s">
        <v>204</v>
      </c>
      <c r="B5" s="198"/>
      <c r="C5" s="198"/>
      <c r="D5" s="198"/>
      <c r="E5" s="198"/>
      <c r="F5" s="198"/>
      <c r="G5" s="198"/>
      <c r="H5" s="198"/>
      <c r="I5" s="198"/>
      <c r="J5" s="2"/>
      <c r="K5" s="2"/>
      <c r="L5" s="2"/>
      <c r="M5" s="2"/>
    </row>
    <row r="6" spans="1:13" ht="15.75" customHeight="1">
      <c r="A6" s="2"/>
      <c r="B6" s="74"/>
      <c r="C6" s="74"/>
      <c r="D6" s="74"/>
      <c r="E6" s="74"/>
      <c r="F6" s="74"/>
      <c r="G6" s="74"/>
      <c r="H6" s="74"/>
      <c r="I6" s="32">
        <v>43982</v>
      </c>
      <c r="J6" s="2"/>
      <c r="K6" s="2"/>
      <c r="L6" s="2"/>
      <c r="M6" s="2"/>
    </row>
    <row r="7" spans="1:13" ht="15.75" customHeight="1">
      <c r="B7" s="73"/>
      <c r="C7" s="73"/>
      <c r="D7" s="73"/>
      <c r="E7" s="3"/>
      <c r="F7" s="3"/>
      <c r="G7" s="3"/>
      <c r="H7" s="3"/>
      <c r="J7" s="3"/>
      <c r="K7" s="3"/>
      <c r="L7" s="3"/>
      <c r="M7" s="3"/>
    </row>
    <row r="8" spans="1:13" s="64" customFormat="1" ht="78.75" customHeight="1">
      <c r="A8" s="196" t="s">
        <v>186</v>
      </c>
      <c r="B8" s="196"/>
      <c r="C8" s="196"/>
      <c r="D8" s="196"/>
      <c r="E8" s="196"/>
      <c r="F8" s="196"/>
      <c r="G8" s="196"/>
      <c r="H8" s="196"/>
      <c r="I8" s="196"/>
      <c r="J8" s="76"/>
      <c r="K8" s="76"/>
      <c r="L8" s="76"/>
      <c r="M8" s="76"/>
    </row>
    <row r="9" spans="1:13" ht="15.75">
      <c r="A9" s="4"/>
      <c r="J9" s="2"/>
      <c r="K9" s="2"/>
      <c r="L9" s="2"/>
      <c r="M9" s="2"/>
    </row>
    <row r="10" spans="1:13" ht="47.25" customHeight="1">
      <c r="A10" s="197" t="s">
        <v>150</v>
      </c>
      <c r="B10" s="197"/>
      <c r="C10" s="197"/>
      <c r="D10" s="197"/>
      <c r="E10" s="197"/>
      <c r="F10" s="197"/>
      <c r="G10" s="197"/>
      <c r="H10" s="197"/>
      <c r="I10" s="19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 ht="15.7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9" t="s">
        <v>59</v>
      </c>
      <c r="B14" s="199"/>
      <c r="C14" s="199"/>
      <c r="D14" s="199"/>
      <c r="E14" s="199"/>
      <c r="F14" s="199"/>
      <c r="G14" s="199"/>
      <c r="H14" s="199"/>
      <c r="I14" s="199"/>
      <c r="J14" s="8"/>
      <c r="K14" s="8"/>
      <c r="L14" s="8"/>
      <c r="M14" s="8"/>
    </row>
    <row r="15" spans="1:13" ht="15.75" customHeight="1">
      <c r="A15" s="200" t="s">
        <v>4</v>
      </c>
      <c r="B15" s="200"/>
      <c r="C15" s="200"/>
      <c r="D15" s="200"/>
      <c r="E15" s="200"/>
      <c r="F15" s="200"/>
      <c r="G15" s="200"/>
      <c r="H15" s="200"/>
      <c r="I15" s="200"/>
      <c r="J15" s="8"/>
      <c r="K15" s="8"/>
      <c r="L15" s="8"/>
      <c r="M15" s="8"/>
    </row>
    <row r="16" spans="1:13" ht="15.75" customHeight="1">
      <c r="A16" s="31">
        <v>1</v>
      </c>
      <c r="B16" s="34" t="s">
        <v>83</v>
      </c>
      <c r="C16" s="40" t="s">
        <v>88</v>
      </c>
      <c r="D16" s="34" t="s">
        <v>161</v>
      </c>
      <c r="E16" s="123">
        <v>47.52</v>
      </c>
      <c r="F16" s="124">
        <f>SUM(E16*156/100)</f>
        <v>74.131200000000007</v>
      </c>
      <c r="G16" s="124">
        <v>261.45</v>
      </c>
      <c r="H16" s="95">
        <f t="shared" ref="H16:H27" si="0">SUM(F16*G16/1000)</f>
        <v>19.381602239999999</v>
      </c>
      <c r="I16" s="13">
        <f>F16/12*G16</f>
        <v>1615.1335200000001</v>
      </c>
      <c r="J16" s="8"/>
      <c r="K16" s="8"/>
      <c r="L16" s="8"/>
      <c r="M16" s="8"/>
    </row>
    <row r="17" spans="1:13" ht="15.75" customHeight="1">
      <c r="A17" s="31">
        <v>2</v>
      </c>
      <c r="B17" s="34" t="s">
        <v>97</v>
      </c>
      <c r="C17" s="40" t="s">
        <v>88</v>
      </c>
      <c r="D17" s="34" t="s">
        <v>162</v>
      </c>
      <c r="E17" s="123">
        <v>190.08</v>
      </c>
      <c r="F17" s="124">
        <f>SUM(E17*104/100)</f>
        <v>197.6832</v>
      </c>
      <c r="G17" s="124">
        <v>261.45</v>
      </c>
      <c r="H17" s="95">
        <f t="shared" si="0"/>
        <v>51.684272639999996</v>
      </c>
      <c r="I17" s="13">
        <f>F17/12*G17</f>
        <v>4307.0227199999999</v>
      </c>
      <c r="J17" s="8"/>
      <c r="K17" s="8"/>
      <c r="L17" s="8"/>
      <c r="M17" s="8"/>
    </row>
    <row r="18" spans="1:13" ht="15.75" customHeight="1">
      <c r="A18" s="31">
        <v>3</v>
      </c>
      <c r="B18" s="34" t="s">
        <v>98</v>
      </c>
      <c r="C18" s="40" t="s">
        <v>88</v>
      </c>
      <c r="D18" s="34" t="s">
        <v>163</v>
      </c>
      <c r="E18" s="123">
        <f>SUM(E16+E17)</f>
        <v>237.60000000000002</v>
      </c>
      <c r="F18" s="124">
        <f>SUM(E18*18/100)</f>
        <v>42.768000000000001</v>
      </c>
      <c r="G18" s="124">
        <v>752.16</v>
      </c>
      <c r="H18" s="95">
        <f t="shared" si="0"/>
        <v>32.168378879999999</v>
      </c>
      <c r="I18" s="13">
        <f>F18/18*G18*2</f>
        <v>3574.2643199999998</v>
      </c>
      <c r="J18" s="8"/>
      <c r="K18" s="8"/>
      <c r="L18" s="8"/>
      <c r="M18" s="8"/>
    </row>
    <row r="19" spans="1:13" ht="15.75" hidden="1" customHeight="1">
      <c r="A19" s="31">
        <v>4</v>
      </c>
      <c r="B19" s="34" t="s">
        <v>121</v>
      </c>
      <c r="C19" s="40" t="s">
        <v>122</v>
      </c>
      <c r="D19" s="34" t="s">
        <v>123</v>
      </c>
      <c r="E19" s="123">
        <v>18.48</v>
      </c>
      <c r="F19" s="124">
        <f>SUM(E19/10)</f>
        <v>1.8480000000000001</v>
      </c>
      <c r="G19" s="124">
        <v>253.7</v>
      </c>
      <c r="H19" s="95">
        <f t="shared" si="0"/>
        <v>0.46883760000000002</v>
      </c>
      <c r="I19" s="13">
        <v>0</v>
      </c>
      <c r="J19" s="8"/>
      <c r="K19" s="8"/>
      <c r="L19" s="8"/>
      <c r="M19" s="8"/>
    </row>
    <row r="20" spans="1:13" ht="15.75" customHeight="1">
      <c r="A20" s="31">
        <v>4</v>
      </c>
      <c r="B20" s="34" t="s">
        <v>87</v>
      </c>
      <c r="C20" s="40" t="s">
        <v>88</v>
      </c>
      <c r="D20" s="34" t="s">
        <v>164</v>
      </c>
      <c r="E20" s="123">
        <v>10.5</v>
      </c>
      <c r="F20" s="124">
        <f>SUM(E20*12/100)</f>
        <v>1.26</v>
      </c>
      <c r="G20" s="124">
        <v>324.83999999999997</v>
      </c>
      <c r="H20" s="95">
        <f t="shared" si="0"/>
        <v>0.40929839999999995</v>
      </c>
      <c r="I20" s="13">
        <f>F20/12*G20</f>
        <v>34.108199999999997</v>
      </c>
      <c r="J20" s="8"/>
      <c r="K20" s="8"/>
      <c r="L20" s="8"/>
      <c r="M20" s="8"/>
    </row>
    <row r="21" spans="1:13" ht="15.75" customHeight="1">
      <c r="A21" s="31">
        <v>5</v>
      </c>
      <c r="B21" s="34" t="s">
        <v>95</v>
      </c>
      <c r="C21" s="40" t="s">
        <v>88</v>
      </c>
      <c r="D21" s="34" t="s">
        <v>164</v>
      </c>
      <c r="E21" s="123">
        <v>2.7</v>
      </c>
      <c r="F21" s="124">
        <f>SUM(E21*12/100)</f>
        <v>0.32400000000000007</v>
      </c>
      <c r="G21" s="124">
        <v>322.20999999999998</v>
      </c>
      <c r="H21" s="95">
        <f t="shared" si="0"/>
        <v>0.10439604000000001</v>
      </c>
      <c r="I21" s="13">
        <f>F21/12*G21</f>
        <v>8.6996700000000011</v>
      </c>
      <c r="J21" s="8"/>
      <c r="K21" s="8"/>
      <c r="L21" s="8"/>
      <c r="M21" s="8"/>
    </row>
    <row r="22" spans="1:13" ht="15.75" hidden="1" customHeight="1">
      <c r="A22" s="31">
        <v>7</v>
      </c>
      <c r="B22" s="34" t="s">
        <v>89</v>
      </c>
      <c r="C22" s="40" t="s">
        <v>53</v>
      </c>
      <c r="D22" s="34" t="s">
        <v>123</v>
      </c>
      <c r="E22" s="123">
        <v>267.75</v>
      </c>
      <c r="F22" s="124">
        <f>SUM(E22/100)</f>
        <v>2.6775000000000002</v>
      </c>
      <c r="G22" s="124">
        <v>401.44</v>
      </c>
      <c r="H22" s="95">
        <f t="shared" si="0"/>
        <v>1.0748556</v>
      </c>
      <c r="I22" s="13">
        <v>0</v>
      </c>
      <c r="J22" s="8"/>
      <c r="K22" s="8"/>
      <c r="L22" s="8"/>
      <c r="M22" s="8"/>
    </row>
    <row r="23" spans="1:13" ht="15.75" hidden="1" customHeight="1">
      <c r="A23" s="31">
        <v>8</v>
      </c>
      <c r="B23" s="34" t="s">
        <v>90</v>
      </c>
      <c r="C23" s="40" t="s">
        <v>53</v>
      </c>
      <c r="D23" s="34" t="s">
        <v>123</v>
      </c>
      <c r="E23" s="154">
        <v>36</v>
      </c>
      <c r="F23" s="124">
        <f>SUM(E23/100)</f>
        <v>0.36</v>
      </c>
      <c r="G23" s="124">
        <v>66.03</v>
      </c>
      <c r="H23" s="95">
        <f t="shared" si="0"/>
        <v>2.3770800000000002E-2</v>
      </c>
      <c r="I23" s="13">
        <v>0</v>
      </c>
      <c r="J23" s="8"/>
      <c r="K23" s="8"/>
      <c r="L23" s="8"/>
      <c r="M23" s="8"/>
    </row>
    <row r="24" spans="1:13" ht="15.75" hidden="1" customHeight="1">
      <c r="A24" s="31">
        <v>9</v>
      </c>
      <c r="B24" s="34" t="s">
        <v>91</v>
      </c>
      <c r="C24" s="40" t="s">
        <v>53</v>
      </c>
      <c r="D24" s="34" t="s">
        <v>124</v>
      </c>
      <c r="E24" s="123">
        <v>15</v>
      </c>
      <c r="F24" s="124">
        <f>E24/100</f>
        <v>0.15</v>
      </c>
      <c r="G24" s="124">
        <v>581.02</v>
      </c>
      <c r="H24" s="95">
        <f t="shared" si="0"/>
        <v>8.7152999999999994E-2</v>
      </c>
      <c r="I24" s="13">
        <v>0</v>
      </c>
      <c r="J24" s="8"/>
      <c r="K24" s="8"/>
      <c r="L24" s="8"/>
      <c r="M24" s="8"/>
    </row>
    <row r="25" spans="1:13" ht="15.75" hidden="1" customHeight="1">
      <c r="A25" s="31">
        <v>10</v>
      </c>
      <c r="B25" s="34" t="s">
        <v>96</v>
      </c>
      <c r="C25" s="40" t="s">
        <v>88</v>
      </c>
      <c r="D25" s="34" t="s">
        <v>54</v>
      </c>
      <c r="E25" s="123">
        <v>14.25</v>
      </c>
      <c r="F25" s="124">
        <v>0.1</v>
      </c>
      <c r="G25" s="124">
        <v>322.20999999999998</v>
      </c>
      <c r="H25" s="95">
        <v>3.1E-2</v>
      </c>
      <c r="I25" s="13">
        <v>0</v>
      </c>
      <c r="J25" s="8"/>
      <c r="K25" s="8"/>
      <c r="L25" s="8"/>
      <c r="M25" s="8"/>
    </row>
    <row r="26" spans="1:13" ht="15.75" hidden="1" customHeight="1">
      <c r="A26" s="31">
        <v>11</v>
      </c>
      <c r="B26" s="34" t="s">
        <v>92</v>
      </c>
      <c r="C26" s="40" t="s">
        <v>53</v>
      </c>
      <c r="D26" s="34" t="s">
        <v>123</v>
      </c>
      <c r="E26" s="123">
        <v>6.38</v>
      </c>
      <c r="F26" s="124">
        <f>SUM(E26/100)</f>
        <v>6.3799999999999996E-2</v>
      </c>
      <c r="G26" s="124">
        <v>776.46</v>
      </c>
      <c r="H26" s="95">
        <f t="shared" si="0"/>
        <v>4.9538147999999997E-2</v>
      </c>
      <c r="I26" s="13">
        <v>0</v>
      </c>
      <c r="J26" s="8"/>
      <c r="K26" s="8"/>
      <c r="L26" s="8"/>
      <c r="M26" s="8"/>
    </row>
    <row r="27" spans="1:13" ht="15.75" customHeight="1">
      <c r="A27" s="31">
        <v>6</v>
      </c>
      <c r="B27" s="34" t="s">
        <v>160</v>
      </c>
      <c r="C27" s="40" t="s">
        <v>25</v>
      </c>
      <c r="D27" s="34" t="s">
        <v>166</v>
      </c>
      <c r="E27" s="133">
        <v>4.83</v>
      </c>
      <c r="F27" s="124">
        <f>SUM(E27*258)</f>
        <v>1246.1400000000001</v>
      </c>
      <c r="G27" s="124">
        <v>10.81</v>
      </c>
      <c r="H27" s="95">
        <f t="shared" si="0"/>
        <v>13.470773400000002</v>
      </c>
      <c r="I27" s="13">
        <f>F27/12*G27</f>
        <v>1122.5644500000003</v>
      </c>
      <c r="J27" s="8"/>
      <c r="K27" s="8"/>
      <c r="L27" s="8"/>
      <c r="M27" s="8"/>
    </row>
    <row r="28" spans="1:13" ht="15.75" customHeight="1">
      <c r="A28" s="200" t="s">
        <v>82</v>
      </c>
      <c r="B28" s="200"/>
      <c r="C28" s="200"/>
      <c r="D28" s="200"/>
      <c r="E28" s="200"/>
      <c r="F28" s="200"/>
      <c r="G28" s="200"/>
      <c r="H28" s="200"/>
      <c r="I28" s="200"/>
      <c r="J28" s="24"/>
      <c r="K28" s="8"/>
      <c r="L28" s="8"/>
      <c r="M28" s="8"/>
    </row>
    <row r="29" spans="1:13" ht="15.75" customHeight="1">
      <c r="A29" s="41"/>
      <c r="B29" s="51" t="s">
        <v>28</v>
      </c>
      <c r="C29" s="51"/>
      <c r="D29" s="51"/>
      <c r="E29" s="51"/>
      <c r="F29" s="51"/>
      <c r="G29" s="51"/>
      <c r="H29" s="51"/>
      <c r="I29" s="19"/>
      <c r="J29" s="24"/>
      <c r="K29" s="8"/>
      <c r="L29" s="8"/>
      <c r="M29" s="8"/>
    </row>
    <row r="30" spans="1:13" ht="15.75" customHeight="1">
      <c r="A30" s="41">
        <v>7</v>
      </c>
      <c r="B30" s="34" t="s">
        <v>99</v>
      </c>
      <c r="C30" s="40" t="s">
        <v>100</v>
      </c>
      <c r="D30" s="34" t="s">
        <v>205</v>
      </c>
      <c r="E30" s="124">
        <v>313</v>
      </c>
      <c r="F30" s="124">
        <f>SUM(E30*24/1000)</f>
        <v>7.5119999999999996</v>
      </c>
      <c r="G30" s="124">
        <v>232.4</v>
      </c>
      <c r="H30" s="95">
        <f t="shared" ref="H30:H32" si="1">SUM(F30*G30/1000)</f>
        <v>1.7457888000000001</v>
      </c>
      <c r="I30" s="13">
        <f>F30/6*G30</f>
        <v>290.96480000000003</v>
      </c>
      <c r="J30" s="24"/>
      <c r="K30" s="8"/>
      <c r="L30" s="8"/>
      <c r="M30" s="8"/>
    </row>
    <row r="31" spans="1:13" ht="31.5" customHeight="1">
      <c r="A31" s="41">
        <v>8</v>
      </c>
      <c r="B31" s="34" t="s">
        <v>134</v>
      </c>
      <c r="C31" s="40" t="s">
        <v>100</v>
      </c>
      <c r="D31" s="34" t="s">
        <v>161</v>
      </c>
      <c r="E31" s="124">
        <v>26.33</v>
      </c>
      <c r="F31" s="124">
        <f>SUM(E31*78/1000)</f>
        <v>2.0537399999999999</v>
      </c>
      <c r="G31" s="124">
        <v>385.6</v>
      </c>
      <c r="H31" s="95">
        <f t="shared" si="1"/>
        <v>0.79192214400000005</v>
      </c>
      <c r="I31" s="13">
        <f t="shared" ref="I31" si="2">F31/6*G31</f>
        <v>131.98702399999999</v>
      </c>
      <c r="J31" s="24"/>
      <c r="K31" s="8"/>
      <c r="L31" s="8"/>
      <c r="M31" s="8"/>
    </row>
    <row r="32" spans="1:13" ht="15.75" customHeight="1">
      <c r="A32" s="41">
        <v>9</v>
      </c>
      <c r="B32" s="34" t="s">
        <v>27</v>
      </c>
      <c r="C32" s="40" t="s">
        <v>100</v>
      </c>
      <c r="D32" s="34" t="s">
        <v>165</v>
      </c>
      <c r="E32" s="124">
        <v>313</v>
      </c>
      <c r="F32" s="124">
        <f>SUM(E32/1000)</f>
        <v>0.313</v>
      </c>
      <c r="G32" s="124">
        <v>4502.97</v>
      </c>
      <c r="H32" s="95">
        <f t="shared" si="1"/>
        <v>1.4094296100000001</v>
      </c>
      <c r="I32" s="13">
        <f>F32*G32</f>
        <v>1409.4296100000001</v>
      </c>
      <c r="J32" s="24"/>
      <c r="K32" s="8"/>
      <c r="L32" s="8"/>
      <c r="M32" s="8"/>
    </row>
    <row r="33" spans="1:13" ht="15.75" hidden="1" customHeight="1">
      <c r="A33" s="41">
        <v>4</v>
      </c>
      <c r="B33" s="91" t="s">
        <v>64</v>
      </c>
      <c r="C33" s="92" t="s">
        <v>32</v>
      </c>
      <c r="D33" s="91" t="s">
        <v>65</v>
      </c>
      <c r="E33" s="93"/>
      <c r="F33" s="94">
        <v>3</v>
      </c>
      <c r="G33" s="94">
        <v>191.32</v>
      </c>
      <c r="H33" s="95">
        <f t="shared" ref="H33" si="3">SUM(F33*G33/1000)</f>
        <v>0.57396000000000003</v>
      </c>
      <c r="I33" s="13">
        <v>0</v>
      </c>
      <c r="J33" s="24"/>
      <c r="K33" s="8"/>
      <c r="L33" s="8"/>
      <c r="M33" s="8"/>
    </row>
    <row r="34" spans="1:13" ht="15.75" hidden="1" customHeight="1">
      <c r="A34" s="41"/>
      <c r="B34" s="49" t="s">
        <v>5</v>
      </c>
      <c r="C34" s="49"/>
      <c r="D34" s="49"/>
      <c r="E34" s="13"/>
      <c r="F34" s="13"/>
      <c r="G34" s="14"/>
      <c r="H34" s="14"/>
      <c r="I34" s="19"/>
      <c r="J34" s="24"/>
      <c r="K34" s="8"/>
      <c r="L34" s="8"/>
      <c r="M34" s="8"/>
    </row>
    <row r="35" spans="1:13" ht="15.75" hidden="1" customHeight="1">
      <c r="A35" s="41">
        <v>8</v>
      </c>
      <c r="B35" s="91" t="s">
        <v>26</v>
      </c>
      <c r="C35" s="92" t="s">
        <v>31</v>
      </c>
      <c r="D35" s="91"/>
      <c r="E35" s="93"/>
      <c r="F35" s="94">
        <v>6</v>
      </c>
      <c r="G35" s="94">
        <v>1527.2</v>
      </c>
      <c r="H35" s="95">
        <f t="shared" ref="H35:H40" si="4">SUM(F35*G35/1000)</f>
        <v>9.1632000000000016</v>
      </c>
      <c r="I35" s="13">
        <f t="shared" ref="I35:I40" si="5">F35/6*G35</f>
        <v>1527.2</v>
      </c>
      <c r="J35" s="24"/>
      <c r="K35" s="8"/>
      <c r="L35" s="8"/>
      <c r="M35" s="8"/>
    </row>
    <row r="36" spans="1:13" ht="15.75" hidden="1" customHeight="1">
      <c r="A36" s="35">
        <v>9</v>
      </c>
      <c r="B36" s="91" t="s">
        <v>66</v>
      </c>
      <c r="C36" s="92" t="s">
        <v>29</v>
      </c>
      <c r="D36" s="91" t="s">
        <v>125</v>
      </c>
      <c r="E36" s="94">
        <v>1080.0999999999999</v>
      </c>
      <c r="F36" s="94">
        <f>SUM(E36*30/1000)</f>
        <v>32.402999999999999</v>
      </c>
      <c r="G36" s="94">
        <v>2102.6999999999998</v>
      </c>
      <c r="H36" s="95">
        <f t="shared" si="4"/>
        <v>68.13378809999999</v>
      </c>
      <c r="I36" s="13">
        <f t="shared" si="5"/>
        <v>11355.63135</v>
      </c>
      <c r="J36" s="24"/>
      <c r="K36" s="8"/>
      <c r="L36" s="8"/>
      <c r="M36" s="8"/>
    </row>
    <row r="37" spans="1:13" ht="15.75" hidden="1" customHeight="1">
      <c r="A37" s="35">
        <v>10</v>
      </c>
      <c r="B37" s="91" t="s">
        <v>67</v>
      </c>
      <c r="C37" s="92" t="s">
        <v>29</v>
      </c>
      <c r="D37" s="91" t="s">
        <v>104</v>
      </c>
      <c r="E37" s="94">
        <v>45</v>
      </c>
      <c r="F37" s="94">
        <f>SUM(E37*155/1000)</f>
        <v>6.9749999999999996</v>
      </c>
      <c r="G37" s="94">
        <v>350.75</v>
      </c>
      <c r="H37" s="95">
        <f t="shared" si="4"/>
        <v>2.4464812499999997</v>
      </c>
      <c r="I37" s="13">
        <f t="shared" si="5"/>
        <v>407.74687499999993</v>
      </c>
      <c r="J37" s="24"/>
      <c r="K37" s="8"/>
      <c r="L37" s="8"/>
      <c r="M37" s="8"/>
    </row>
    <row r="38" spans="1:13" ht="47.25" hidden="1" customHeight="1">
      <c r="A38" s="35">
        <v>11</v>
      </c>
      <c r="B38" s="91" t="s">
        <v>81</v>
      </c>
      <c r="C38" s="92" t="s">
        <v>100</v>
      </c>
      <c r="D38" s="91" t="s">
        <v>68</v>
      </c>
      <c r="E38" s="94">
        <v>45</v>
      </c>
      <c r="F38" s="94">
        <f>SUM(E38*70/1000)</f>
        <v>3.15</v>
      </c>
      <c r="G38" s="94">
        <v>5803.28</v>
      </c>
      <c r="H38" s="95">
        <f t="shared" si="4"/>
        <v>18.280331999999998</v>
      </c>
      <c r="I38" s="13">
        <f t="shared" si="5"/>
        <v>3046.7220000000002</v>
      </c>
      <c r="J38" s="24"/>
      <c r="K38" s="8"/>
      <c r="L38" s="8"/>
      <c r="M38" s="8"/>
    </row>
    <row r="39" spans="1:13" ht="15.75" hidden="1" customHeight="1">
      <c r="A39" s="35">
        <v>12</v>
      </c>
      <c r="B39" s="91" t="s">
        <v>105</v>
      </c>
      <c r="C39" s="92" t="s">
        <v>100</v>
      </c>
      <c r="D39" s="91" t="s">
        <v>69</v>
      </c>
      <c r="E39" s="94">
        <v>45</v>
      </c>
      <c r="F39" s="94">
        <f>SUM(E39*45/1000)</f>
        <v>2.0249999999999999</v>
      </c>
      <c r="G39" s="94">
        <v>428.7</v>
      </c>
      <c r="H39" s="95">
        <f t="shared" si="4"/>
        <v>0.86811749999999999</v>
      </c>
      <c r="I39" s="13">
        <f t="shared" si="5"/>
        <v>144.68624999999997</v>
      </c>
      <c r="J39" s="24"/>
      <c r="K39" s="8"/>
      <c r="L39" s="8"/>
      <c r="M39" s="8"/>
    </row>
    <row r="40" spans="1:13" ht="15.75" hidden="1" customHeight="1">
      <c r="A40" s="35">
        <v>13</v>
      </c>
      <c r="B40" s="91" t="s">
        <v>70</v>
      </c>
      <c r="C40" s="92" t="s">
        <v>32</v>
      </c>
      <c r="D40" s="91"/>
      <c r="E40" s="93"/>
      <c r="F40" s="94">
        <v>0.6</v>
      </c>
      <c r="G40" s="94">
        <v>798</v>
      </c>
      <c r="H40" s="95">
        <f t="shared" si="4"/>
        <v>0.47879999999999995</v>
      </c>
      <c r="I40" s="13">
        <f t="shared" si="5"/>
        <v>79.8</v>
      </c>
      <c r="J40" s="24"/>
      <c r="K40" s="8"/>
      <c r="L40" s="8"/>
      <c r="M40" s="8"/>
    </row>
    <row r="41" spans="1:13" ht="15.75" customHeight="1">
      <c r="A41" s="201" t="s">
        <v>131</v>
      </c>
      <c r="B41" s="202"/>
      <c r="C41" s="202"/>
      <c r="D41" s="202"/>
      <c r="E41" s="202"/>
      <c r="F41" s="202"/>
      <c r="G41" s="202"/>
      <c r="H41" s="202"/>
      <c r="I41" s="203"/>
      <c r="J41" s="24"/>
      <c r="K41" s="8"/>
      <c r="L41" s="8"/>
      <c r="M41" s="8"/>
    </row>
    <row r="42" spans="1:13" ht="15.75" customHeight="1">
      <c r="A42" s="41">
        <v>10</v>
      </c>
      <c r="B42" s="34" t="s">
        <v>106</v>
      </c>
      <c r="C42" s="40" t="s">
        <v>100</v>
      </c>
      <c r="D42" s="34" t="s">
        <v>165</v>
      </c>
      <c r="E42" s="123">
        <v>965.8</v>
      </c>
      <c r="F42" s="124">
        <f>SUM(E42*2/1000)</f>
        <v>1.9316</v>
      </c>
      <c r="G42" s="37">
        <v>1207.24</v>
      </c>
      <c r="H42" s="95">
        <f t="shared" ref="H42:H51" si="6">SUM(F42*G42/1000)</f>
        <v>2.3319047839999998</v>
      </c>
      <c r="I42" s="13">
        <f t="shared" ref="I42:I45" si="7">F42/2*G42</f>
        <v>1165.9523919999999</v>
      </c>
      <c r="J42" s="24"/>
      <c r="K42" s="8"/>
    </row>
    <row r="43" spans="1:13" ht="15.75" customHeight="1">
      <c r="A43" s="41">
        <v>11</v>
      </c>
      <c r="B43" s="34" t="s">
        <v>35</v>
      </c>
      <c r="C43" s="40" t="s">
        <v>100</v>
      </c>
      <c r="D43" s="34" t="s">
        <v>206</v>
      </c>
      <c r="E43" s="123">
        <v>36</v>
      </c>
      <c r="F43" s="124">
        <f>SUM(E43*2/1000)</f>
        <v>7.1999999999999995E-2</v>
      </c>
      <c r="G43" s="37">
        <v>863.92</v>
      </c>
      <c r="H43" s="95">
        <f t="shared" si="6"/>
        <v>6.2202239999999992E-2</v>
      </c>
      <c r="I43" s="13">
        <f t="shared" si="7"/>
        <v>31.101119999999995</v>
      </c>
      <c r="J43" s="25"/>
    </row>
    <row r="44" spans="1:13" ht="15.75" customHeight="1">
      <c r="A44" s="41">
        <v>12</v>
      </c>
      <c r="B44" s="34" t="s">
        <v>36</v>
      </c>
      <c r="C44" s="40" t="s">
        <v>100</v>
      </c>
      <c r="D44" s="34" t="s">
        <v>165</v>
      </c>
      <c r="E44" s="123">
        <v>1197.7</v>
      </c>
      <c r="F44" s="124">
        <f>SUM(E44*2/1000)</f>
        <v>2.3954</v>
      </c>
      <c r="G44" s="37">
        <v>863.92</v>
      </c>
      <c r="H44" s="95">
        <f t="shared" si="6"/>
        <v>2.0694339679999998</v>
      </c>
      <c r="I44" s="13">
        <f t="shared" si="7"/>
        <v>1034.7169839999999</v>
      </c>
      <c r="J44" s="25"/>
    </row>
    <row r="45" spans="1:13" ht="15.75" customHeight="1">
      <c r="A45" s="41">
        <v>13</v>
      </c>
      <c r="B45" s="34" t="s">
        <v>37</v>
      </c>
      <c r="C45" s="40" t="s">
        <v>100</v>
      </c>
      <c r="D45" s="34" t="s">
        <v>165</v>
      </c>
      <c r="E45" s="123">
        <v>2275.92</v>
      </c>
      <c r="F45" s="124">
        <f>SUM(E45*2/1000)</f>
        <v>4.5518400000000003</v>
      </c>
      <c r="G45" s="37">
        <v>904.65</v>
      </c>
      <c r="H45" s="95">
        <f t="shared" si="6"/>
        <v>4.1178220559999996</v>
      </c>
      <c r="I45" s="13">
        <f t="shared" si="7"/>
        <v>2058.911028</v>
      </c>
      <c r="J45" s="25"/>
    </row>
    <row r="46" spans="1:13" ht="15.75" customHeight="1">
      <c r="A46" s="41">
        <v>14</v>
      </c>
      <c r="B46" s="34" t="s">
        <v>33</v>
      </c>
      <c r="C46" s="40" t="s">
        <v>34</v>
      </c>
      <c r="D46" s="34" t="s">
        <v>165</v>
      </c>
      <c r="E46" s="123">
        <v>81.709999999999994</v>
      </c>
      <c r="F46" s="124">
        <f>SUM(E46*2/100)</f>
        <v>1.6341999999999999</v>
      </c>
      <c r="G46" s="37">
        <v>108.55</v>
      </c>
      <c r="H46" s="95">
        <f t="shared" si="6"/>
        <v>0.17739240999999997</v>
      </c>
      <c r="I46" s="13">
        <f>F46/2*G46</f>
        <v>88.696204999999992</v>
      </c>
      <c r="J46" s="25"/>
    </row>
    <row r="47" spans="1:13" ht="15.75" customHeight="1">
      <c r="A47" s="41">
        <v>15</v>
      </c>
      <c r="B47" s="34" t="s">
        <v>56</v>
      </c>
      <c r="C47" s="40" t="s">
        <v>100</v>
      </c>
      <c r="D47" s="34" t="s">
        <v>165</v>
      </c>
      <c r="E47" s="123">
        <v>1711.8</v>
      </c>
      <c r="F47" s="124">
        <f>SUM(E47*5/1000)</f>
        <v>8.5589999999999993</v>
      </c>
      <c r="G47" s="37">
        <v>1809.27</v>
      </c>
      <c r="H47" s="95">
        <f t="shared" si="6"/>
        <v>15.48554193</v>
      </c>
      <c r="I47" s="13">
        <f>F47/5*G47</f>
        <v>3097.1083859999994</v>
      </c>
      <c r="J47" s="25"/>
    </row>
    <row r="48" spans="1:13" ht="33" customHeight="1">
      <c r="A48" s="41">
        <v>16</v>
      </c>
      <c r="B48" s="34" t="s">
        <v>107</v>
      </c>
      <c r="C48" s="40" t="s">
        <v>100</v>
      </c>
      <c r="D48" s="34" t="s">
        <v>165</v>
      </c>
      <c r="E48" s="123">
        <v>1711.8</v>
      </c>
      <c r="F48" s="124">
        <f>SUM(E48*2/1000)</f>
        <v>3.4236</v>
      </c>
      <c r="G48" s="37">
        <v>1809.27</v>
      </c>
      <c r="H48" s="95">
        <f t="shared" si="6"/>
        <v>6.1942167719999999</v>
      </c>
      <c r="I48" s="13">
        <f>F48/2*G48</f>
        <v>3097.1083859999999</v>
      </c>
      <c r="J48" s="25"/>
    </row>
    <row r="49" spans="1:14" ht="30" customHeight="1">
      <c r="A49" s="41">
        <v>17</v>
      </c>
      <c r="B49" s="34" t="s">
        <v>108</v>
      </c>
      <c r="C49" s="40" t="s">
        <v>38</v>
      </c>
      <c r="D49" s="34" t="s">
        <v>165</v>
      </c>
      <c r="E49" s="123">
        <v>15</v>
      </c>
      <c r="F49" s="124">
        <f>SUM(E49*2/100)</f>
        <v>0.3</v>
      </c>
      <c r="G49" s="37">
        <v>4070.89</v>
      </c>
      <c r="H49" s="95">
        <f t="shared" si="6"/>
        <v>1.2212669999999999</v>
      </c>
      <c r="I49" s="13">
        <f t="shared" ref="I49:I50" si="8">F49/2*G49</f>
        <v>610.63349999999991</v>
      </c>
      <c r="J49" s="25"/>
    </row>
    <row r="50" spans="1:14" ht="23.25" customHeight="1">
      <c r="A50" s="41">
        <v>18</v>
      </c>
      <c r="B50" s="34" t="s">
        <v>39</v>
      </c>
      <c r="C50" s="40" t="s">
        <v>40</v>
      </c>
      <c r="D50" s="34" t="s">
        <v>165</v>
      </c>
      <c r="E50" s="123">
        <v>1</v>
      </c>
      <c r="F50" s="124">
        <v>0.02</v>
      </c>
      <c r="G50" s="37">
        <v>8426.7199999999993</v>
      </c>
      <c r="H50" s="95">
        <f t="shared" si="6"/>
        <v>0.16853439999999997</v>
      </c>
      <c r="I50" s="13">
        <f t="shared" si="8"/>
        <v>84.267199999999988</v>
      </c>
      <c r="J50" s="25"/>
      <c r="L50" s="21"/>
      <c r="M50" s="22"/>
      <c r="N50" s="23"/>
    </row>
    <row r="51" spans="1:14" ht="17.25" customHeight="1">
      <c r="A51" s="41">
        <v>19</v>
      </c>
      <c r="B51" s="34" t="s">
        <v>41</v>
      </c>
      <c r="C51" s="40" t="s">
        <v>85</v>
      </c>
      <c r="D51" s="171">
        <v>43957</v>
      </c>
      <c r="E51" s="123">
        <v>90</v>
      </c>
      <c r="F51" s="124">
        <f>E51*3</f>
        <v>270</v>
      </c>
      <c r="G51" s="170">
        <v>97.93</v>
      </c>
      <c r="H51" s="95">
        <f t="shared" si="6"/>
        <v>26.441100000000002</v>
      </c>
      <c r="I51" s="13">
        <f>G51*F51/3</f>
        <v>8813.7000000000007</v>
      </c>
      <c r="J51" s="25"/>
      <c r="L51" s="21"/>
      <c r="M51" s="22"/>
      <c r="N51" s="23"/>
    </row>
    <row r="52" spans="1:14" ht="15.75" customHeight="1">
      <c r="A52" s="201" t="s">
        <v>132</v>
      </c>
      <c r="B52" s="202"/>
      <c r="C52" s="202"/>
      <c r="D52" s="202"/>
      <c r="E52" s="202"/>
      <c r="F52" s="202"/>
      <c r="G52" s="202"/>
      <c r="H52" s="202"/>
      <c r="I52" s="203"/>
      <c r="J52" s="25"/>
      <c r="L52" s="21"/>
      <c r="M52" s="22"/>
      <c r="N52" s="23"/>
    </row>
    <row r="53" spans="1:14" ht="15.75" hidden="1" customHeight="1">
      <c r="A53" s="53"/>
      <c r="B53" s="48" t="s">
        <v>43</v>
      </c>
      <c r="C53" s="17"/>
      <c r="D53" s="16"/>
      <c r="E53" s="16"/>
      <c r="F53" s="16"/>
      <c r="G53" s="31"/>
      <c r="H53" s="31"/>
      <c r="I53" s="19"/>
      <c r="J53" s="25"/>
      <c r="L53" s="21"/>
      <c r="M53" s="22"/>
      <c r="N53" s="23"/>
    </row>
    <row r="54" spans="1:14" ht="31.5" hidden="1" customHeight="1">
      <c r="A54" s="41">
        <v>14</v>
      </c>
      <c r="B54" s="91" t="s">
        <v>109</v>
      </c>
      <c r="C54" s="92" t="s">
        <v>88</v>
      </c>
      <c r="D54" s="91" t="s">
        <v>110</v>
      </c>
      <c r="E54" s="93">
        <v>96.58</v>
      </c>
      <c r="F54" s="94">
        <f>SUM(E54*6/100)</f>
        <v>5.7948000000000004</v>
      </c>
      <c r="G54" s="13">
        <v>1547.28</v>
      </c>
      <c r="H54" s="95">
        <f>SUM(F54*G54/1000)</f>
        <v>8.9661781440000006</v>
      </c>
      <c r="I54" s="13">
        <f>F54/6*G54</f>
        <v>1494.3630240000002</v>
      </c>
      <c r="J54" s="25"/>
      <c r="L54" s="21"/>
      <c r="M54" s="22"/>
      <c r="N54" s="23"/>
    </row>
    <row r="55" spans="1:14" ht="15.75" customHeight="1">
      <c r="A55" s="41"/>
      <c r="B55" s="67" t="s">
        <v>44</v>
      </c>
      <c r="C55" s="40"/>
      <c r="D55" s="34"/>
      <c r="E55" s="19"/>
      <c r="F55" s="85"/>
      <c r="G55" s="37"/>
      <c r="H55" s="68"/>
      <c r="I55" s="20"/>
      <c r="J55" s="25"/>
      <c r="L55" s="21"/>
      <c r="M55" s="22"/>
      <c r="N55" s="23"/>
    </row>
    <row r="56" spans="1:14" ht="15.75" hidden="1" customHeight="1">
      <c r="A56" s="41"/>
      <c r="B56" s="91" t="s">
        <v>45</v>
      </c>
      <c r="C56" s="92" t="s">
        <v>88</v>
      </c>
      <c r="D56" s="91" t="s">
        <v>54</v>
      </c>
      <c r="E56" s="93">
        <v>855.9</v>
      </c>
      <c r="F56" s="95">
        <v>8.6</v>
      </c>
      <c r="G56" s="13">
        <v>747.3</v>
      </c>
      <c r="H56" s="99">
        <v>6.4</v>
      </c>
      <c r="I56" s="13">
        <v>0</v>
      </c>
      <c r="J56" s="25"/>
      <c r="L56" s="21"/>
      <c r="M56" s="22"/>
      <c r="N56" s="23"/>
    </row>
    <row r="57" spans="1:14" ht="15.75" customHeight="1">
      <c r="A57" s="41">
        <v>20</v>
      </c>
      <c r="B57" s="91" t="s">
        <v>86</v>
      </c>
      <c r="C57" s="92" t="s">
        <v>25</v>
      </c>
      <c r="D57" s="91" t="s">
        <v>165</v>
      </c>
      <c r="E57" s="93">
        <v>256</v>
      </c>
      <c r="F57" s="95">
        <f>E57*12</f>
        <v>3072</v>
      </c>
      <c r="G57" s="13">
        <v>1.4</v>
      </c>
      <c r="H57" s="99">
        <f>F57*G57/1000</f>
        <v>4.3007999999999988</v>
      </c>
      <c r="I57" s="13">
        <f>1560/12*G57</f>
        <v>182</v>
      </c>
      <c r="J57" s="25"/>
      <c r="L57" s="21"/>
      <c r="M57" s="22"/>
      <c r="N57" s="23"/>
    </row>
    <row r="58" spans="1:14" ht="15.75" hidden="1" customHeight="1">
      <c r="A58" s="41"/>
      <c r="B58" s="67" t="s">
        <v>126</v>
      </c>
      <c r="C58" s="40"/>
      <c r="D58" s="34"/>
      <c r="E58" s="19"/>
      <c r="F58" s="85"/>
      <c r="G58" s="69"/>
      <c r="H58" s="68"/>
      <c r="I58" s="20"/>
      <c r="J58" s="25"/>
      <c r="L58" s="21"/>
      <c r="M58" s="22"/>
      <c r="N58" s="23"/>
    </row>
    <row r="59" spans="1:14" ht="15.75" hidden="1" customHeight="1">
      <c r="A59" s="41"/>
      <c r="B59" s="91" t="s">
        <v>127</v>
      </c>
      <c r="C59" s="92" t="s">
        <v>85</v>
      </c>
      <c r="D59" s="91" t="s">
        <v>65</v>
      </c>
      <c r="E59" s="93">
        <v>2</v>
      </c>
      <c r="F59" s="94">
        <f>SUM(E59)</f>
        <v>2</v>
      </c>
      <c r="G59" s="100">
        <v>237.75</v>
      </c>
      <c r="H59" s="95">
        <f t="shared" ref="H59" si="9">SUM(F59*G59/1000)</f>
        <v>0.47549999999999998</v>
      </c>
      <c r="I59" s="13">
        <v>0</v>
      </c>
      <c r="J59" s="25"/>
      <c r="L59" s="21"/>
      <c r="M59" s="22"/>
      <c r="N59" s="23"/>
    </row>
    <row r="60" spans="1:14" ht="15.75" hidden="1" customHeight="1">
      <c r="A60" s="41"/>
      <c r="B60" s="75" t="s">
        <v>46</v>
      </c>
      <c r="C60" s="17"/>
      <c r="D60" s="16"/>
      <c r="E60" s="16"/>
      <c r="F60" s="86"/>
      <c r="G60" s="65"/>
      <c r="H60" s="68"/>
      <c r="I60" s="19"/>
      <c r="J60" s="25"/>
      <c r="L60" s="21"/>
      <c r="M60" s="22"/>
      <c r="N60" s="23"/>
    </row>
    <row r="61" spans="1:14" ht="15" hidden="1" customHeight="1">
      <c r="A61" s="41">
        <v>27</v>
      </c>
      <c r="B61" s="15" t="s">
        <v>47</v>
      </c>
      <c r="C61" s="17" t="s">
        <v>85</v>
      </c>
      <c r="D61" s="91" t="s">
        <v>172</v>
      </c>
      <c r="E61" s="19">
        <v>10</v>
      </c>
      <c r="F61" s="94">
        <v>10</v>
      </c>
      <c r="G61" s="13">
        <v>222.4</v>
      </c>
      <c r="H61" s="101">
        <f t="shared" ref="H61:H68" si="10">SUM(F61*G61/1000)</f>
        <v>2.2240000000000002</v>
      </c>
      <c r="I61" s="13">
        <f>G61*3</f>
        <v>667.2</v>
      </c>
      <c r="J61" s="25"/>
      <c r="L61" s="21"/>
      <c r="M61" s="22"/>
      <c r="N61" s="23"/>
    </row>
    <row r="62" spans="1:14" ht="17.25" hidden="1" customHeight="1">
      <c r="A62" s="31">
        <v>29</v>
      </c>
      <c r="B62" s="15" t="s">
        <v>48</v>
      </c>
      <c r="C62" s="17" t="s">
        <v>85</v>
      </c>
      <c r="D62" s="91" t="s">
        <v>65</v>
      </c>
      <c r="E62" s="19">
        <v>5</v>
      </c>
      <c r="F62" s="94">
        <v>5</v>
      </c>
      <c r="G62" s="13">
        <v>75.25</v>
      </c>
      <c r="H62" s="101">
        <f t="shared" si="10"/>
        <v>0.37624999999999997</v>
      </c>
      <c r="I62" s="13">
        <v>0</v>
      </c>
      <c r="J62" s="25"/>
      <c r="L62" s="21"/>
      <c r="M62" s="22"/>
      <c r="N62" s="23"/>
    </row>
    <row r="63" spans="1:14" ht="15.75" hidden="1" customHeight="1">
      <c r="A63" s="31">
        <v>29</v>
      </c>
      <c r="B63" s="15" t="s">
        <v>49</v>
      </c>
      <c r="C63" s="17" t="s">
        <v>111</v>
      </c>
      <c r="D63" s="15" t="s">
        <v>54</v>
      </c>
      <c r="E63" s="93">
        <v>13018</v>
      </c>
      <c r="F63" s="13">
        <f>SUM(E63/100)</f>
        <v>130.18</v>
      </c>
      <c r="G63" s="13">
        <v>212.15</v>
      </c>
      <c r="H63" s="101">
        <f t="shared" si="10"/>
        <v>27.617687</v>
      </c>
      <c r="I63" s="13">
        <f>F63*G63</f>
        <v>27617.687000000002</v>
      </c>
      <c r="J63" s="25"/>
      <c r="L63" s="21"/>
      <c r="M63" s="22"/>
      <c r="N63" s="23"/>
    </row>
    <row r="64" spans="1:14" ht="15.75" hidden="1" customHeight="1">
      <c r="A64" s="31">
        <v>30</v>
      </c>
      <c r="B64" s="15" t="s">
        <v>50</v>
      </c>
      <c r="C64" s="17" t="s">
        <v>112</v>
      </c>
      <c r="D64" s="15"/>
      <c r="E64" s="93">
        <v>13018</v>
      </c>
      <c r="F64" s="13">
        <f>SUM(E64/1000)</f>
        <v>13.018000000000001</v>
      </c>
      <c r="G64" s="13">
        <v>165.21</v>
      </c>
      <c r="H64" s="101">
        <f t="shared" si="10"/>
        <v>2.1507037800000002</v>
      </c>
      <c r="I64" s="13">
        <f t="shared" ref="I64:I68" si="11">F64*G64</f>
        <v>2150.7037800000003</v>
      </c>
      <c r="J64" s="25"/>
      <c r="L64" s="21"/>
      <c r="M64" s="22"/>
      <c r="N64" s="23"/>
    </row>
    <row r="65" spans="1:14" ht="15.75" hidden="1" customHeight="1">
      <c r="A65" s="31">
        <v>31</v>
      </c>
      <c r="B65" s="15" t="s">
        <v>51</v>
      </c>
      <c r="C65" s="17" t="s">
        <v>76</v>
      </c>
      <c r="D65" s="15" t="s">
        <v>54</v>
      </c>
      <c r="E65" s="93">
        <v>1279</v>
      </c>
      <c r="F65" s="13">
        <f>SUM(E65/100)</f>
        <v>12.79</v>
      </c>
      <c r="G65" s="13">
        <v>2074.63</v>
      </c>
      <c r="H65" s="101">
        <f t="shared" si="10"/>
        <v>26.534517700000002</v>
      </c>
      <c r="I65" s="13">
        <f t="shared" si="11"/>
        <v>26534.5177</v>
      </c>
      <c r="J65" s="25"/>
      <c r="L65" s="21"/>
      <c r="M65" s="22"/>
      <c r="N65" s="23"/>
    </row>
    <row r="66" spans="1:14" ht="15.75" hidden="1" customHeight="1">
      <c r="A66" s="31">
        <v>32</v>
      </c>
      <c r="B66" s="102" t="s">
        <v>113</v>
      </c>
      <c r="C66" s="17" t="s">
        <v>32</v>
      </c>
      <c r="D66" s="15"/>
      <c r="E66" s="93">
        <v>12</v>
      </c>
      <c r="F66" s="13">
        <f>SUM(E66)</f>
        <v>12</v>
      </c>
      <c r="G66" s="13">
        <v>45.32</v>
      </c>
      <c r="H66" s="101">
        <f t="shared" si="10"/>
        <v>0.54383999999999999</v>
      </c>
      <c r="I66" s="13">
        <f t="shared" si="11"/>
        <v>543.84</v>
      </c>
      <c r="J66" s="25"/>
      <c r="L66" s="21"/>
      <c r="M66" s="22"/>
      <c r="N66" s="23"/>
    </row>
    <row r="67" spans="1:14" ht="15.75" hidden="1" customHeight="1">
      <c r="A67" s="31">
        <v>33</v>
      </c>
      <c r="B67" s="102" t="s">
        <v>114</v>
      </c>
      <c r="C67" s="17" t="s">
        <v>32</v>
      </c>
      <c r="D67" s="15"/>
      <c r="E67" s="93">
        <v>12</v>
      </c>
      <c r="F67" s="13">
        <f>SUM(E67)</f>
        <v>12</v>
      </c>
      <c r="G67" s="13">
        <v>42.28</v>
      </c>
      <c r="H67" s="101">
        <f t="shared" si="10"/>
        <v>0.50736000000000003</v>
      </c>
      <c r="I67" s="13">
        <f t="shared" si="11"/>
        <v>507.36</v>
      </c>
      <c r="J67" s="25"/>
      <c r="L67" s="21"/>
      <c r="M67" s="22"/>
      <c r="N67" s="23"/>
    </row>
    <row r="68" spans="1:14" ht="15.75" hidden="1" customHeight="1">
      <c r="A68" s="31">
        <v>13</v>
      </c>
      <c r="B68" s="15" t="s">
        <v>57</v>
      </c>
      <c r="C68" s="17" t="s">
        <v>58</v>
      </c>
      <c r="D68" s="15" t="s">
        <v>54</v>
      </c>
      <c r="E68" s="19">
        <v>1</v>
      </c>
      <c r="F68" s="94">
        <f>SUM(E68)</f>
        <v>1</v>
      </c>
      <c r="G68" s="13">
        <v>49.88</v>
      </c>
      <c r="H68" s="101">
        <f t="shared" si="10"/>
        <v>4.9880000000000001E-2</v>
      </c>
      <c r="I68" s="13">
        <f t="shared" si="11"/>
        <v>49.88</v>
      </c>
      <c r="J68" s="25"/>
      <c r="L68" s="21"/>
      <c r="M68" s="22"/>
      <c r="N68" s="23"/>
    </row>
    <row r="69" spans="1:14" ht="15.75" hidden="1" customHeight="1">
      <c r="A69" s="53"/>
      <c r="B69" s="75" t="s">
        <v>115</v>
      </c>
      <c r="C69" s="75"/>
      <c r="D69" s="75"/>
      <c r="E69" s="75"/>
      <c r="F69" s="75"/>
      <c r="G69" s="75"/>
      <c r="H69" s="75"/>
      <c r="I69" s="19"/>
      <c r="J69" s="25"/>
      <c r="L69" s="21"/>
      <c r="M69" s="22"/>
      <c r="N69" s="23"/>
    </row>
    <row r="70" spans="1:14" ht="15.75" hidden="1" customHeight="1">
      <c r="A70" s="31">
        <v>16</v>
      </c>
      <c r="B70" s="91" t="s">
        <v>116</v>
      </c>
      <c r="C70" s="17"/>
      <c r="D70" s="15"/>
      <c r="E70" s="85"/>
      <c r="F70" s="13">
        <v>1</v>
      </c>
      <c r="G70" s="13">
        <v>10041.700000000001</v>
      </c>
      <c r="H70" s="101">
        <f>G70*F70/1000</f>
        <v>10.041700000000001</v>
      </c>
      <c r="I70" s="13">
        <f>G70</f>
        <v>10041.700000000001</v>
      </c>
      <c r="J70" s="25"/>
      <c r="L70" s="21"/>
      <c r="M70" s="22"/>
      <c r="N70" s="23"/>
    </row>
    <row r="71" spans="1:14" ht="15.75" hidden="1" customHeight="1">
      <c r="A71" s="31"/>
      <c r="B71" s="49" t="s">
        <v>72</v>
      </c>
      <c r="C71" s="49"/>
      <c r="D71" s="49"/>
      <c r="E71" s="19"/>
      <c r="F71" s="19"/>
      <c r="G71" s="31"/>
      <c r="H71" s="31"/>
      <c r="I71" s="19"/>
      <c r="J71" s="25"/>
      <c r="L71" s="21"/>
      <c r="M71" s="22"/>
      <c r="N71" s="23"/>
    </row>
    <row r="72" spans="1:14" ht="15.75" hidden="1" customHeight="1">
      <c r="A72" s="31">
        <v>30</v>
      </c>
      <c r="B72" s="15" t="s">
        <v>73</v>
      </c>
      <c r="C72" s="17" t="s">
        <v>74</v>
      </c>
      <c r="D72" s="15" t="s">
        <v>65</v>
      </c>
      <c r="E72" s="19">
        <v>5</v>
      </c>
      <c r="F72" s="13">
        <v>0.5</v>
      </c>
      <c r="G72" s="13">
        <v>501.62</v>
      </c>
      <c r="H72" s="101">
        <f t="shared" ref="H72:H74" si="12">SUM(F72*G72/1000)</f>
        <v>0.25080999999999998</v>
      </c>
      <c r="I72" s="13">
        <f>G72*1.1</f>
        <v>551.78200000000004</v>
      </c>
      <c r="J72" s="25"/>
      <c r="L72" s="21"/>
      <c r="M72" s="22"/>
      <c r="N72" s="23"/>
    </row>
    <row r="73" spans="1:14" ht="15.75" hidden="1" customHeight="1">
      <c r="A73" s="31"/>
      <c r="B73" s="15" t="s">
        <v>128</v>
      </c>
      <c r="C73" s="17" t="s">
        <v>85</v>
      </c>
      <c r="D73" s="15"/>
      <c r="E73" s="19">
        <v>1</v>
      </c>
      <c r="F73" s="84">
        <f>E73</f>
        <v>1</v>
      </c>
      <c r="G73" s="13">
        <v>852.99</v>
      </c>
      <c r="H73" s="101">
        <f t="shared" si="12"/>
        <v>0.85299000000000003</v>
      </c>
      <c r="I73" s="13">
        <v>0</v>
      </c>
      <c r="J73" s="25"/>
      <c r="L73" s="21"/>
      <c r="M73" s="22"/>
      <c r="N73" s="23"/>
    </row>
    <row r="74" spans="1:14" ht="15.75" hidden="1" customHeight="1">
      <c r="A74" s="31"/>
      <c r="B74" s="15" t="s">
        <v>129</v>
      </c>
      <c r="C74" s="17" t="s">
        <v>85</v>
      </c>
      <c r="D74" s="15"/>
      <c r="E74" s="19">
        <v>1</v>
      </c>
      <c r="F74" s="94">
        <f>SUM(E74)</f>
        <v>1</v>
      </c>
      <c r="G74" s="13">
        <v>358.51</v>
      </c>
      <c r="H74" s="101">
        <f t="shared" si="12"/>
        <v>0.35851</v>
      </c>
      <c r="I74" s="13">
        <v>0</v>
      </c>
      <c r="J74" s="25"/>
      <c r="L74" s="21"/>
      <c r="M74" s="22"/>
      <c r="N74" s="23"/>
    </row>
    <row r="75" spans="1:14" ht="15.75" hidden="1" customHeight="1">
      <c r="A75" s="31"/>
      <c r="B75" s="50" t="s">
        <v>75</v>
      </c>
      <c r="C75" s="38"/>
      <c r="D75" s="31"/>
      <c r="E75" s="19"/>
      <c r="F75" s="19"/>
      <c r="G75" s="37" t="s">
        <v>117</v>
      </c>
      <c r="H75" s="37"/>
      <c r="I75" s="19"/>
      <c r="J75" s="25"/>
      <c r="L75" s="21"/>
      <c r="M75" s="22"/>
      <c r="N75" s="23"/>
    </row>
    <row r="76" spans="1:14" ht="15.75" hidden="1" customHeight="1">
      <c r="A76" s="31">
        <v>12</v>
      </c>
      <c r="B76" s="52" t="s">
        <v>118</v>
      </c>
      <c r="C76" s="17" t="s">
        <v>76</v>
      </c>
      <c r="D76" s="15"/>
      <c r="E76" s="19"/>
      <c r="F76" s="13">
        <v>0.3</v>
      </c>
      <c r="G76" s="13">
        <v>2759.44</v>
      </c>
      <c r="H76" s="101">
        <f t="shared" ref="H76" si="13">SUM(F76*G76/1000)</f>
        <v>0.82783200000000001</v>
      </c>
      <c r="I76" s="13">
        <v>0</v>
      </c>
      <c r="J76" s="25"/>
      <c r="L76" s="21"/>
      <c r="M76" s="22"/>
      <c r="N76" s="23"/>
    </row>
    <row r="77" spans="1:14" ht="15.75" customHeight="1">
      <c r="A77" s="136"/>
      <c r="B77" s="144" t="s">
        <v>174</v>
      </c>
      <c r="C77" s="38"/>
      <c r="D77" s="121"/>
      <c r="E77" s="18"/>
      <c r="F77" s="68"/>
      <c r="G77" s="37"/>
      <c r="H77" s="137"/>
      <c r="I77" s="138"/>
      <c r="J77" s="25"/>
      <c r="L77" s="21"/>
      <c r="M77" s="22"/>
      <c r="N77" s="23"/>
    </row>
    <row r="78" spans="1:14" ht="33.75" customHeight="1">
      <c r="A78" s="136">
        <v>21</v>
      </c>
      <c r="B78" s="121" t="s">
        <v>175</v>
      </c>
      <c r="C78" s="41" t="s">
        <v>176</v>
      </c>
      <c r="D78" s="121"/>
      <c r="E78" s="18">
        <v>2581.1999999999998</v>
      </c>
      <c r="F78" s="37">
        <f>E78*12</f>
        <v>30974.399999999998</v>
      </c>
      <c r="G78" s="37">
        <v>2.6</v>
      </c>
      <c r="H78" s="137"/>
      <c r="I78" s="138">
        <f>G78*F78/12</f>
        <v>6711.12</v>
      </c>
      <c r="J78" s="25"/>
      <c r="L78" s="21"/>
      <c r="M78" s="22"/>
      <c r="N78" s="23"/>
    </row>
    <row r="79" spans="1:14" ht="15.75" customHeight="1">
      <c r="A79" s="136"/>
      <c r="B79" s="121" t="s">
        <v>194</v>
      </c>
      <c r="C79" s="38" t="s">
        <v>85</v>
      </c>
      <c r="D79" s="121" t="s">
        <v>164</v>
      </c>
      <c r="E79" s="18">
        <v>2</v>
      </c>
      <c r="F79" s="68">
        <f>E79*12</f>
        <v>24</v>
      </c>
      <c r="G79" s="37">
        <v>420</v>
      </c>
      <c r="H79" s="101"/>
      <c r="I79" s="13">
        <f>G79*2</f>
        <v>840</v>
      </c>
      <c r="J79" s="25"/>
      <c r="L79" s="21"/>
      <c r="M79" s="22"/>
      <c r="N79" s="23"/>
    </row>
    <row r="80" spans="1:14" ht="15.75" customHeight="1">
      <c r="A80" s="205" t="s">
        <v>133</v>
      </c>
      <c r="B80" s="206"/>
      <c r="C80" s="206"/>
      <c r="D80" s="206"/>
      <c r="E80" s="206"/>
      <c r="F80" s="206"/>
      <c r="G80" s="206"/>
      <c r="H80" s="206"/>
      <c r="I80" s="207"/>
      <c r="J80" s="25"/>
      <c r="L80" s="21"/>
      <c r="M80" s="22"/>
      <c r="N80" s="23"/>
    </row>
    <row r="81" spans="1:21" ht="15.75" customHeight="1">
      <c r="A81" s="31">
        <v>22</v>
      </c>
      <c r="B81" s="121" t="s">
        <v>119</v>
      </c>
      <c r="C81" s="38" t="s">
        <v>55</v>
      </c>
      <c r="D81" s="169"/>
      <c r="E81" s="37">
        <v>2581.1999999999998</v>
      </c>
      <c r="F81" s="37">
        <f>SUM(E81*12)</f>
        <v>30974.399999999998</v>
      </c>
      <c r="G81" s="37">
        <v>3.5</v>
      </c>
      <c r="H81" s="164">
        <f>SUM(F81*G81/1000)</f>
        <v>108.4104</v>
      </c>
      <c r="I81" s="165">
        <f>F81/12*G81</f>
        <v>9034.1999999999989</v>
      </c>
      <c r="J81" s="25"/>
      <c r="L81" s="21"/>
    </row>
    <row r="82" spans="1:21" ht="31.5" customHeight="1">
      <c r="A82" s="31">
        <v>23</v>
      </c>
      <c r="B82" s="166" t="s">
        <v>195</v>
      </c>
      <c r="C82" s="159" t="s">
        <v>55</v>
      </c>
      <c r="D82" s="167"/>
      <c r="E82" s="168">
        <f>E81</f>
        <v>2581.1999999999998</v>
      </c>
      <c r="F82" s="161">
        <f>E82*12</f>
        <v>30974.399999999998</v>
      </c>
      <c r="G82" s="161">
        <v>3.2</v>
      </c>
      <c r="H82" s="101">
        <f>F82*G82/1000</f>
        <v>99.118080000000006</v>
      </c>
      <c r="I82" s="13">
        <f>F82/12*G82</f>
        <v>8259.84</v>
      </c>
    </row>
    <row r="83" spans="1:21" ht="15.75" customHeight="1">
      <c r="A83" s="53"/>
      <c r="B83" s="39" t="s">
        <v>79</v>
      </c>
      <c r="C83" s="41"/>
      <c r="D83" s="16"/>
      <c r="E83" s="16"/>
      <c r="F83" s="16"/>
      <c r="G83" s="19"/>
      <c r="H83" s="19"/>
      <c r="I83" s="33">
        <f>I82+I81+I79+I78+I57+I51+I50+I49+I48+I47+I46+I45+I44+I43+I42+I32+I31+I30+I27+I21+I20+I18+I17+I16</f>
        <v>57603.529515000009</v>
      </c>
    </row>
    <row r="84" spans="1:21" ht="15.75" customHeight="1">
      <c r="A84" s="208" t="s">
        <v>60</v>
      </c>
      <c r="B84" s="209"/>
      <c r="C84" s="209"/>
      <c r="D84" s="209"/>
      <c r="E84" s="209"/>
      <c r="F84" s="209"/>
      <c r="G84" s="209"/>
      <c r="H84" s="209"/>
      <c r="I84" s="210"/>
    </row>
    <row r="85" spans="1:21" ht="15.75" customHeight="1">
      <c r="A85" s="31"/>
      <c r="B85" s="46" t="s">
        <v>52</v>
      </c>
      <c r="C85" s="42"/>
      <c r="D85" s="54"/>
      <c r="E85" s="42">
        <v>1</v>
      </c>
      <c r="F85" s="42"/>
      <c r="G85" s="42"/>
      <c r="H85" s="42"/>
      <c r="I85" s="33">
        <v>0</v>
      </c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</row>
    <row r="86" spans="1:21" ht="15.75" customHeight="1">
      <c r="A86" s="31"/>
      <c r="B86" s="52" t="s">
        <v>78</v>
      </c>
      <c r="C86" s="16"/>
      <c r="D86" s="16"/>
      <c r="E86" s="43"/>
      <c r="F86" s="43"/>
      <c r="G86" s="44"/>
      <c r="H86" s="44"/>
      <c r="I86" s="18">
        <v>0</v>
      </c>
    </row>
    <row r="87" spans="1:21" ht="15.75" customHeight="1">
      <c r="A87" s="55"/>
      <c r="B87" s="47" t="s">
        <v>136</v>
      </c>
      <c r="C87" s="36"/>
      <c r="D87" s="36"/>
      <c r="E87" s="36"/>
      <c r="F87" s="36"/>
      <c r="G87" s="36"/>
      <c r="H87" s="36"/>
      <c r="I87" s="45">
        <f>I83+I85</f>
        <v>57603.529515000009</v>
      </c>
    </row>
    <row r="88" spans="1:21" ht="15.75" customHeight="1">
      <c r="A88" s="204" t="s">
        <v>207</v>
      </c>
      <c r="B88" s="204"/>
      <c r="C88" s="204"/>
      <c r="D88" s="204"/>
      <c r="E88" s="204"/>
      <c r="F88" s="204"/>
      <c r="G88" s="204"/>
      <c r="H88" s="204"/>
      <c r="I88" s="204"/>
    </row>
    <row r="89" spans="1:21" ht="15.75" customHeight="1">
      <c r="A89" s="77"/>
      <c r="B89" s="185" t="s">
        <v>208</v>
      </c>
      <c r="C89" s="185"/>
      <c r="D89" s="185"/>
      <c r="E89" s="185"/>
      <c r="F89" s="185"/>
      <c r="G89" s="185"/>
      <c r="H89" s="89"/>
      <c r="I89" s="3"/>
    </row>
    <row r="90" spans="1:21" ht="15.75" customHeight="1">
      <c r="A90" s="70"/>
      <c r="B90" s="186" t="s">
        <v>6</v>
      </c>
      <c r="C90" s="186"/>
      <c r="D90" s="186"/>
      <c r="E90" s="186"/>
      <c r="F90" s="186"/>
      <c r="G90" s="186"/>
      <c r="H90" s="26"/>
      <c r="I90" s="5"/>
    </row>
    <row r="91" spans="1:21" ht="15.75" customHeight="1">
      <c r="A91" s="10"/>
      <c r="B91" s="10"/>
      <c r="C91" s="10"/>
      <c r="D91" s="10"/>
      <c r="E91" s="10"/>
      <c r="F91" s="10"/>
      <c r="G91" s="10"/>
      <c r="H91" s="10"/>
      <c r="I91" s="10"/>
    </row>
    <row r="92" spans="1:21" ht="15.75" customHeight="1">
      <c r="A92" s="187" t="s">
        <v>7</v>
      </c>
      <c r="B92" s="187"/>
      <c r="C92" s="187"/>
      <c r="D92" s="187"/>
      <c r="E92" s="187"/>
      <c r="F92" s="187"/>
      <c r="G92" s="187"/>
      <c r="H92" s="187"/>
      <c r="I92" s="187"/>
    </row>
    <row r="93" spans="1:21" ht="15.75" customHeight="1">
      <c r="A93" s="187" t="s">
        <v>8</v>
      </c>
      <c r="B93" s="187"/>
      <c r="C93" s="187"/>
      <c r="D93" s="187"/>
      <c r="E93" s="187"/>
      <c r="F93" s="187"/>
      <c r="G93" s="187"/>
      <c r="H93" s="187"/>
      <c r="I93" s="187"/>
    </row>
    <row r="94" spans="1:21" ht="15.75" customHeight="1">
      <c r="A94" s="190" t="s">
        <v>61</v>
      </c>
      <c r="B94" s="190"/>
      <c r="C94" s="190"/>
      <c r="D94" s="190"/>
      <c r="E94" s="190"/>
      <c r="F94" s="190"/>
      <c r="G94" s="190"/>
      <c r="H94" s="190"/>
      <c r="I94" s="190"/>
    </row>
    <row r="95" spans="1:21" ht="15.75" customHeight="1">
      <c r="A95" s="11"/>
    </row>
    <row r="96" spans="1:21" ht="15.75" customHeight="1">
      <c r="A96" s="191" t="s">
        <v>9</v>
      </c>
      <c r="B96" s="191"/>
      <c r="C96" s="191"/>
      <c r="D96" s="191"/>
      <c r="E96" s="191"/>
      <c r="F96" s="191"/>
      <c r="G96" s="191"/>
      <c r="H96" s="191"/>
      <c r="I96" s="191"/>
    </row>
    <row r="97" spans="1:9" ht="15.75" customHeight="1">
      <c r="A97" s="4"/>
    </row>
    <row r="98" spans="1:9" ht="15.75" customHeight="1">
      <c r="B98" s="73" t="s">
        <v>10</v>
      </c>
      <c r="C98" s="192" t="s">
        <v>84</v>
      </c>
      <c r="D98" s="192"/>
      <c r="E98" s="192"/>
      <c r="F98" s="87"/>
      <c r="I98" s="72"/>
    </row>
    <row r="99" spans="1:9" ht="15.75" customHeight="1">
      <c r="A99" s="70"/>
      <c r="C99" s="186" t="s">
        <v>11</v>
      </c>
      <c r="D99" s="186"/>
      <c r="E99" s="186"/>
      <c r="F99" s="26"/>
      <c r="I99" s="71" t="s">
        <v>12</v>
      </c>
    </row>
    <row r="100" spans="1:9" ht="15.75" customHeight="1">
      <c r="A100" s="27"/>
      <c r="C100" s="12"/>
      <c r="D100" s="12"/>
      <c r="G100" s="12"/>
      <c r="H100" s="12"/>
    </row>
    <row r="101" spans="1:9" ht="15.75" customHeight="1">
      <c r="B101" s="73" t="s">
        <v>13</v>
      </c>
      <c r="C101" s="193"/>
      <c r="D101" s="193"/>
      <c r="E101" s="193"/>
      <c r="F101" s="88"/>
      <c r="I101" s="72"/>
    </row>
    <row r="102" spans="1:9" ht="15.75" customHeight="1">
      <c r="A102" s="70"/>
      <c r="C102" s="189" t="s">
        <v>11</v>
      </c>
      <c r="D102" s="189"/>
      <c r="E102" s="189"/>
      <c r="F102" s="70"/>
      <c r="I102" s="71" t="s">
        <v>12</v>
      </c>
    </row>
    <row r="103" spans="1:9" ht="15.75" customHeight="1">
      <c r="A103" s="4" t="s">
        <v>14</v>
      </c>
    </row>
    <row r="104" spans="1:9">
      <c r="A104" s="188" t="s">
        <v>15</v>
      </c>
      <c r="B104" s="188"/>
      <c r="C104" s="188"/>
      <c r="D104" s="188"/>
      <c r="E104" s="188"/>
      <c r="F104" s="188"/>
      <c r="G104" s="188"/>
      <c r="H104" s="188"/>
      <c r="I104" s="188"/>
    </row>
    <row r="105" spans="1:9" ht="45" customHeight="1">
      <c r="A105" s="184" t="s">
        <v>16</v>
      </c>
      <c r="B105" s="184"/>
      <c r="C105" s="184"/>
      <c r="D105" s="184"/>
      <c r="E105" s="184"/>
      <c r="F105" s="184"/>
      <c r="G105" s="184"/>
      <c r="H105" s="184"/>
      <c r="I105" s="184"/>
    </row>
    <row r="106" spans="1:9" ht="30" customHeight="1">
      <c r="A106" s="184" t="s">
        <v>17</v>
      </c>
      <c r="B106" s="184"/>
      <c r="C106" s="184"/>
      <c r="D106" s="184"/>
      <c r="E106" s="184"/>
      <c r="F106" s="184"/>
      <c r="G106" s="184"/>
      <c r="H106" s="184"/>
      <c r="I106" s="184"/>
    </row>
    <row r="107" spans="1:9" ht="30" customHeight="1">
      <c r="A107" s="184" t="s">
        <v>21</v>
      </c>
      <c r="B107" s="184"/>
      <c r="C107" s="184"/>
      <c r="D107" s="184"/>
      <c r="E107" s="184"/>
      <c r="F107" s="184"/>
      <c r="G107" s="184"/>
      <c r="H107" s="184"/>
      <c r="I107" s="184"/>
    </row>
    <row r="108" spans="1:9" ht="15" customHeight="1">
      <c r="A108" s="184" t="s">
        <v>20</v>
      </c>
      <c r="B108" s="184"/>
      <c r="C108" s="184"/>
      <c r="D108" s="184"/>
      <c r="E108" s="184"/>
      <c r="F108" s="184"/>
      <c r="G108" s="184"/>
      <c r="H108" s="184"/>
      <c r="I108" s="184"/>
    </row>
  </sheetData>
  <autoFilter ref="I12:I83"/>
  <mergeCells count="28">
    <mergeCell ref="A14:I14"/>
    <mergeCell ref="A3:I3"/>
    <mergeCell ref="A4:I4"/>
    <mergeCell ref="A5:I5"/>
    <mergeCell ref="A8:I8"/>
    <mergeCell ref="A10:I10"/>
    <mergeCell ref="A94:I94"/>
    <mergeCell ref="A15:I15"/>
    <mergeCell ref="A28:I28"/>
    <mergeCell ref="A41:I41"/>
    <mergeCell ref="A52:I52"/>
    <mergeCell ref="A80:I80"/>
    <mergeCell ref="A84:I84"/>
    <mergeCell ref="A88:I88"/>
    <mergeCell ref="B89:G89"/>
    <mergeCell ref="B90:G90"/>
    <mergeCell ref="A92:I92"/>
    <mergeCell ref="A93:I93"/>
    <mergeCell ref="A105:I105"/>
    <mergeCell ref="A106:I106"/>
    <mergeCell ref="A107:I107"/>
    <mergeCell ref="A108:I108"/>
    <mergeCell ref="A96:I96"/>
    <mergeCell ref="C98:E98"/>
    <mergeCell ref="C99:E99"/>
    <mergeCell ref="C101:E101"/>
    <mergeCell ref="C102:E102"/>
    <mergeCell ref="A104:I104"/>
  </mergeCells>
  <pageMargins left="0.70866141732283472" right="0.23622047244094491" top="0.27559055118110237" bottom="0.27559055118110237" header="0.31496062992125984" footer="0.31496062992125984"/>
  <pageSetup paperSize="9" scale="64" orientation="portrait" r:id="rId1"/>
  <rowBreaks count="1" manualBreakCount="1">
    <brk id="102" max="8" man="1"/>
  </rowBreaks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4"/>
  <sheetViews>
    <sheetView topLeftCell="A77" workbookViewId="0">
      <selection activeCell="B89" sqref="B89:I9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0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155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94" t="s">
        <v>145</v>
      </c>
      <c r="B3" s="194"/>
      <c r="C3" s="194"/>
      <c r="D3" s="194"/>
      <c r="E3" s="194"/>
      <c r="F3" s="194"/>
      <c r="G3" s="194"/>
      <c r="H3" s="194"/>
      <c r="I3" s="194"/>
      <c r="J3" s="3"/>
      <c r="K3" s="3"/>
      <c r="L3" s="3"/>
    </row>
    <row r="4" spans="1:13" ht="31.5" customHeight="1">
      <c r="A4" s="195" t="s">
        <v>120</v>
      </c>
      <c r="B4" s="195"/>
      <c r="C4" s="195"/>
      <c r="D4" s="195"/>
      <c r="E4" s="195"/>
      <c r="F4" s="195"/>
      <c r="G4" s="195"/>
      <c r="H4" s="195"/>
      <c r="I4" s="195"/>
    </row>
    <row r="5" spans="1:13" ht="15.75" customHeight="1">
      <c r="A5" s="194" t="s">
        <v>209</v>
      </c>
      <c r="B5" s="198"/>
      <c r="C5" s="198"/>
      <c r="D5" s="198"/>
      <c r="E5" s="198"/>
      <c r="F5" s="198"/>
      <c r="G5" s="198"/>
      <c r="H5" s="198"/>
      <c r="I5" s="198"/>
      <c r="J5" s="2"/>
      <c r="K5" s="2"/>
      <c r="L5" s="2"/>
      <c r="M5" s="2"/>
    </row>
    <row r="6" spans="1:13" ht="15.75" customHeight="1">
      <c r="A6" s="2"/>
      <c r="B6" s="74"/>
      <c r="C6" s="74"/>
      <c r="D6" s="74"/>
      <c r="E6" s="74"/>
      <c r="F6" s="74"/>
      <c r="G6" s="74"/>
      <c r="H6" s="74"/>
      <c r="I6" s="32">
        <v>44012</v>
      </c>
      <c r="J6" s="2"/>
      <c r="K6" s="2"/>
      <c r="L6" s="2"/>
      <c r="M6" s="2"/>
    </row>
    <row r="7" spans="1:13" ht="15.75" customHeight="1">
      <c r="B7" s="73"/>
      <c r="C7" s="73"/>
      <c r="D7" s="73"/>
      <c r="E7" s="3"/>
      <c r="F7" s="3"/>
      <c r="G7" s="3"/>
      <c r="H7" s="3"/>
      <c r="J7" s="3"/>
      <c r="K7" s="3"/>
      <c r="L7" s="3"/>
      <c r="M7" s="3"/>
    </row>
    <row r="8" spans="1:13" s="64" customFormat="1" ht="78.75" customHeight="1">
      <c r="A8" s="196" t="s">
        <v>186</v>
      </c>
      <c r="B8" s="196"/>
      <c r="C8" s="196"/>
      <c r="D8" s="196"/>
      <c r="E8" s="196"/>
      <c r="F8" s="196"/>
      <c r="G8" s="196"/>
      <c r="H8" s="196"/>
      <c r="I8" s="196"/>
      <c r="J8" s="76"/>
      <c r="K8" s="76"/>
      <c r="L8" s="76"/>
      <c r="M8" s="76"/>
    </row>
    <row r="9" spans="1:13" ht="15.75">
      <c r="A9" s="4"/>
      <c r="J9" s="2"/>
      <c r="K9" s="2"/>
      <c r="L9" s="2"/>
      <c r="M9" s="2"/>
    </row>
    <row r="10" spans="1:13" ht="47.25" customHeight="1">
      <c r="A10" s="197" t="s">
        <v>150</v>
      </c>
      <c r="B10" s="197"/>
      <c r="C10" s="197"/>
      <c r="D10" s="197"/>
      <c r="E10" s="197"/>
      <c r="F10" s="197"/>
      <c r="G10" s="197"/>
      <c r="H10" s="197"/>
      <c r="I10" s="19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 ht="15.7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9" t="s">
        <v>59</v>
      </c>
      <c r="B14" s="199"/>
      <c r="C14" s="199"/>
      <c r="D14" s="199"/>
      <c r="E14" s="199"/>
      <c r="F14" s="199"/>
      <c r="G14" s="199"/>
      <c r="H14" s="199"/>
      <c r="I14" s="199"/>
      <c r="J14" s="8"/>
      <c r="K14" s="8"/>
      <c r="L14" s="8"/>
      <c r="M14" s="8"/>
    </row>
    <row r="15" spans="1:13" ht="15.75" customHeight="1">
      <c r="A15" s="200" t="s">
        <v>4</v>
      </c>
      <c r="B15" s="200"/>
      <c r="C15" s="200"/>
      <c r="D15" s="200"/>
      <c r="E15" s="200"/>
      <c r="F15" s="200"/>
      <c r="G15" s="200"/>
      <c r="H15" s="200"/>
      <c r="I15" s="200"/>
      <c r="J15" s="8"/>
      <c r="K15" s="8"/>
      <c r="L15" s="8"/>
      <c r="M15" s="8"/>
    </row>
    <row r="16" spans="1:13" ht="15.75" customHeight="1">
      <c r="A16" s="31">
        <v>1</v>
      </c>
      <c r="B16" s="34" t="s">
        <v>83</v>
      </c>
      <c r="C16" s="40" t="s">
        <v>88</v>
      </c>
      <c r="D16" s="34" t="s">
        <v>161</v>
      </c>
      <c r="E16" s="123">
        <v>47.52</v>
      </c>
      <c r="F16" s="124">
        <f>SUM(E16*156/100)</f>
        <v>74.131200000000007</v>
      </c>
      <c r="G16" s="124">
        <v>261.45</v>
      </c>
      <c r="H16" s="95">
        <f t="shared" ref="H16:H27" si="0">SUM(F16*G16/1000)</f>
        <v>19.381602239999999</v>
      </c>
      <c r="I16" s="13">
        <f>F16/12*G16</f>
        <v>1615.1335200000001</v>
      </c>
      <c r="J16" s="8"/>
      <c r="K16" s="8"/>
      <c r="L16" s="8"/>
      <c r="M16" s="8"/>
    </row>
    <row r="17" spans="1:13" ht="15.75" customHeight="1">
      <c r="A17" s="31">
        <v>2</v>
      </c>
      <c r="B17" s="34" t="s">
        <v>97</v>
      </c>
      <c r="C17" s="40" t="s">
        <v>88</v>
      </c>
      <c r="D17" s="34" t="s">
        <v>162</v>
      </c>
      <c r="E17" s="123">
        <v>190.08</v>
      </c>
      <c r="F17" s="124">
        <f>SUM(E17*104/100)</f>
        <v>197.6832</v>
      </c>
      <c r="G17" s="124">
        <v>261.45</v>
      </c>
      <c r="H17" s="95">
        <f t="shared" si="0"/>
        <v>51.684272639999996</v>
      </c>
      <c r="I17" s="13">
        <f>F17/12*G17</f>
        <v>4307.0227199999999</v>
      </c>
      <c r="J17" s="8"/>
      <c r="K17" s="8"/>
      <c r="L17" s="8"/>
      <c r="M17" s="8"/>
    </row>
    <row r="18" spans="1:13" ht="15.75" customHeight="1">
      <c r="A18" s="31">
        <v>3</v>
      </c>
      <c r="B18" s="34" t="s">
        <v>98</v>
      </c>
      <c r="C18" s="40" t="s">
        <v>88</v>
      </c>
      <c r="D18" s="34" t="s">
        <v>163</v>
      </c>
      <c r="E18" s="123">
        <f>SUM(E16+E17)</f>
        <v>237.60000000000002</v>
      </c>
      <c r="F18" s="124">
        <f>SUM(E18*18/100)</f>
        <v>42.768000000000001</v>
      </c>
      <c r="G18" s="124">
        <v>752.16</v>
      </c>
      <c r="H18" s="95">
        <f t="shared" si="0"/>
        <v>32.168378879999999</v>
      </c>
      <c r="I18" s="13">
        <f>F18/18*2*G18</f>
        <v>3574.2643199999998</v>
      </c>
      <c r="J18" s="8"/>
      <c r="K18" s="8"/>
      <c r="L18" s="8"/>
      <c r="M18" s="8"/>
    </row>
    <row r="19" spans="1:13" ht="15.75" customHeight="1">
      <c r="A19" s="31">
        <v>4</v>
      </c>
      <c r="B19" s="34" t="s">
        <v>121</v>
      </c>
      <c r="C19" s="40" t="s">
        <v>122</v>
      </c>
      <c r="D19" s="34" t="s">
        <v>210</v>
      </c>
      <c r="E19" s="123">
        <v>18.48</v>
      </c>
      <c r="F19" s="124">
        <f>SUM(E19/10)</f>
        <v>1.8480000000000001</v>
      </c>
      <c r="G19" s="124">
        <v>253.7</v>
      </c>
      <c r="H19" s="95">
        <f t="shared" si="0"/>
        <v>0.46883760000000002</v>
      </c>
      <c r="I19" s="13">
        <f>G19*F19</f>
        <v>468.83760000000001</v>
      </c>
      <c r="J19" s="8"/>
      <c r="K19" s="8"/>
      <c r="L19" s="8"/>
      <c r="M19" s="8"/>
    </row>
    <row r="20" spans="1:13" ht="15.75" customHeight="1">
      <c r="A20" s="31">
        <v>5</v>
      </c>
      <c r="B20" s="34" t="s">
        <v>87</v>
      </c>
      <c r="C20" s="40" t="s">
        <v>88</v>
      </c>
      <c r="D20" s="34" t="s">
        <v>164</v>
      </c>
      <c r="E20" s="123">
        <v>10.5</v>
      </c>
      <c r="F20" s="124">
        <f>SUM(E20*12/100)</f>
        <v>1.26</v>
      </c>
      <c r="G20" s="124">
        <v>324.83999999999997</v>
      </c>
      <c r="H20" s="95">
        <f t="shared" si="0"/>
        <v>0.40929839999999995</v>
      </c>
      <c r="I20" s="13">
        <f>F20/12*G20</f>
        <v>34.108199999999997</v>
      </c>
      <c r="J20" s="8"/>
      <c r="K20" s="8"/>
      <c r="L20" s="8"/>
      <c r="M20" s="8"/>
    </row>
    <row r="21" spans="1:13" ht="15.75" customHeight="1">
      <c r="A21" s="31">
        <v>6</v>
      </c>
      <c r="B21" s="34" t="s">
        <v>95</v>
      </c>
      <c r="C21" s="40" t="s">
        <v>88</v>
      </c>
      <c r="D21" s="34" t="s">
        <v>164</v>
      </c>
      <c r="E21" s="123">
        <v>2.7</v>
      </c>
      <c r="F21" s="124">
        <f>SUM(E21*12/100)</f>
        <v>0.32400000000000007</v>
      </c>
      <c r="G21" s="124">
        <v>322.20999999999998</v>
      </c>
      <c r="H21" s="95">
        <f t="shared" si="0"/>
        <v>0.10439604000000001</v>
      </c>
      <c r="I21" s="13">
        <f>F21/12*G21</f>
        <v>8.6996700000000011</v>
      </c>
      <c r="J21" s="8"/>
      <c r="K21" s="8"/>
      <c r="L21" s="8"/>
      <c r="M21" s="8"/>
    </row>
    <row r="22" spans="1:13" ht="15.75" customHeight="1">
      <c r="A22" s="31">
        <v>7</v>
      </c>
      <c r="B22" s="34" t="s">
        <v>89</v>
      </c>
      <c r="C22" s="40" t="s">
        <v>53</v>
      </c>
      <c r="D22" s="34" t="s">
        <v>210</v>
      </c>
      <c r="E22" s="123">
        <v>267.75</v>
      </c>
      <c r="F22" s="124">
        <f>SUM(E22/100)</f>
        <v>2.6775000000000002</v>
      </c>
      <c r="G22" s="124">
        <v>401.44</v>
      </c>
      <c r="H22" s="95">
        <f t="shared" si="0"/>
        <v>1.0748556</v>
      </c>
      <c r="I22" s="13">
        <f>G22*F22</f>
        <v>1074.8556000000001</v>
      </c>
      <c r="J22" s="8"/>
      <c r="K22" s="8"/>
      <c r="L22" s="8"/>
      <c r="M22" s="8"/>
    </row>
    <row r="23" spans="1:13" ht="15.75" customHeight="1">
      <c r="A23" s="31">
        <v>8</v>
      </c>
      <c r="B23" s="34" t="s">
        <v>90</v>
      </c>
      <c r="C23" s="40" t="s">
        <v>53</v>
      </c>
      <c r="D23" s="34" t="s">
        <v>211</v>
      </c>
      <c r="E23" s="154">
        <v>36</v>
      </c>
      <c r="F23" s="124">
        <f>SUM(E23/100)</f>
        <v>0.36</v>
      </c>
      <c r="G23" s="124">
        <v>66.03</v>
      </c>
      <c r="H23" s="95">
        <f t="shared" si="0"/>
        <v>2.3770800000000002E-2</v>
      </c>
      <c r="I23" s="13">
        <f>G23*F23</f>
        <v>23.770800000000001</v>
      </c>
      <c r="J23" s="8"/>
      <c r="K23" s="8"/>
      <c r="L23" s="8"/>
      <c r="M23" s="8"/>
    </row>
    <row r="24" spans="1:13" ht="15.75" customHeight="1">
      <c r="A24" s="31">
        <v>9</v>
      </c>
      <c r="B24" s="34" t="s">
        <v>91</v>
      </c>
      <c r="C24" s="40" t="s">
        <v>53</v>
      </c>
      <c r="D24" s="34" t="s">
        <v>211</v>
      </c>
      <c r="E24" s="123">
        <v>15</v>
      </c>
      <c r="F24" s="124">
        <f>E24/100</f>
        <v>0.15</v>
      </c>
      <c r="G24" s="124">
        <v>581.02</v>
      </c>
      <c r="H24" s="95">
        <f t="shared" si="0"/>
        <v>8.7152999999999994E-2</v>
      </c>
      <c r="I24" s="13">
        <f>G24*F24</f>
        <v>87.152999999999992</v>
      </c>
      <c r="J24" s="8"/>
      <c r="K24" s="8"/>
      <c r="L24" s="8"/>
      <c r="M24" s="8"/>
    </row>
    <row r="25" spans="1:13" ht="15.75" customHeight="1">
      <c r="A25" s="31">
        <v>10</v>
      </c>
      <c r="B25" s="34" t="s">
        <v>96</v>
      </c>
      <c r="C25" s="40" t="s">
        <v>88</v>
      </c>
      <c r="D25" s="34" t="s">
        <v>164</v>
      </c>
      <c r="E25" s="123">
        <v>14.25</v>
      </c>
      <c r="F25" s="124">
        <v>0.1</v>
      </c>
      <c r="G25" s="124">
        <v>322.20999999999998</v>
      </c>
      <c r="H25" s="95">
        <v>3.1E-2</v>
      </c>
      <c r="I25" s="13">
        <f>G25*F25</f>
        <v>32.220999999999997</v>
      </c>
      <c r="J25" s="8"/>
      <c r="K25" s="8"/>
      <c r="L25" s="8"/>
      <c r="M25" s="8"/>
    </row>
    <row r="26" spans="1:13" ht="15.75" customHeight="1">
      <c r="A26" s="31">
        <v>11</v>
      </c>
      <c r="B26" s="34" t="s">
        <v>92</v>
      </c>
      <c r="C26" s="40" t="s">
        <v>53</v>
      </c>
      <c r="D26" s="34" t="s">
        <v>211</v>
      </c>
      <c r="E26" s="123">
        <v>6.38</v>
      </c>
      <c r="F26" s="124">
        <f>SUM(E26/100)</f>
        <v>6.3799999999999996E-2</v>
      </c>
      <c r="G26" s="124">
        <v>776.46</v>
      </c>
      <c r="H26" s="95">
        <f t="shared" si="0"/>
        <v>4.9538147999999997E-2</v>
      </c>
      <c r="I26" s="13">
        <f>G26*F26</f>
        <v>49.538148</v>
      </c>
      <c r="J26" s="8"/>
      <c r="K26" s="8"/>
      <c r="L26" s="8"/>
      <c r="M26" s="8"/>
    </row>
    <row r="27" spans="1:13" ht="15.75" customHeight="1">
      <c r="A27" s="31">
        <v>12</v>
      </c>
      <c r="B27" s="34" t="s">
        <v>160</v>
      </c>
      <c r="C27" s="40" t="s">
        <v>25</v>
      </c>
      <c r="D27" s="34" t="s">
        <v>166</v>
      </c>
      <c r="E27" s="133">
        <v>4.83</v>
      </c>
      <c r="F27" s="124">
        <f>SUM(E27*258)</f>
        <v>1246.1400000000001</v>
      </c>
      <c r="G27" s="124">
        <v>10.81</v>
      </c>
      <c r="H27" s="95">
        <f t="shared" si="0"/>
        <v>13.470773400000002</v>
      </c>
      <c r="I27" s="13">
        <f>F27/12*G27</f>
        <v>1122.5644500000003</v>
      </c>
      <c r="J27" s="8"/>
      <c r="K27" s="8"/>
      <c r="L27" s="8"/>
      <c r="M27" s="8"/>
    </row>
    <row r="28" spans="1:13" ht="15.75" customHeight="1">
      <c r="A28" s="200" t="s">
        <v>82</v>
      </c>
      <c r="B28" s="200"/>
      <c r="C28" s="200"/>
      <c r="D28" s="200"/>
      <c r="E28" s="200"/>
      <c r="F28" s="200"/>
      <c r="G28" s="200"/>
      <c r="H28" s="200"/>
      <c r="I28" s="200"/>
      <c r="J28" s="24"/>
      <c r="K28" s="8"/>
      <c r="L28" s="8"/>
      <c r="M28" s="8"/>
    </row>
    <row r="29" spans="1:13" ht="15.75" customHeight="1">
      <c r="A29" s="41"/>
      <c r="B29" s="51" t="s">
        <v>28</v>
      </c>
      <c r="C29" s="51"/>
      <c r="D29" s="51"/>
      <c r="E29" s="51"/>
      <c r="F29" s="51"/>
      <c r="G29" s="51"/>
      <c r="H29" s="51"/>
      <c r="I29" s="19"/>
      <c r="J29" s="24"/>
      <c r="K29" s="8"/>
      <c r="L29" s="8"/>
      <c r="M29" s="8"/>
    </row>
    <row r="30" spans="1:13" ht="15.75" customHeight="1">
      <c r="A30" s="41">
        <v>13</v>
      </c>
      <c r="B30" s="34" t="s">
        <v>99</v>
      </c>
      <c r="C30" s="40" t="s">
        <v>100</v>
      </c>
      <c r="D30" s="34" t="s">
        <v>205</v>
      </c>
      <c r="E30" s="124">
        <v>313</v>
      </c>
      <c r="F30" s="124">
        <f>SUM(E30*24/1000)</f>
        <v>7.5119999999999996</v>
      </c>
      <c r="G30" s="124">
        <v>232.4</v>
      </c>
      <c r="H30" s="95">
        <f t="shared" ref="H30:H31" si="1">SUM(F30*G30/1000)</f>
        <v>1.7457888000000001</v>
      </c>
      <c r="I30" s="13">
        <f>F30/6*G30</f>
        <v>290.96480000000003</v>
      </c>
      <c r="J30" s="24"/>
      <c r="K30" s="8"/>
      <c r="L30" s="8"/>
      <c r="M30" s="8"/>
    </row>
    <row r="31" spans="1:13" ht="31.5" customHeight="1">
      <c r="A31" s="41">
        <v>14</v>
      </c>
      <c r="B31" s="34" t="s">
        <v>134</v>
      </c>
      <c r="C31" s="40" t="s">
        <v>100</v>
      </c>
      <c r="D31" s="34" t="s">
        <v>161</v>
      </c>
      <c r="E31" s="124">
        <v>26.33</v>
      </c>
      <c r="F31" s="124">
        <f>SUM(E31*78/1000)</f>
        <v>2.0537399999999999</v>
      </c>
      <c r="G31" s="124">
        <v>385.6</v>
      </c>
      <c r="H31" s="95">
        <f t="shared" si="1"/>
        <v>0.79192214400000005</v>
      </c>
      <c r="I31" s="13">
        <f t="shared" ref="I31" si="2">F31/6*G31</f>
        <v>131.98702399999999</v>
      </c>
      <c r="J31" s="24"/>
      <c r="K31" s="8"/>
      <c r="L31" s="8"/>
      <c r="M31" s="8"/>
    </row>
    <row r="32" spans="1:13" ht="15.75" hidden="1" customHeight="1">
      <c r="A32" s="41">
        <v>16</v>
      </c>
      <c r="B32" s="91" t="s">
        <v>27</v>
      </c>
      <c r="C32" s="92" t="s">
        <v>100</v>
      </c>
      <c r="D32" s="91" t="s">
        <v>54</v>
      </c>
      <c r="E32" s="94">
        <v>1167.4000000000001</v>
      </c>
      <c r="F32" s="94">
        <f>SUM(E32/1000)</f>
        <v>1.1674</v>
      </c>
      <c r="G32" s="94">
        <v>3020.33</v>
      </c>
      <c r="H32" s="95">
        <f t="shared" ref="H32" si="3">SUM(F32*G32/1000)</f>
        <v>3.5259332420000002</v>
      </c>
      <c r="I32" s="13">
        <f>F32*G32</f>
        <v>3525.9332420000001</v>
      </c>
      <c r="J32" s="24"/>
      <c r="K32" s="8"/>
      <c r="L32" s="8"/>
      <c r="M32" s="8"/>
    </row>
    <row r="33" spans="1:13" ht="15.75" hidden="1" customHeight="1">
      <c r="A33" s="41">
        <v>4</v>
      </c>
      <c r="B33" s="91" t="s">
        <v>64</v>
      </c>
      <c r="C33" s="92" t="s">
        <v>32</v>
      </c>
      <c r="D33" s="91" t="s">
        <v>65</v>
      </c>
      <c r="E33" s="93"/>
      <c r="F33" s="94">
        <v>3</v>
      </c>
      <c r="G33" s="94">
        <v>191.32</v>
      </c>
      <c r="H33" s="95">
        <f t="shared" ref="H33" si="4">SUM(F33*G33/1000)</f>
        <v>0.57396000000000003</v>
      </c>
      <c r="I33" s="13">
        <v>0</v>
      </c>
      <c r="J33" s="24"/>
      <c r="K33" s="8"/>
      <c r="L33" s="8"/>
      <c r="M33" s="8"/>
    </row>
    <row r="34" spans="1:13" ht="15.75" hidden="1" customHeight="1">
      <c r="A34" s="41"/>
      <c r="B34" s="49" t="s">
        <v>5</v>
      </c>
      <c r="C34" s="49"/>
      <c r="D34" s="49"/>
      <c r="E34" s="13"/>
      <c r="F34" s="13"/>
      <c r="G34" s="14"/>
      <c r="H34" s="14"/>
      <c r="I34" s="19"/>
      <c r="J34" s="24"/>
      <c r="K34" s="8"/>
      <c r="L34" s="8"/>
      <c r="M34" s="8"/>
    </row>
    <row r="35" spans="1:13" ht="15.75" hidden="1" customHeight="1">
      <c r="A35" s="41">
        <v>8</v>
      </c>
      <c r="B35" s="91" t="s">
        <v>26</v>
      </c>
      <c r="C35" s="92" t="s">
        <v>31</v>
      </c>
      <c r="D35" s="91"/>
      <c r="E35" s="93"/>
      <c r="F35" s="94">
        <v>6</v>
      </c>
      <c r="G35" s="94">
        <v>1527.2</v>
      </c>
      <c r="H35" s="95">
        <f t="shared" ref="H35:H40" si="5">SUM(F35*G35/1000)</f>
        <v>9.1632000000000016</v>
      </c>
      <c r="I35" s="13">
        <f t="shared" ref="I35:I40" si="6">F35/6*G35</f>
        <v>1527.2</v>
      </c>
      <c r="J35" s="24"/>
      <c r="K35" s="8"/>
      <c r="L35" s="8"/>
      <c r="M35" s="8"/>
    </row>
    <row r="36" spans="1:13" ht="15.75" hidden="1" customHeight="1">
      <c r="A36" s="35">
        <v>9</v>
      </c>
      <c r="B36" s="91" t="s">
        <v>66</v>
      </c>
      <c r="C36" s="92" t="s">
        <v>29</v>
      </c>
      <c r="D36" s="91" t="s">
        <v>125</v>
      </c>
      <c r="E36" s="94">
        <v>1080.0999999999999</v>
      </c>
      <c r="F36" s="94">
        <f>SUM(E36*30/1000)</f>
        <v>32.402999999999999</v>
      </c>
      <c r="G36" s="94">
        <v>2102.6999999999998</v>
      </c>
      <c r="H36" s="95">
        <f t="shared" si="5"/>
        <v>68.13378809999999</v>
      </c>
      <c r="I36" s="13">
        <f t="shared" si="6"/>
        <v>11355.63135</v>
      </c>
      <c r="J36" s="24"/>
      <c r="K36" s="8"/>
      <c r="L36" s="8"/>
      <c r="M36" s="8"/>
    </row>
    <row r="37" spans="1:13" ht="15.75" hidden="1" customHeight="1">
      <c r="A37" s="35">
        <v>10</v>
      </c>
      <c r="B37" s="91" t="s">
        <v>67</v>
      </c>
      <c r="C37" s="92" t="s">
        <v>29</v>
      </c>
      <c r="D37" s="91" t="s">
        <v>104</v>
      </c>
      <c r="E37" s="94">
        <v>45</v>
      </c>
      <c r="F37" s="94">
        <f>SUM(E37*155/1000)</f>
        <v>6.9749999999999996</v>
      </c>
      <c r="G37" s="94">
        <v>350.75</v>
      </c>
      <c r="H37" s="95">
        <f t="shared" si="5"/>
        <v>2.4464812499999997</v>
      </c>
      <c r="I37" s="13">
        <f t="shared" si="6"/>
        <v>407.74687499999993</v>
      </c>
      <c r="J37" s="24"/>
      <c r="K37" s="8"/>
      <c r="L37" s="8"/>
      <c r="M37" s="8"/>
    </row>
    <row r="38" spans="1:13" ht="47.25" hidden="1" customHeight="1">
      <c r="A38" s="35">
        <v>11</v>
      </c>
      <c r="B38" s="91" t="s">
        <v>81</v>
      </c>
      <c r="C38" s="92" t="s">
        <v>100</v>
      </c>
      <c r="D38" s="91" t="s">
        <v>68</v>
      </c>
      <c r="E38" s="94">
        <v>45</v>
      </c>
      <c r="F38" s="94">
        <f>SUM(E38*70/1000)</f>
        <v>3.15</v>
      </c>
      <c r="G38" s="94">
        <v>5803.28</v>
      </c>
      <c r="H38" s="95">
        <f t="shared" si="5"/>
        <v>18.280331999999998</v>
      </c>
      <c r="I38" s="13">
        <f t="shared" si="6"/>
        <v>3046.7220000000002</v>
      </c>
      <c r="J38" s="24"/>
      <c r="K38" s="8"/>
      <c r="L38" s="8"/>
      <c r="M38" s="8"/>
    </row>
    <row r="39" spans="1:13" ht="15.75" hidden="1" customHeight="1">
      <c r="A39" s="35">
        <v>12</v>
      </c>
      <c r="B39" s="91" t="s">
        <v>105</v>
      </c>
      <c r="C39" s="92" t="s">
        <v>100</v>
      </c>
      <c r="D39" s="91" t="s">
        <v>69</v>
      </c>
      <c r="E39" s="94">
        <v>45</v>
      </c>
      <c r="F39" s="94">
        <f>SUM(E39*45/1000)</f>
        <v>2.0249999999999999</v>
      </c>
      <c r="G39" s="94">
        <v>428.7</v>
      </c>
      <c r="H39" s="95">
        <f t="shared" si="5"/>
        <v>0.86811749999999999</v>
      </c>
      <c r="I39" s="13">
        <f t="shared" si="6"/>
        <v>144.68624999999997</v>
      </c>
      <c r="J39" s="24"/>
      <c r="K39" s="8"/>
      <c r="L39" s="8"/>
      <c r="M39" s="8"/>
    </row>
    <row r="40" spans="1:13" ht="15.75" hidden="1" customHeight="1">
      <c r="A40" s="35">
        <v>13</v>
      </c>
      <c r="B40" s="91" t="s">
        <v>70</v>
      </c>
      <c r="C40" s="92" t="s">
        <v>32</v>
      </c>
      <c r="D40" s="91"/>
      <c r="E40" s="93"/>
      <c r="F40" s="94">
        <v>0.6</v>
      </c>
      <c r="G40" s="94">
        <v>798</v>
      </c>
      <c r="H40" s="95">
        <f t="shared" si="5"/>
        <v>0.47879999999999995</v>
      </c>
      <c r="I40" s="13">
        <f t="shared" si="6"/>
        <v>79.8</v>
      </c>
      <c r="J40" s="24"/>
      <c r="K40" s="8"/>
      <c r="L40" s="8"/>
      <c r="M40" s="8"/>
    </row>
    <row r="41" spans="1:13" ht="15.75" hidden="1" customHeight="1">
      <c r="A41" s="201" t="s">
        <v>131</v>
      </c>
      <c r="B41" s="202"/>
      <c r="C41" s="202"/>
      <c r="D41" s="202"/>
      <c r="E41" s="202"/>
      <c r="F41" s="202"/>
      <c r="G41" s="202"/>
      <c r="H41" s="202"/>
      <c r="I41" s="203"/>
      <c r="J41" s="24"/>
      <c r="K41" s="8"/>
      <c r="L41" s="8"/>
      <c r="M41" s="8"/>
    </row>
    <row r="42" spans="1:13" ht="15.75" hidden="1" customHeight="1">
      <c r="A42" s="41">
        <v>18</v>
      </c>
      <c r="B42" s="91" t="s">
        <v>106</v>
      </c>
      <c r="C42" s="92" t="s">
        <v>100</v>
      </c>
      <c r="D42" s="91" t="s">
        <v>42</v>
      </c>
      <c r="E42" s="93">
        <v>965.8</v>
      </c>
      <c r="F42" s="94">
        <f>SUM(E42*2/1000)</f>
        <v>1.9316</v>
      </c>
      <c r="G42" s="13">
        <v>849.49</v>
      </c>
      <c r="H42" s="95">
        <f t="shared" ref="H42:H51" si="7">SUM(F42*G42/1000)</f>
        <v>1.640874884</v>
      </c>
      <c r="I42" s="13">
        <f t="shared" ref="I42:I45" si="8">F42/2*G42</f>
        <v>820.43744200000003</v>
      </c>
      <c r="J42" s="24"/>
      <c r="K42" s="8"/>
    </row>
    <row r="43" spans="1:13" ht="15.75" hidden="1" customHeight="1">
      <c r="A43" s="41">
        <v>19</v>
      </c>
      <c r="B43" s="91" t="s">
        <v>35</v>
      </c>
      <c r="C43" s="92" t="s">
        <v>100</v>
      </c>
      <c r="D43" s="91" t="s">
        <v>42</v>
      </c>
      <c r="E43" s="93">
        <v>36</v>
      </c>
      <c r="F43" s="94">
        <f>SUM(E43*2/1000)</f>
        <v>7.1999999999999995E-2</v>
      </c>
      <c r="G43" s="13">
        <v>579.48</v>
      </c>
      <c r="H43" s="95">
        <f t="shared" si="7"/>
        <v>4.1722559999999999E-2</v>
      </c>
      <c r="I43" s="13">
        <f t="shared" si="8"/>
        <v>20.861280000000001</v>
      </c>
      <c r="J43" s="25"/>
    </row>
    <row r="44" spans="1:13" ht="15.75" hidden="1" customHeight="1">
      <c r="A44" s="41">
        <v>20</v>
      </c>
      <c r="B44" s="91" t="s">
        <v>36</v>
      </c>
      <c r="C44" s="92" t="s">
        <v>100</v>
      </c>
      <c r="D44" s="91" t="s">
        <v>42</v>
      </c>
      <c r="E44" s="93">
        <v>1197.7</v>
      </c>
      <c r="F44" s="94">
        <f>SUM(E44*2/1000)</f>
        <v>2.3954</v>
      </c>
      <c r="G44" s="13">
        <v>579.48</v>
      </c>
      <c r="H44" s="95">
        <f t="shared" si="7"/>
        <v>1.3880863919999999</v>
      </c>
      <c r="I44" s="13">
        <f t="shared" si="8"/>
        <v>694.04319599999997</v>
      </c>
      <c r="J44" s="25"/>
    </row>
    <row r="45" spans="1:13" ht="15.75" hidden="1" customHeight="1">
      <c r="A45" s="41">
        <v>21</v>
      </c>
      <c r="B45" s="91" t="s">
        <v>37</v>
      </c>
      <c r="C45" s="92" t="s">
        <v>100</v>
      </c>
      <c r="D45" s="91" t="s">
        <v>42</v>
      </c>
      <c r="E45" s="93">
        <v>2275.92</v>
      </c>
      <c r="F45" s="94">
        <f>SUM(E45*2/1000)</f>
        <v>4.5518400000000003</v>
      </c>
      <c r="G45" s="13">
        <v>606.77</v>
      </c>
      <c r="H45" s="95">
        <f t="shared" si="7"/>
        <v>2.7619199567999999</v>
      </c>
      <c r="I45" s="13">
        <f t="shared" si="8"/>
        <v>1380.9599784</v>
      </c>
      <c r="J45" s="25"/>
    </row>
    <row r="46" spans="1:13" ht="15.75" hidden="1" customHeight="1">
      <c r="A46" s="41">
        <v>22</v>
      </c>
      <c r="B46" s="91" t="s">
        <v>33</v>
      </c>
      <c r="C46" s="92" t="s">
        <v>34</v>
      </c>
      <c r="D46" s="91" t="s">
        <v>42</v>
      </c>
      <c r="E46" s="93">
        <v>81.709999999999994</v>
      </c>
      <c r="F46" s="94">
        <f>SUM(E46*2/100)</f>
        <v>1.6341999999999999</v>
      </c>
      <c r="G46" s="13">
        <v>68.56</v>
      </c>
      <c r="H46" s="95">
        <f t="shared" si="7"/>
        <v>0.11204075199999999</v>
      </c>
      <c r="I46" s="13">
        <f>F46/2*G46</f>
        <v>56.020375999999999</v>
      </c>
      <c r="J46" s="25"/>
    </row>
    <row r="47" spans="1:13" ht="15.75" hidden="1" customHeight="1">
      <c r="A47" s="41">
        <v>23</v>
      </c>
      <c r="B47" s="91" t="s">
        <v>56</v>
      </c>
      <c r="C47" s="92" t="s">
        <v>100</v>
      </c>
      <c r="D47" s="91" t="s">
        <v>135</v>
      </c>
      <c r="E47" s="93">
        <v>1711.8</v>
      </c>
      <c r="F47" s="94">
        <f>SUM(E47*5/1000)</f>
        <v>8.5589999999999993</v>
      </c>
      <c r="G47" s="13">
        <v>1213.55</v>
      </c>
      <c r="H47" s="95">
        <f t="shared" si="7"/>
        <v>10.386774449999999</v>
      </c>
      <c r="I47" s="13">
        <f>F47/5*G47</f>
        <v>2077.3548899999996</v>
      </c>
      <c r="J47" s="25"/>
    </row>
    <row r="48" spans="1:13" ht="31.5" hidden="1" customHeight="1">
      <c r="A48" s="41">
        <v>14</v>
      </c>
      <c r="B48" s="91" t="s">
        <v>107</v>
      </c>
      <c r="C48" s="92" t="s">
        <v>100</v>
      </c>
      <c r="D48" s="91" t="s">
        <v>42</v>
      </c>
      <c r="E48" s="93">
        <v>1711.8</v>
      </c>
      <c r="F48" s="94">
        <f>SUM(E48*2/1000)</f>
        <v>3.4236</v>
      </c>
      <c r="G48" s="13">
        <v>1213.55</v>
      </c>
      <c r="H48" s="95">
        <f t="shared" si="7"/>
        <v>4.1547097800000001</v>
      </c>
      <c r="I48" s="13">
        <f>F48/2*G48</f>
        <v>2077.3548900000001</v>
      </c>
      <c r="J48" s="25"/>
    </row>
    <row r="49" spans="1:14" ht="31.5" hidden="1" customHeight="1">
      <c r="A49" s="41">
        <v>15</v>
      </c>
      <c r="B49" s="91" t="s">
        <v>108</v>
      </c>
      <c r="C49" s="92" t="s">
        <v>38</v>
      </c>
      <c r="D49" s="91" t="s">
        <v>42</v>
      </c>
      <c r="E49" s="93">
        <v>15</v>
      </c>
      <c r="F49" s="94">
        <f>SUM(E49*2/100)</f>
        <v>0.3</v>
      </c>
      <c r="G49" s="13">
        <v>2730.49</v>
      </c>
      <c r="H49" s="95">
        <f t="shared" si="7"/>
        <v>0.81914699999999996</v>
      </c>
      <c r="I49" s="13">
        <f t="shared" ref="I49:I50" si="9">F49/2*G49</f>
        <v>409.57349999999997</v>
      </c>
      <c r="J49" s="25"/>
    </row>
    <row r="50" spans="1:14" ht="15.75" hidden="1" customHeight="1">
      <c r="A50" s="41">
        <v>16</v>
      </c>
      <c r="B50" s="91" t="s">
        <v>39</v>
      </c>
      <c r="C50" s="92" t="s">
        <v>40</v>
      </c>
      <c r="D50" s="91" t="s">
        <v>42</v>
      </c>
      <c r="E50" s="93">
        <v>1</v>
      </c>
      <c r="F50" s="94">
        <v>0.02</v>
      </c>
      <c r="G50" s="13">
        <v>5322.15</v>
      </c>
      <c r="H50" s="95">
        <f t="shared" si="7"/>
        <v>0.106443</v>
      </c>
      <c r="I50" s="13">
        <f t="shared" si="9"/>
        <v>53.221499999999999</v>
      </c>
      <c r="J50" s="25"/>
      <c r="L50" s="21"/>
      <c r="M50" s="22"/>
      <c r="N50" s="23"/>
    </row>
    <row r="51" spans="1:14" ht="15.75" hidden="1" customHeight="1">
      <c r="A51" s="41">
        <v>11</v>
      </c>
      <c r="B51" s="91" t="s">
        <v>41</v>
      </c>
      <c r="C51" s="92" t="s">
        <v>85</v>
      </c>
      <c r="D51" s="91" t="s">
        <v>71</v>
      </c>
      <c r="E51" s="93">
        <v>90</v>
      </c>
      <c r="F51" s="94">
        <f>SUM(E51)*3</f>
        <v>270</v>
      </c>
      <c r="G51" s="13">
        <v>65.67</v>
      </c>
      <c r="H51" s="95">
        <f t="shared" si="7"/>
        <v>17.730900000000002</v>
      </c>
      <c r="I51" s="13">
        <f>E51*G51</f>
        <v>5910.3</v>
      </c>
      <c r="J51" s="25"/>
      <c r="L51" s="21"/>
      <c r="M51" s="22"/>
      <c r="N51" s="23"/>
    </row>
    <row r="52" spans="1:14" ht="15.75" customHeight="1">
      <c r="A52" s="201" t="s">
        <v>132</v>
      </c>
      <c r="B52" s="202"/>
      <c r="C52" s="202"/>
      <c r="D52" s="202"/>
      <c r="E52" s="202"/>
      <c r="F52" s="202"/>
      <c r="G52" s="202"/>
      <c r="H52" s="202"/>
      <c r="I52" s="203"/>
      <c r="J52" s="25"/>
      <c r="L52" s="21"/>
      <c r="M52" s="22"/>
      <c r="N52" s="23"/>
    </row>
    <row r="53" spans="1:14" ht="15.75" hidden="1" customHeight="1">
      <c r="A53" s="53"/>
      <c r="B53" s="48" t="s">
        <v>43</v>
      </c>
      <c r="C53" s="17"/>
      <c r="D53" s="16"/>
      <c r="E53" s="16"/>
      <c r="F53" s="16"/>
      <c r="G53" s="31"/>
      <c r="H53" s="31"/>
      <c r="I53" s="19"/>
      <c r="J53" s="25"/>
      <c r="L53" s="21"/>
      <c r="M53" s="22"/>
      <c r="N53" s="23"/>
    </row>
    <row r="54" spans="1:14" ht="31.5" hidden="1" customHeight="1">
      <c r="A54" s="41">
        <v>14</v>
      </c>
      <c r="B54" s="91" t="s">
        <v>109</v>
      </c>
      <c r="C54" s="92" t="s">
        <v>88</v>
      </c>
      <c r="D54" s="91" t="s">
        <v>110</v>
      </c>
      <c r="E54" s="93">
        <v>96.58</v>
      </c>
      <c r="F54" s="94">
        <f>SUM(E54*6/100)</f>
        <v>5.7948000000000004</v>
      </c>
      <c r="G54" s="13">
        <v>1547.28</v>
      </c>
      <c r="H54" s="95">
        <f>SUM(F54*G54/1000)</f>
        <v>8.9661781440000006</v>
      </c>
      <c r="I54" s="13">
        <f>F54/6*G54</f>
        <v>1494.3630240000002</v>
      </c>
      <c r="J54" s="25"/>
      <c r="L54" s="21"/>
      <c r="M54" s="22"/>
      <c r="N54" s="23"/>
    </row>
    <row r="55" spans="1:14" ht="15.75" customHeight="1">
      <c r="A55" s="41"/>
      <c r="B55" s="67" t="s">
        <v>44</v>
      </c>
      <c r="C55" s="40"/>
      <c r="D55" s="34"/>
      <c r="E55" s="19"/>
      <c r="F55" s="85"/>
      <c r="G55" s="37"/>
      <c r="H55" s="68"/>
      <c r="I55" s="20"/>
      <c r="J55" s="25"/>
      <c r="L55" s="21"/>
      <c r="M55" s="22"/>
      <c r="N55" s="23"/>
    </row>
    <row r="56" spans="1:14" ht="15.75" hidden="1" customHeight="1">
      <c r="A56" s="41"/>
      <c r="B56" s="91" t="s">
        <v>45</v>
      </c>
      <c r="C56" s="92" t="s">
        <v>88</v>
      </c>
      <c r="D56" s="91" t="s">
        <v>54</v>
      </c>
      <c r="E56" s="93">
        <v>855.9</v>
      </c>
      <c r="F56" s="95">
        <v>8.6</v>
      </c>
      <c r="G56" s="13">
        <v>747.3</v>
      </c>
      <c r="H56" s="99">
        <v>6.4</v>
      </c>
      <c r="I56" s="13">
        <v>0</v>
      </c>
      <c r="J56" s="25"/>
      <c r="L56" s="21"/>
      <c r="M56" s="22"/>
      <c r="N56" s="23"/>
    </row>
    <row r="57" spans="1:14" ht="15.75" customHeight="1">
      <c r="A57" s="41">
        <v>15</v>
      </c>
      <c r="B57" s="91" t="s">
        <v>86</v>
      </c>
      <c r="C57" s="92" t="s">
        <v>25</v>
      </c>
      <c r="D57" s="91" t="s">
        <v>165</v>
      </c>
      <c r="E57" s="93">
        <v>256</v>
      </c>
      <c r="F57" s="95">
        <f>E57*12</f>
        <v>3072</v>
      </c>
      <c r="G57" s="13">
        <v>1.4</v>
      </c>
      <c r="H57" s="99">
        <f>F57*G57/1000</f>
        <v>4.3007999999999988</v>
      </c>
      <c r="I57" s="13">
        <f>1560/12*G57</f>
        <v>182</v>
      </c>
      <c r="J57" s="25"/>
      <c r="L57" s="21"/>
      <c r="M57" s="22"/>
      <c r="N57" s="23"/>
    </row>
    <row r="58" spans="1:14" ht="15.75" customHeight="1">
      <c r="A58" s="41"/>
      <c r="B58" s="75" t="s">
        <v>46</v>
      </c>
      <c r="C58" s="17"/>
      <c r="D58" s="16"/>
      <c r="E58" s="16"/>
      <c r="F58" s="86"/>
      <c r="G58" s="65"/>
      <c r="H58" s="68"/>
      <c r="I58" s="19"/>
      <c r="J58" s="25"/>
      <c r="L58" s="21"/>
      <c r="M58" s="22"/>
      <c r="N58" s="23"/>
    </row>
    <row r="59" spans="1:14" ht="15.75" customHeight="1">
      <c r="A59" s="41">
        <v>16</v>
      </c>
      <c r="B59" s="15" t="s">
        <v>47</v>
      </c>
      <c r="C59" s="17" t="s">
        <v>85</v>
      </c>
      <c r="D59" s="91" t="s">
        <v>165</v>
      </c>
      <c r="E59" s="19">
        <v>10</v>
      </c>
      <c r="F59" s="94">
        <v>10</v>
      </c>
      <c r="G59" s="135">
        <v>331.57</v>
      </c>
      <c r="H59" s="101">
        <f t="shared" ref="H59:H66" si="10">SUM(F59*G59/1000)</f>
        <v>3.3156999999999996</v>
      </c>
      <c r="I59" s="13">
        <f>G59*1</f>
        <v>331.57</v>
      </c>
      <c r="J59" s="25"/>
      <c r="L59" s="21"/>
      <c r="M59" s="22"/>
      <c r="N59" s="23"/>
    </row>
    <row r="60" spans="1:14" ht="15.75" hidden="1" customHeight="1">
      <c r="A60" s="31">
        <v>29</v>
      </c>
      <c r="B60" s="15" t="s">
        <v>48</v>
      </c>
      <c r="C60" s="17" t="s">
        <v>85</v>
      </c>
      <c r="D60" s="91" t="s">
        <v>65</v>
      </c>
      <c r="E60" s="19">
        <v>5</v>
      </c>
      <c r="F60" s="94">
        <v>5</v>
      </c>
      <c r="G60" s="13">
        <v>75.25</v>
      </c>
      <c r="H60" s="101">
        <f t="shared" si="10"/>
        <v>0.37624999999999997</v>
      </c>
      <c r="I60" s="13">
        <v>0</v>
      </c>
      <c r="J60" s="25"/>
      <c r="L60" s="21"/>
      <c r="M60" s="22"/>
      <c r="N60" s="23"/>
    </row>
    <row r="61" spans="1:14" ht="15.75" customHeight="1">
      <c r="A61" s="31">
        <v>17</v>
      </c>
      <c r="B61" s="130" t="s">
        <v>49</v>
      </c>
      <c r="C61" s="172" t="s">
        <v>111</v>
      </c>
      <c r="D61" s="121"/>
      <c r="E61" s="123">
        <v>13018</v>
      </c>
      <c r="F61" s="173">
        <f>SUM(E61/100)</f>
        <v>130.18</v>
      </c>
      <c r="G61" s="37">
        <v>316.3</v>
      </c>
      <c r="H61" s="101">
        <f t="shared" si="10"/>
        <v>41.175933999999998</v>
      </c>
      <c r="I61" s="13">
        <f>F61*G61</f>
        <v>41175.934000000001</v>
      </c>
      <c r="J61" s="25"/>
      <c r="L61" s="21"/>
      <c r="M61" s="22"/>
      <c r="N61" s="23"/>
    </row>
    <row r="62" spans="1:14" ht="15.75" customHeight="1">
      <c r="A62" s="31">
        <v>18</v>
      </c>
      <c r="B62" s="130" t="s">
        <v>50</v>
      </c>
      <c r="C62" s="38" t="s">
        <v>112</v>
      </c>
      <c r="D62" s="121"/>
      <c r="E62" s="123">
        <v>13018</v>
      </c>
      <c r="F62" s="37">
        <f>SUM(E62/1000)</f>
        <v>13.018000000000001</v>
      </c>
      <c r="G62" s="37">
        <v>246.31</v>
      </c>
      <c r="H62" s="101">
        <f t="shared" si="10"/>
        <v>3.2064635800000003</v>
      </c>
      <c r="I62" s="13">
        <f t="shared" ref="I62:I66" si="11">F62*G62</f>
        <v>3206.4635800000001</v>
      </c>
      <c r="J62" s="25"/>
      <c r="L62" s="21"/>
      <c r="M62" s="22"/>
      <c r="N62" s="23"/>
    </row>
    <row r="63" spans="1:14" ht="15.75" customHeight="1">
      <c r="A63" s="31">
        <v>19</v>
      </c>
      <c r="B63" s="130" t="s">
        <v>51</v>
      </c>
      <c r="C63" s="38" t="s">
        <v>76</v>
      </c>
      <c r="D63" s="121"/>
      <c r="E63" s="123">
        <v>1279</v>
      </c>
      <c r="F63" s="37">
        <f>SUM(E63/100)</f>
        <v>12.79</v>
      </c>
      <c r="G63" s="37">
        <v>3093.06</v>
      </c>
      <c r="H63" s="101">
        <f t="shared" si="10"/>
        <v>39.560237399999998</v>
      </c>
      <c r="I63" s="13">
        <f t="shared" si="11"/>
        <v>39560.237399999998</v>
      </c>
      <c r="J63" s="25"/>
      <c r="L63" s="21"/>
      <c r="M63" s="22"/>
      <c r="N63" s="23"/>
    </row>
    <row r="64" spans="1:14" ht="15.75" customHeight="1">
      <c r="A64" s="31">
        <v>20</v>
      </c>
      <c r="B64" s="174" t="s">
        <v>113</v>
      </c>
      <c r="C64" s="38" t="s">
        <v>32</v>
      </c>
      <c r="D64" s="121"/>
      <c r="E64" s="123">
        <v>7.5</v>
      </c>
      <c r="F64" s="37">
        <f>SUM(E64)</f>
        <v>7.5</v>
      </c>
      <c r="G64" s="37">
        <v>49.36</v>
      </c>
      <c r="H64" s="101">
        <f t="shared" si="10"/>
        <v>0.37019999999999997</v>
      </c>
      <c r="I64" s="13">
        <f t="shared" si="11"/>
        <v>370.2</v>
      </c>
      <c r="J64" s="25"/>
      <c r="L64" s="21"/>
      <c r="M64" s="22"/>
      <c r="N64" s="23"/>
    </row>
    <row r="65" spans="1:14" ht="15.75" customHeight="1">
      <c r="A65" s="31">
        <v>21</v>
      </c>
      <c r="B65" s="174" t="s">
        <v>114</v>
      </c>
      <c r="C65" s="38" t="s">
        <v>32</v>
      </c>
      <c r="D65" s="121"/>
      <c r="E65" s="123">
        <v>7.5</v>
      </c>
      <c r="F65" s="37">
        <f>SUM(E65)</f>
        <v>7.5</v>
      </c>
      <c r="G65" s="37">
        <v>56.66</v>
      </c>
      <c r="H65" s="101">
        <f t="shared" si="10"/>
        <v>0.42494999999999999</v>
      </c>
      <c r="I65" s="13">
        <f t="shared" si="11"/>
        <v>424.95</v>
      </c>
      <c r="J65" s="25"/>
      <c r="L65" s="21"/>
      <c r="M65" s="22"/>
      <c r="N65" s="23"/>
    </row>
    <row r="66" spans="1:14" ht="15.75" hidden="1" customHeight="1">
      <c r="A66" s="31">
        <v>13</v>
      </c>
      <c r="B66" s="15" t="s">
        <v>57</v>
      </c>
      <c r="C66" s="17" t="s">
        <v>58</v>
      </c>
      <c r="D66" s="15" t="s">
        <v>54</v>
      </c>
      <c r="E66" s="19">
        <v>1</v>
      </c>
      <c r="F66" s="94">
        <f>SUM(E66)</f>
        <v>1</v>
      </c>
      <c r="G66" s="13">
        <v>49.88</v>
      </c>
      <c r="H66" s="101">
        <f t="shared" si="10"/>
        <v>4.9880000000000001E-2</v>
      </c>
      <c r="I66" s="13">
        <f t="shared" si="11"/>
        <v>49.88</v>
      </c>
      <c r="J66" s="25"/>
      <c r="L66" s="21"/>
      <c r="M66" s="22"/>
      <c r="N66" s="23"/>
    </row>
    <row r="67" spans="1:14" ht="15.75" hidden="1" customHeight="1">
      <c r="A67" s="53"/>
      <c r="B67" s="75" t="s">
        <v>115</v>
      </c>
      <c r="C67" s="75"/>
      <c r="D67" s="75"/>
      <c r="E67" s="75"/>
      <c r="F67" s="75"/>
      <c r="G67" s="75"/>
      <c r="H67" s="75"/>
      <c r="I67" s="19"/>
      <c r="J67" s="25"/>
      <c r="L67" s="21"/>
      <c r="M67" s="22"/>
      <c r="N67" s="23"/>
    </row>
    <row r="68" spans="1:14" ht="15.75" hidden="1" customHeight="1">
      <c r="A68" s="31">
        <v>16</v>
      </c>
      <c r="B68" s="145" t="s">
        <v>116</v>
      </c>
      <c r="C68" s="17"/>
      <c r="D68" s="15"/>
      <c r="E68" s="85"/>
      <c r="F68" s="13">
        <v>1</v>
      </c>
      <c r="G68" s="13">
        <v>10041.700000000001</v>
      </c>
      <c r="H68" s="101">
        <f>G68*F68/1000</f>
        <v>10.041700000000001</v>
      </c>
      <c r="I68" s="13">
        <f>G68</f>
        <v>10041.700000000001</v>
      </c>
      <c r="J68" s="25"/>
      <c r="L68" s="21"/>
      <c r="M68" s="22"/>
      <c r="N68" s="23"/>
    </row>
    <row r="69" spans="1:14" ht="15.75" customHeight="1">
      <c r="A69" s="31"/>
      <c r="B69" s="144" t="s">
        <v>174</v>
      </c>
      <c r="C69" s="38"/>
      <c r="D69" s="121"/>
      <c r="E69" s="18"/>
      <c r="F69" s="68"/>
      <c r="G69" s="37"/>
      <c r="H69" s="137"/>
      <c r="I69" s="138"/>
      <c r="J69" s="25"/>
      <c r="L69" s="21"/>
      <c r="M69" s="22"/>
      <c r="N69" s="23"/>
    </row>
    <row r="70" spans="1:14" ht="30.75" customHeight="1">
      <c r="A70" s="31">
        <v>22</v>
      </c>
      <c r="B70" s="121" t="s">
        <v>175</v>
      </c>
      <c r="C70" s="41" t="s">
        <v>176</v>
      </c>
      <c r="D70" s="121"/>
      <c r="E70" s="18">
        <v>2581.1999999999998</v>
      </c>
      <c r="F70" s="37">
        <f>E70*12</f>
        <v>30974.399999999998</v>
      </c>
      <c r="G70" s="37">
        <v>2.6</v>
      </c>
      <c r="H70" s="137"/>
      <c r="I70" s="138">
        <f>G70*F70/12</f>
        <v>6711.12</v>
      </c>
      <c r="J70" s="25"/>
      <c r="L70" s="21"/>
      <c r="M70" s="22"/>
      <c r="N70" s="23"/>
    </row>
    <row r="71" spans="1:14" ht="15.75" customHeight="1">
      <c r="A71" s="31"/>
      <c r="B71" s="49" t="s">
        <v>72</v>
      </c>
      <c r="C71" s="49"/>
      <c r="D71" s="49"/>
      <c r="E71" s="19"/>
      <c r="F71" s="19"/>
      <c r="G71" s="31"/>
      <c r="H71" s="31"/>
      <c r="I71" s="19"/>
      <c r="J71" s="25"/>
      <c r="L71" s="21"/>
      <c r="M71" s="22"/>
      <c r="N71" s="23"/>
    </row>
    <row r="72" spans="1:14" ht="14.25" customHeight="1">
      <c r="A72" s="31">
        <v>23</v>
      </c>
      <c r="B72" s="15" t="s">
        <v>73</v>
      </c>
      <c r="C72" s="17" t="s">
        <v>74</v>
      </c>
      <c r="D72" s="15" t="s">
        <v>218</v>
      </c>
      <c r="E72" s="19">
        <v>5</v>
      </c>
      <c r="F72" s="13">
        <v>0.5</v>
      </c>
      <c r="G72" s="135">
        <v>747.85</v>
      </c>
      <c r="H72" s="101">
        <f t="shared" ref="H72:H73" si="12">SUM(F72*G72/1000)</f>
        <v>0.37392500000000001</v>
      </c>
      <c r="I72" s="13">
        <f>G72*0.1</f>
        <v>74.785000000000011</v>
      </c>
      <c r="J72" s="25"/>
      <c r="L72" s="21"/>
      <c r="M72" s="22"/>
      <c r="N72" s="23"/>
    </row>
    <row r="73" spans="1:14" ht="15.75" hidden="1" customHeight="1">
      <c r="A73" s="31"/>
      <c r="B73" s="15" t="s">
        <v>128</v>
      </c>
      <c r="C73" s="17" t="s">
        <v>85</v>
      </c>
      <c r="D73" s="15"/>
      <c r="E73" s="19">
        <v>1</v>
      </c>
      <c r="F73" s="84">
        <f>E73</f>
        <v>1</v>
      </c>
      <c r="G73" s="13">
        <v>852.99</v>
      </c>
      <c r="H73" s="101">
        <f t="shared" si="12"/>
        <v>0.85299000000000003</v>
      </c>
      <c r="I73" s="13">
        <v>0</v>
      </c>
      <c r="J73" s="25"/>
      <c r="L73" s="21"/>
      <c r="M73" s="22"/>
      <c r="N73" s="23"/>
    </row>
    <row r="74" spans="1:14" ht="15.75" customHeight="1">
      <c r="A74" s="31">
        <v>24</v>
      </c>
      <c r="B74" s="121" t="s">
        <v>194</v>
      </c>
      <c r="C74" s="38" t="s">
        <v>85</v>
      </c>
      <c r="D74" s="121" t="s">
        <v>164</v>
      </c>
      <c r="E74" s="18">
        <v>2</v>
      </c>
      <c r="F74" s="68">
        <f>E74*12</f>
        <v>24</v>
      </c>
      <c r="G74" s="37">
        <v>420</v>
      </c>
      <c r="H74" s="101"/>
      <c r="I74" s="13">
        <f>G74*2</f>
        <v>840</v>
      </c>
      <c r="J74" s="25"/>
      <c r="L74" s="21"/>
      <c r="M74" s="22"/>
      <c r="N74" s="23"/>
    </row>
    <row r="75" spans="1:14" ht="15.75" hidden="1" customHeight="1">
      <c r="A75" s="31"/>
      <c r="B75" s="50" t="s">
        <v>75</v>
      </c>
      <c r="C75" s="38"/>
      <c r="D75" s="31"/>
      <c r="E75" s="19"/>
      <c r="F75" s="19"/>
      <c r="G75" s="37" t="s">
        <v>117</v>
      </c>
      <c r="H75" s="37"/>
      <c r="I75" s="19"/>
      <c r="J75" s="25"/>
      <c r="L75" s="21"/>
      <c r="M75" s="22"/>
      <c r="N75" s="23"/>
    </row>
    <row r="76" spans="1:14" ht="15.75" hidden="1" customHeight="1">
      <c r="A76" s="31">
        <v>12</v>
      </c>
      <c r="B76" s="52" t="s">
        <v>118</v>
      </c>
      <c r="C76" s="17" t="s">
        <v>76</v>
      </c>
      <c r="D76" s="15"/>
      <c r="E76" s="19"/>
      <c r="F76" s="13">
        <v>0.3</v>
      </c>
      <c r="G76" s="13">
        <v>2759.44</v>
      </c>
      <c r="H76" s="101">
        <f t="shared" ref="H76" si="13">SUM(F76*G76/1000)</f>
        <v>0.82783200000000001</v>
      </c>
      <c r="I76" s="13">
        <v>0</v>
      </c>
      <c r="J76" s="25"/>
      <c r="L76" s="21"/>
      <c r="M76" s="22"/>
      <c r="N76" s="23"/>
    </row>
    <row r="77" spans="1:14" ht="15.75" customHeight="1">
      <c r="A77" s="205" t="s">
        <v>133</v>
      </c>
      <c r="B77" s="206"/>
      <c r="C77" s="206"/>
      <c r="D77" s="206"/>
      <c r="E77" s="206"/>
      <c r="F77" s="206"/>
      <c r="G77" s="206"/>
      <c r="H77" s="206"/>
      <c r="I77" s="207"/>
      <c r="J77" s="25"/>
      <c r="L77" s="21"/>
      <c r="M77" s="22"/>
      <c r="N77" s="23"/>
    </row>
    <row r="78" spans="1:14" ht="15.75" customHeight="1">
      <c r="A78" s="31">
        <v>25</v>
      </c>
      <c r="B78" s="121" t="s">
        <v>119</v>
      </c>
      <c r="C78" s="38" t="s">
        <v>55</v>
      </c>
      <c r="D78" s="169"/>
      <c r="E78" s="37">
        <v>2581.1999999999998</v>
      </c>
      <c r="F78" s="37">
        <f>SUM(E78*12)</f>
        <v>30974.399999999998</v>
      </c>
      <c r="G78" s="37">
        <v>3.5</v>
      </c>
      <c r="H78" s="164">
        <f>SUM(F78*G78/1000)</f>
        <v>108.4104</v>
      </c>
      <c r="I78" s="13">
        <f>F78/12*G78</f>
        <v>9034.1999999999989</v>
      </c>
      <c r="J78" s="25"/>
      <c r="L78" s="21"/>
    </row>
    <row r="79" spans="1:14" ht="31.5" customHeight="1">
      <c r="A79" s="31">
        <v>26</v>
      </c>
      <c r="B79" s="166" t="s">
        <v>195</v>
      </c>
      <c r="C79" s="159" t="s">
        <v>55</v>
      </c>
      <c r="D79" s="167"/>
      <c r="E79" s="168">
        <f>E78</f>
        <v>2581.1999999999998</v>
      </c>
      <c r="F79" s="161">
        <f>E79*12</f>
        <v>30974.399999999998</v>
      </c>
      <c r="G79" s="161">
        <v>3.2</v>
      </c>
      <c r="H79" s="101">
        <f>F79*G79/1000</f>
        <v>99.118080000000006</v>
      </c>
      <c r="I79" s="13">
        <f>F79/12*G79</f>
        <v>8259.84</v>
      </c>
    </row>
    <row r="80" spans="1:14" ht="15.75" customHeight="1">
      <c r="A80" s="53"/>
      <c r="B80" s="39" t="s">
        <v>79</v>
      </c>
      <c r="C80" s="41"/>
      <c r="D80" s="16"/>
      <c r="E80" s="16"/>
      <c r="F80" s="16"/>
      <c r="G80" s="19"/>
      <c r="H80" s="19"/>
      <c r="I80" s="33">
        <f>I79+I78+I74+I72+I70+I65+I64+I63+I62+I61+I59+I57+I31+I30+I27+I26+I25+I24+I23+I22+I21+I20+I19+I18+I17+I16</f>
        <v>122992.42083200003</v>
      </c>
    </row>
    <row r="81" spans="1:22" ht="15.75" customHeight="1">
      <c r="A81" s="208" t="s">
        <v>60</v>
      </c>
      <c r="B81" s="209"/>
      <c r="C81" s="209"/>
      <c r="D81" s="209"/>
      <c r="E81" s="209"/>
      <c r="F81" s="209"/>
      <c r="G81" s="209"/>
      <c r="H81" s="209"/>
      <c r="I81" s="210"/>
    </row>
    <row r="82" spans="1:22" ht="15.75" customHeight="1">
      <c r="A82" s="31">
        <v>27</v>
      </c>
      <c r="B82" s="121" t="s">
        <v>212</v>
      </c>
      <c r="C82" s="38" t="s">
        <v>85</v>
      </c>
      <c r="D82" s="66"/>
      <c r="E82" s="37"/>
      <c r="F82" s="37">
        <v>3</v>
      </c>
      <c r="G82" s="37">
        <v>2882.34</v>
      </c>
      <c r="H82" s="101" t="e">
        <f>#REF!*#REF!/1000</f>
        <v>#REF!</v>
      </c>
      <c r="I82" s="13">
        <f>G82*3</f>
        <v>8647.02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9"/>
    </row>
    <row r="83" spans="1:22" ht="18.75" customHeight="1">
      <c r="A83" s="31">
        <v>28</v>
      </c>
      <c r="B83" s="121" t="s">
        <v>213</v>
      </c>
      <c r="C83" s="38" t="s">
        <v>25</v>
      </c>
      <c r="D83" s="66" t="s">
        <v>220</v>
      </c>
      <c r="E83" s="37"/>
      <c r="F83" s="37">
        <v>3</v>
      </c>
      <c r="G83" s="37">
        <v>1044.72</v>
      </c>
      <c r="H83" s="101">
        <f t="shared" ref="H83" si="14">G83*F83/1000</f>
        <v>3.1341600000000001</v>
      </c>
      <c r="I83" s="13">
        <f>G83*3</f>
        <v>3134.16</v>
      </c>
      <c r="J83" s="27"/>
      <c r="K83" s="27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2" ht="15.75" customHeight="1">
      <c r="A84" s="31">
        <v>29</v>
      </c>
      <c r="B84" s="121" t="s">
        <v>214</v>
      </c>
      <c r="C84" s="38" t="s">
        <v>177</v>
      </c>
      <c r="D84" s="66"/>
      <c r="E84" s="37"/>
      <c r="F84" s="37">
        <v>1</v>
      </c>
      <c r="G84" s="37">
        <v>24137</v>
      </c>
      <c r="H84" s="101"/>
      <c r="I84" s="13">
        <f>G84*1</f>
        <v>24137</v>
      </c>
      <c r="J84" s="27"/>
      <c r="K84" s="27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2" ht="15.75" customHeight="1">
      <c r="A85" s="31">
        <v>30</v>
      </c>
      <c r="B85" s="119" t="s">
        <v>215</v>
      </c>
      <c r="C85" s="120" t="s">
        <v>25</v>
      </c>
      <c r="D85" s="66" t="s">
        <v>219</v>
      </c>
      <c r="E85" s="37"/>
      <c r="F85" s="37">
        <v>4</v>
      </c>
      <c r="G85" s="37">
        <v>1044.72</v>
      </c>
      <c r="H85" s="101"/>
      <c r="I85" s="13">
        <f>G85*4</f>
        <v>4178.88</v>
      </c>
      <c r="J85" s="27"/>
      <c r="K85" s="27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2" ht="33.75" customHeight="1">
      <c r="A86" s="31">
        <v>31</v>
      </c>
      <c r="B86" s="119" t="s">
        <v>216</v>
      </c>
      <c r="C86" s="120" t="s">
        <v>159</v>
      </c>
      <c r="D86" s="66" t="s">
        <v>217</v>
      </c>
      <c r="E86" s="37"/>
      <c r="F86" s="37">
        <v>1</v>
      </c>
      <c r="G86" s="37">
        <v>1523.6</v>
      </c>
      <c r="H86" s="101"/>
      <c r="I86" s="13">
        <f>G86*1</f>
        <v>1523.6</v>
      </c>
      <c r="J86" s="27"/>
      <c r="K86" s="27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2" ht="19.5" customHeight="1">
      <c r="A87" s="31">
        <v>32</v>
      </c>
      <c r="B87" s="175" t="s">
        <v>226</v>
      </c>
      <c r="C87" s="176" t="s">
        <v>74</v>
      </c>
      <c r="D87" s="66" t="s">
        <v>227</v>
      </c>
      <c r="E87" s="37"/>
      <c r="F87" s="37"/>
      <c r="G87" s="37">
        <v>4048.67</v>
      </c>
      <c r="H87" s="101"/>
      <c r="I87" s="13">
        <f>G87*0.1</f>
        <v>404.86700000000002</v>
      </c>
      <c r="J87" s="27"/>
      <c r="K87" s="27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2" ht="19.5" customHeight="1">
      <c r="A88" s="31">
        <v>33</v>
      </c>
      <c r="B88" s="119" t="s">
        <v>283</v>
      </c>
      <c r="C88" s="120" t="s">
        <v>40</v>
      </c>
      <c r="D88" s="66" t="s">
        <v>163</v>
      </c>
      <c r="E88" s="37"/>
      <c r="F88" s="37">
        <v>0.02</v>
      </c>
      <c r="G88" s="37">
        <v>27139.18</v>
      </c>
      <c r="H88" s="101"/>
      <c r="I88" s="13">
        <v>0</v>
      </c>
      <c r="J88" s="27"/>
      <c r="K88" s="27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2" ht="19.5" customHeight="1">
      <c r="A89" s="31">
        <v>34</v>
      </c>
      <c r="B89" s="119" t="s">
        <v>284</v>
      </c>
      <c r="C89" s="120" t="s">
        <v>282</v>
      </c>
      <c r="D89" s="66" t="s">
        <v>286</v>
      </c>
      <c r="E89" s="37"/>
      <c r="F89" s="37">
        <v>4</v>
      </c>
      <c r="G89" s="37">
        <v>222.63</v>
      </c>
      <c r="H89" s="101"/>
      <c r="I89" s="13">
        <v>0</v>
      </c>
      <c r="J89" s="27"/>
      <c r="K89" s="27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2" ht="34.5" customHeight="1">
      <c r="A90" s="31">
        <v>35</v>
      </c>
      <c r="B90" s="119" t="s">
        <v>285</v>
      </c>
      <c r="C90" s="120" t="s">
        <v>38</v>
      </c>
      <c r="D90" s="66" t="s">
        <v>165</v>
      </c>
      <c r="E90" s="37"/>
      <c r="F90" s="37">
        <v>0.02</v>
      </c>
      <c r="G90" s="37">
        <v>4070.89</v>
      </c>
      <c r="H90" s="101"/>
      <c r="I90" s="13">
        <v>0</v>
      </c>
      <c r="J90" s="27"/>
      <c r="K90" s="27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2" ht="15.75" customHeight="1">
      <c r="A91" s="31"/>
      <c r="B91" s="46" t="s">
        <v>52</v>
      </c>
      <c r="C91" s="42"/>
      <c r="D91" s="54"/>
      <c r="E91" s="42">
        <v>1</v>
      </c>
      <c r="F91" s="42"/>
      <c r="G91" s="42"/>
      <c r="H91" s="42"/>
      <c r="I91" s="33">
        <f>SUM(I82:I87)</f>
        <v>42025.526999999995</v>
      </c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</row>
    <row r="92" spans="1:22" ht="15.75" customHeight="1">
      <c r="A92" s="31"/>
      <c r="B92" s="52" t="s">
        <v>78</v>
      </c>
      <c r="C92" s="16"/>
      <c r="D92" s="16"/>
      <c r="E92" s="43"/>
      <c r="F92" s="43"/>
      <c r="G92" s="44"/>
      <c r="H92" s="44"/>
      <c r="I92" s="18">
        <v>0</v>
      </c>
    </row>
    <row r="93" spans="1:22" ht="15.75" customHeight="1">
      <c r="A93" s="55"/>
      <c r="B93" s="47" t="s">
        <v>136</v>
      </c>
      <c r="C93" s="36"/>
      <c r="D93" s="36"/>
      <c r="E93" s="36"/>
      <c r="F93" s="36"/>
      <c r="G93" s="36"/>
      <c r="H93" s="36"/>
      <c r="I93" s="45">
        <f>I80+I91</f>
        <v>165017.94783200003</v>
      </c>
    </row>
    <row r="94" spans="1:22" ht="15.75" customHeight="1">
      <c r="A94" s="204" t="s">
        <v>273</v>
      </c>
      <c r="B94" s="204"/>
      <c r="C94" s="204"/>
      <c r="D94" s="204"/>
      <c r="E94" s="204"/>
      <c r="F94" s="204"/>
      <c r="G94" s="204"/>
      <c r="H94" s="204"/>
      <c r="I94" s="204"/>
    </row>
    <row r="95" spans="1:22" ht="15.75" customHeight="1">
      <c r="A95" s="77"/>
      <c r="B95" s="185" t="s">
        <v>274</v>
      </c>
      <c r="C95" s="185"/>
      <c r="D95" s="185"/>
      <c r="E95" s="185"/>
      <c r="F95" s="185"/>
      <c r="G95" s="185"/>
      <c r="H95" s="89"/>
      <c r="I95" s="3"/>
    </row>
    <row r="96" spans="1:22" ht="15.75" customHeight="1">
      <c r="A96" s="70"/>
      <c r="B96" s="186" t="s">
        <v>6</v>
      </c>
      <c r="C96" s="186"/>
      <c r="D96" s="186"/>
      <c r="E96" s="186"/>
      <c r="F96" s="186"/>
      <c r="G96" s="186"/>
      <c r="H96" s="26"/>
      <c r="I96" s="5"/>
    </row>
    <row r="97" spans="1:9" ht="15.75" customHeight="1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 customHeight="1">
      <c r="A98" s="187" t="s">
        <v>7</v>
      </c>
      <c r="B98" s="187"/>
      <c r="C98" s="187"/>
      <c r="D98" s="187"/>
      <c r="E98" s="187"/>
      <c r="F98" s="187"/>
      <c r="G98" s="187"/>
      <c r="H98" s="187"/>
      <c r="I98" s="187"/>
    </row>
    <row r="99" spans="1:9" ht="15.75" customHeight="1">
      <c r="A99" s="187" t="s">
        <v>8</v>
      </c>
      <c r="B99" s="187"/>
      <c r="C99" s="187"/>
      <c r="D99" s="187"/>
      <c r="E99" s="187"/>
      <c r="F99" s="187"/>
      <c r="G99" s="187"/>
      <c r="H99" s="187"/>
      <c r="I99" s="187"/>
    </row>
    <row r="100" spans="1:9" ht="15.75" customHeight="1">
      <c r="A100" s="190" t="s">
        <v>61</v>
      </c>
      <c r="B100" s="190"/>
      <c r="C100" s="190"/>
      <c r="D100" s="190"/>
      <c r="E100" s="190"/>
      <c r="F100" s="190"/>
      <c r="G100" s="190"/>
      <c r="H100" s="190"/>
      <c r="I100" s="190"/>
    </row>
    <row r="101" spans="1:9" ht="15.75" customHeight="1">
      <c r="A101" s="11"/>
    </row>
    <row r="102" spans="1:9" ht="15.75" customHeight="1">
      <c r="A102" s="191" t="s">
        <v>9</v>
      </c>
      <c r="B102" s="191"/>
      <c r="C102" s="191"/>
      <c r="D102" s="191"/>
      <c r="E102" s="191"/>
      <c r="F102" s="191"/>
      <c r="G102" s="191"/>
      <c r="H102" s="191"/>
      <c r="I102" s="191"/>
    </row>
    <row r="103" spans="1:9" ht="15.75" customHeight="1">
      <c r="A103" s="4"/>
    </row>
    <row r="104" spans="1:9" ht="15.75" customHeight="1">
      <c r="B104" s="73" t="s">
        <v>10</v>
      </c>
      <c r="C104" s="192" t="s">
        <v>84</v>
      </c>
      <c r="D104" s="192"/>
      <c r="E104" s="192"/>
      <c r="F104" s="87"/>
      <c r="I104" s="72"/>
    </row>
    <row r="105" spans="1:9" ht="15.75" customHeight="1">
      <c r="A105" s="70"/>
      <c r="C105" s="186" t="s">
        <v>11</v>
      </c>
      <c r="D105" s="186"/>
      <c r="E105" s="186"/>
      <c r="F105" s="26"/>
      <c r="I105" s="71" t="s">
        <v>12</v>
      </c>
    </row>
    <row r="106" spans="1:9" ht="15.75" customHeight="1">
      <c r="A106" s="27"/>
      <c r="C106" s="12"/>
      <c r="D106" s="12"/>
      <c r="G106" s="12"/>
      <c r="H106" s="12"/>
    </row>
    <row r="107" spans="1:9" ht="15.75" customHeight="1">
      <c r="B107" s="73" t="s">
        <v>13</v>
      </c>
      <c r="C107" s="193"/>
      <c r="D107" s="193"/>
      <c r="E107" s="193"/>
      <c r="F107" s="88"/>
      <c r="I107" s="72"/>
    </row>
    <row r="108" spans="1:9" ht="15.75" customHeight="1">
      <c r="A108" s="70"/>
      <c r="C108" s="189" t="s">
        <v>11</v>
      </c>
      <c r="D108" s="189"/>
      <c r="E108" s="189"/>
      <c r="F108" s="70"/>
      <c r="I108" s="71" t="s">
        <v>12</v>
      </c>
    </row>
    <row r="109" spans="1:9" ht="15.75" customHeight="1">
      <c r="A109" s="4" t="s">
        <v>14</v>
      </c>
    </row>
    <row r="110" spans="1:9">
      <c r="A110" s="188" t="s">
        <v>15</v>
      </c>
      <c r="B110" s="188"/>
      <c r="C110" s="188"/>
      <c r="D110" s="188"/>
      <c r="E110" s="188"/>
      <c r="F110" s="188"/>
      <c r="G110" s="188"/>
      <c r="H110" s="188"/>
      <c r="I110" s="188"/>
    </row>
    <row r="111" spans="1:9" ht="45" customHeight="1">
      <c r="A111" s="184" t="s">
        <v>16</v>
      </c>
      <c r="B111" s="184"/>
      <c r="C111" s="184"/>
      <c r="D111" s="184"/>
      <c r="E111" s="184"/>
      <c r="F111" s="184"/>
      <c r="G111" s="184"/>
      <c r="H111" s="184"/>
      <c r="I111" s="184"/>
    </row>
    <row r="112" spans="1:9" ht="30" customHeight="1">
      <c r="A112" s="184" t="s">
        <v>17</v>
      </c>
      <c r="B112" s="184"/>
      <c r="C112" s="184"/>
      <c r="D112" s="184"/>
      <c r="E112" s="184"/>
      <c r="F112" s="184"/>
      <c r="G112" s="184"/>
      <c r="H112" s="184"/>
      <c r="I112" s="184"/>
    </row>
    <row r="113" spans="1:9" ht="30" customHeight="1">
      <c r="A113" s="184" t="s">
        <v>21</v>
      </c>
      <c r="B113" s="184"/>
      <c r="C113" s="184"/>
      <c r="D113" s="184"/>
      <c r="E113" s="184"/>
      <c r="F113" s="184"/>
      <c r="G113" s="184"/>
      <c r="H113" s="184"/>
      <c r="I113" s="184"/>
    </row>
    <row r="114" spans="1:9" ht="15" customHeight="1">
      <c r="A114" s="184" t="s">
        <v>20</v>
      </c>
      <c r="B114" s="184"/>
      <c r="C114" s="184"/>
      <c r="D114" s="184"/>
      <c r="E114" s="184"/>
      <c r="F114" s="184"/>
      <c r="G114" s="184"/>
      <c r="H114" s="184"/>
      <c r="I114" s="184"/>
    </row>
  </sheetData>
  <autoFilter ref="I12:I80"/>
  <mergeCells count="28">
    <mergeCell ref="A14:I14"/>
    <mergeCell ref="A3:I3"/>
    <mergeCell ref="A4:I4"/>
    <mergeCell ref="A5:I5"/>
    <mergeCell ref="A8:I8"/>
    <mergeCell ref="A10:I10"/>
    <mergeCell ref="A100:I100"/>
    <mergeCell ref="A15:I15"/>
    <mergeCell ref="A28:I28"/>
    <mergeCell ref="A41:I41"/>
    <mergeCell ref="A52:I52"/>
    <mergeCell ref="A77:I77"/>
    <mergeCell ref="A81:I81"/>
    <mergeCell ref="A94:I94"/>
    <mergeCell ref="B95:G95"/>
    <mergeCell ref="B96:G96"/>
    <mergeCell ref="A98:I98"/>
    <mergeCell ref="A99:I99"/>
    <mergeCell ref="A111:I111"/>
    <mergeCell ref="A112:I112"/>
    <mergeCell ref="A113:I113"/>
    <mergeCell ref="A114:I114"/>
    <mergeCell ref="A102:I102"/>
    <mergeCell ref="C104:E104"/>
    <mergeCell ref="C105:E105"/>
    <mergeCell ref="C107:E107"/>
    <mergeCell ref="C108:E108"/>
    <mergeCell ref="A110:I110"/>
  </mergeCells>
  <pageMargins left="0.70866141732283472" right="0.23622047244094491" top="0.27559055118110237" bottom="0.27559055118110237" header="0.31496062992125984" footer="0.31496062992125984"/>
  <pageSetup paperSize="9" scale="64" orientation="portrait" r:id="rId1"/>
  <rowBreaks count="1" manualBreakCount="1">
    <brk id="96" max="8" man="1"/>
  </rowBreaks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1"/>
  <sheetViews>
    <sheetView topLeftCell="A78" workbookViewId="0">
      <selection activeCell="B92" sqref="B92:G9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0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155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94" t="s">
        <v>146</v>
      </c>
      <c r="B3" s="194"/>
      <c r="C3" s="194"/>
      <c r="D3" s="194"/>
      <c r="E3" s="194"/>
      <c r="F3" s="194"/>
      <c r="G3" s="194"/>
      <c r="H3" s="194"/>
      <c r="I3" s="194"/>
      <c r="J3" s="3"/>
      <c r="K3" s="3"/>
      <c r="L3" s="3"/>
    </row>
    <row r="4" spans="1:13" ht="31.5" customHeight="1">
      <c r="A4" s="195" t="s">
        <v>120</v>
      </c>
      <c r="B4" s="195"/>
      <c r="C4" s="195"/>
      <c r="D4" s="195"/>
      <c r="E4" s="195"/>
      <c r="F4" s="195"/>
      <c r="G4" s="195"/>
      <c r="H4" s="195"/>
      <c r="I4" s="195"/>
    </row>
    <row r="5" spans="1:13" ht="15.75" customHeight="1">
      <c r="A5" s="194" t="s">
        <v>221</v>
      </c>
      <c r="B5" s="198"/>
      <c r="C5" s="198"/>
      <c r="D5" s="198"/>
      <c r="E5" s="198"/>
      <c r="F5" s="198"/>
      <c r="G5" s="198"/>
      <c r="H5" s="198"/>
      <c r="I5" s="198"/>
      <c r="J5" s="2"/>
      <c r="K5" s="2"/>
      <c r="L5" s="2"/>
      <c r="M5" s="2"/>
    </row>
    <row r="6" spans="1:13" ht="15.75" customHeight="1">
      <c r="A6" s="2"/>
      <c r="B6" s="82"/>
      <c r="C6" s="82"/>
      <c r="D6" s="82"/>
      <c r="E6" s="82"/>
      <c r="F6" s="82"/>
      <c r="G6" s="82"/>
      <c r="H6" s="82"/>
      <c r="I6" s="32">
        <v>44043</v>
      </c>
      <c r="J6" s="2"/>
      <c r="K6" s="2"/>
      <c r="L6" s="2"/>
      <c r="M6" s="2"/>
    </row>
    <row r="7" spans="1:13" ht="15.75" customHeight="1">
      <c r="B7" s="83"/>
      <c r="C7" s="83"/>
      <c r="D7" s="83"/>
      <c r="E7" s="3"/>
      <c r="F7" s="3"/>
      <c r="G7" s="3"/>
      <c r="H7" s="3"/>
      <c r="J7" s="3"/>
      <c r="K7" s="3"/>
      <c r="L7" s="3"/>
      <c r="M7" s="3"/>
    </row>
    <row r="8" spans="1:13" s="64" customFormat="1" ht="78.75" customHeight="1">
      <c r="A8" s="196" t="s">
        <v>186</v>
      </c>
      <c r="B8" s="196"/>
      <c r="C8" s="196"/>
      <c r="D8" s="196"/>
      <c r="E8" s="196"/>
      <c r="F8" s="196"/>
      <c r="G8" s="196"/>
      <c r="H8" s="196"/>
      <c r="I8" s="196"/>
      <c r="J8" s="76"/>
      <c r="K8" s="76"/>
      <c r="L8" s="76"/>
      <c r="M8" s="76"/>
    </row>
    <row r="9" spans="1:13" ht="15.75">
      <c r="A9" s="4"/>
      <c r="J9" s="2"/>
      <c r="K9" s="2"/>
      <c r="L9" s="2"/>
      <c r="M9" s="2"/>
    </row>
    <row r="10" spans="1:13" ht="47.25" customHeight="1">
      <c r="A10" s="197" t="s">
        <v>150</v>
      </c>
      <c r="B10" s="197"/>
      <c r="C10" s="197"/>
      <c r="D10" s="197"/>
      <c r="E10" s="197"/>
      <c r="F10" s="197"/>
      <c r="G10" s="197"/>
      <c r="H10" s="197"/>
      <c r="I10" s="19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 ht="15.7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9" t="s">
        <v>59</v>
      </c>
      <c r="B14" s="199"/>
      <c r="C14" s="199"/>
      <c r="D14" s="199"/>
      <c r="E14" s="199"/>
      <c r="F14" s="199"/>
      <c r="G14" s="199"/>
      <c r="H14" s="199"/>
      <c r="I14" s="199"/>
      <c r="J14" s="8"/>
      <c r="K14" s="8"/>
      <c r="L14" s="8"/>
      <c r="M14" s="8"/>
    </row>
    <row r="15" spans="1:13" ht="15.75" customHeight="1">
      <c r="A15" s="200" t="s">
        <v>4</v>
      </c>
      <c r="B15" s="200"/>
      <c r="C15" s="200"/>
      <c r="D15" s="200"/>
      <c r="E15" s="200"/>
      <c r="F15" s="200"/>
      <c r="G15" s="200"/>
      <c r="H15" s="200"/>
      <c r="I15" s="200"/>
      <c r="J15" s="8"/>
      <c r="K15" s="8"/>
      <c r="L15" s="8"/>
      <c r="M15" s="8"/>
    </row>
    <row r="16" spans="1:13" ht="15.75" customHeight="1">
      <c r="A16" s="31">
        <v>1</v>
      </c>
      <c r="B16" s="34" t="s">
        <v>83</v>
      </c>
      <c r="C16" s="40" t="s">
        <v>88</v>
      </c>
      <c r="D16" s="34" t="s">
        <v>225</v>
      </c>
      <c r="E16" s="123">
        <v>47.52</v>
      </c>
      <c r="F16" s="124">
        <f>SUM(E16*156/100)</f>
        <v>74.131200000000007</v>
      </c>
      <c r="G16" s="124">
        <v>261.45</v>
      </c>
      <c r="H16" s="95">
        <f t="shared" ref="H16:H27" si="0">SUM(F16*G16/1000)</f>
        <v>19.381602239999999</v>
      </c>
      <c r="I16" s="13">
        <f>F16/156*10*G16</f>
        <v>1242.4104000000002</v>
      </c>
      <c r="J16" s="8"/>
      <c r="K16" s="8"/>
      <c r="L16" s="8"/>
      <c r="M16" s="8"/>
    </row>
    <row r="17" spans="1:13" ht="15.75" customHeight="1">
      <c r="A17" s="31">
        <v>2</v>
      </c>
      <c r="B17" s="34" t="s">
        <v>97</v>
      </c>
      <c r="C17" s="40" t="s">
        <v>88</v>
      </c>
      <c r="D17" s="34" t="s">
        <v>162</v>
      </c>
      <c r="E17" s="123">
        <v>190.08</v>
      </c>
      <c r="F17" s="124">
        <f>SUM(E17*104/100)</f>
        <v>197.6832</v>
      </c>
      <c r="G17" s="124">
        <v>261.45</v>
      </c>
      <c r="H17" s="95">
        <f t="shared" si="0"/>
        <v>51.684272639999996</v>
      </c>
      <c r="I17" s="13">
        <f>F17/104*6*G17</f>
        <v>2981.78496</v>
      </c>
      <c r="J17" s="8"/>
      <c r="K17" s="8"/>
      <c r="L17" s="8"/>
      <c r="M17" s="8"/>
    </row>
    <row r="18" spans="1:13" ht="15.75" customHeight="1">
      <c r="A18" s="31">
        <v>3</v>
      </c>
      <c r="B18" s="34" t="s">
        <v>98</v>
      </c>
      <c r="C18" s="40" t="s">
        <v>88</v>
      </c>
      <c r="D18" s="34" t="s">
        <v>163</v>
      </c>
      <c r="E18" s="123">
        <f>SUM(E16+E17)</f>
        <v>237.60000000000002</v>
      </c>
      <c r="F18" s="124">
        <f>SUM(E18*18/100)</f>
        <v>42.768000000000001</v>
      </c>
      <c r="G18" s="124">
        <v>752.16</v>
      </c>
      <c r="H18" s="95">
        <f t="shared" si="0"/>
        <v>32.168378879999999</v>
      </c>
      <c r="I18" s="13">
        <f>F18/18*2*G18</f>
        <v>3574.2643199999998</v>
      </c>
      <c r="J18" s="8"/>
      <c r="K18" s="8"/>
      <c r="L18" s="8"/>
      <c r="M18" s="8"/>
    </row>
    <row r="19" spans="1:13" ht="15.75" hidden="1" customHeight="1">
      <c r="A19" s="31">
        <v>4</v>
      </c>
      <c r="B19" s="34" t="s">
        <v>121</v>
      </c>
      <c r="C19" s="40" t="s">
        <v>122</v>
      </c>
      <c r="D19" s="34" t="s">
        <v>210</v>
      </c>
      <c r="E19" s="123">
        <v>18.48</v>
      </c>
      <c r="F19" s="124">
        <f>SUM(E19/10)</f>
        <v>1.8480000000000001</v>
      </c>
      <c r="G19" s="124">
        <v>253.7</v>
      </c>
      <c r="H19" s="95">
        <f t="shared" si="0"/>
        <v>0.46883760000000002</v>
      </c>
      <c r="I19" s="13">
        <f>G19*F19</f>
        <v>468.83760000000001</v>
      </c>
      <c r="J19" s="8"/>
      <c r="K19" s="8"/>
      <c r="L19" s="8"/>
      <c r="M19" s="8"/>
    </row>
    <row r="20" spans="1:13" ht="15.75" hidden="1" customHeight="1">
      <c r="A20" s="31">
        <v>4</v>
      </c>
      <c r="B20" s="34" t="s">
        <v>87</v>
      </c>
      <c r="C20" s="40" t="s">
        <v>88</v>
      </c>
      <c r="D20" s="34" t="s">
        <v>164</v>
      </c>
      <c r="E20" s="123">
        <v>10.5</v>
      </c>
      <c r="F20" s="124">
        <f>SUM(E20*12/100)</f>
        <v>1.26</v>
      </c>
      <c r="G20" s="124">
        <v>324.83999999999997</v>
      </c>
      <c r="H20" s="95">
        <f t="shared" si="0"/>
        <v>0.40929839999999995</v>
      </c>
      <c r="I20" s="13">
        <f>F20/12*G20</f>
        <v>34.108199999999997</v>
      </c>
      <c r="J20" s="8"/>
      <c r="K20" s="8"/>
      <c r="L20" s="8"/>
      <c r="M20" s="8"/>
    </row>
    <row r="21" spans="1:13" ht="15.75" hidden="1" customHeight="1">
      <c r="A21" s="31">
        <v>5</v>
      </c>
      <c r="B21" s="34" t="s">
        <v>95</v>
      </c>
      <c r="C21" s="40" t="s">
        <v>88</v>
      </c>
      <c r="D21" s="34" t="s">
        <v>164</v>
      </c>
      <c r="E21" s="123">
        <v>2.7</v>
      </c>
      <c r="F21" s="124">
        <f>SUM(E21*12/100)</f>
        <v>0.32400000000000007</v>
      </c>
      <c r="G21" s="124">
        <v>322.20999999999998</v>
      </c>
      <c r="H21" s="95">
        <f t="shared" si="0"/>
        <v>0.10439604000000001</v>
      </c>
      <c r="I21" s="13">
        <f>F21/12*G21</f>
        <v>8.6996700000000011</v>
      </c>
      <c r="J21" s="8"/>
      <c r="K21" s="8"/>
      <c r="L21" s="8"/>
      <c r="M21" s="8"/>
    </row>
    <row r="22" spans="1:13" ht="15.75" hidden="1" customHeight="1">
      <c r="A22" s="31">
        <v>7</v>
      </c>
      <c r="B22" s="34" t="s">
        <v>89</v>
      </c>
      <c r="C22" s="40" t="s">
        <v>53</v>
      </c>
      <c r="D22" s="34" t="s">
        <v>210</v>
      </c>
      <c r="E22" s="123">
        <v>267.75</v>
      </c>
      <c r="F22" s="124">
        <f>SUM(E22/100)</f>
        <v>2.6775000000000002</v>
      </c>
      <c r="G22" s="124">
        <v>401.44</v>
      </c>
      <c r="H22" s="95">
        <f t="shared" si="0"/>
        <v>1.0748556</v>
      </c>
      <c r="I22" s="13">
        <f>G22*F22</f>
        <v>1074.8556000000001</v>
      </c>
      <c r="J22" s="8"/>
      <c r="K22" s="8"/>
      <c r="L22" s="8"/>
      <c r="M22" s="8"/>
    </row>
    <row r="23" spans="1:13" ht="15.75" hidden="1" customHeight="1">
      <c r="A23" s="31">
        <v>8</v>
      </c>
      <c r="B23" s="34" t="s">
        <v>90</v>
      </c>
      <c r="C23" s="40" t="s">
        <v>53</v>
      </c>
      <c r="D23" s="34" t="s">
        <v>211</v>
      </c>
      <c r="E23" s="154">
        <v>36</v>
      </c>
      <c r="F23" s="124">
        <f>SUM(E23/100)</f>
        <v>0.36</v>
      </c>
      <c r="G23" s="124">
        <v>66.03</v>
      </c>
      <c r="H23" s="95">
        <f t="shared" si="0"/>
        <v>2.3770800000000002E-2</v>
      </c>
      <c r="I23" s="13">
        <f>G23*F23</f>
        <v>23.770800000000001</v>
      </c>
      <c r="J23" s="8"/>
      <c r="K23" s="8"/>
      <c r="L23" s="8"/>
      <c r="M23" s="8"/>
    </row>
    <row r="24" spans="1:13" ht="15.75" hidden="1" customHeight="1">
      <c r="A24" s="31">
        <v>9</v>
      </c>
      <c r="B24" s="34" t="s">
        <v>91</v>
      </c>
      <c r="C24" s="40" t="s">
        <v>53</v>
      </c>
      <c r="D24" s="34" t="s">
        <v>211</v>
      </c>
      <c r="E24" s="123">
        <v>15</v>
      </c>
      <c r="F24" s="124">
        <f>E24/100</f>
        <v>0.15</v>
      </c>
      <c r="G24" s="124">
        <v>581.02</v>
      </c>
      <c r="H24" s="95">
        <f t="shared" si="0"/>
        <v>8.7152999999999994E-2</v>
      </c>
      <c r="I24" s="13">
        <f>G24*F24</f>
        <v>87.152999999999992</v>
      </c>
      <c r="J24" s="8"/>
      <c r="K24" s="8"/>
      <c r="L24" s="8"/>
      <c r="M24" s="8"/>
    </row>
    <row r="25" spans="1:13" ht="15.75" hidden="1" customHeight="1">
      <c r="A25" s="31">
        <v>10</v>
      </c>
      <c r="B25" s="34" t="s">
        <v>96</v>
      </c>
      <c r="C25" s="40" t="s">
        <v>88</v>
      </c>
      <c r="D25" s="34" t="s">
        <v>164</v>
      </c>
      <c r="E25" s="123">
        <v>14.25</v>
      </c>
      <c r="F25" s="124">
        <v>0.1</v>
      </c>
      <c r="G25" s="124">
        <v>322.20999999999998</v>
      </c>
      <c r="H25" s="95">
        <v>3.1E-2</v>
      </c>
      <c r="I25" s="13">
        <f>G25*F25</f>
        <v>32.220999999999997</v>
      </c>
      <c r="J25" s="8"/>
      <c r="K25" s="8"/>
      <c r="L25" s="8"/>
      <c r="M25" s="8"/>
    </row>
    <row r="26" spans="1:13" ht="15.75" hidden="1" customHeight="1">
      <c r="A26" s="31">
        <v>11</v>
      </c>
      <c r="B26" s="34" t="s">
        <v>92</v>
      </c>
      <c r="C26" s="40" t="s">
        <v>53</v>
      </c>
      <c r="D26" s="34" t="s">
        <v>211</v>
      </c>
      <c r="E26" s="123">
        <v>6.38</v>
      </c>
      <c r="F26" s="124">
        <f>SUM(E26/100)</f>
        <v>6.3799999999999996E-2</v>
      </c>
      <c r="G26" s="124">
        <v>776.46</v>
      </c>
      <c r="H26" s="95">
        <f t="shared" si="0"/>
        <v>4.9538147999999997E-2</v>
      </c>
      <c r="I26" s="13">
        <f>G26*F26</f>
        <v>49.538148</v>
      </c>
      <c r="J26" s="8"/>
      <c r="K26" s="8"/>
      <c r="L26" s="8"/>
      <c r="M26" s="8"/>
    </row>
    <row r="27" spans="1:13" ht="15.75" customHeight="1">
      <c r="A27" s="31">
        <v>4</v>
      </c>
      <c r="B27" s="34" t="s">
        <v>160</v>
      </c>
      <c r="C27" s="40" t="s">
        <v>25</v>
      </c>
      <c r="D27" s="34" t="s">
        <v>166</v>
      </c>
      <c r="E27" s="133">
        <v>4.83</v>
      </c>
      <c r="F27" s="124">
        <f>SUM(E27*258)</f>
        <v>1246.1400000000001</v>
      </c>
      <c r="G27" s="124">
        <v>10.81</v>
      </c>
      <c r="H27" s="95">
        <f t="shared" si="0"/>
        <v>13.470773400000002</v>
      </c>
      <c r="I27" s="13">
        <f>F27/12*G27</f>
        <v>1122.5644500000003</v>
      </c>
      <c r="J27" s="8"/>
      <c r="K27" s="8"/>
      <c r="L27" s="8"/>
      <c r="M27" s="8"/>
    </row>
    <row r="28" spans="1:13" ht="15.75" customHeight="1">
      <c r="A28" s="200" t="s">
        <v>82</v>
      </c>
      <c r="B28" s="200"/>
      <c r="C28" s="200"/>
      <c r="D28" s="200"/>
      <c r="E28" s="200"/>
      <c r="F28" s="200"/>
      <c r="G28" s="200"/>
      <c r="H28" s="200"/>
      <c r="I28" s="200"/>
      <c r="J28" s="24"/>
      <c r="K28" s="8"/>
      <c r="L28" s="8"/>
      <c r="M28" s="8"/>
    </row>
    <row r="29" spans="1:13" ht="15.75" customHeight="1">
      <c r="A29" s="41"/>
      <c r="B29" s="51" t="s">
        <v>28</v>
      </c>
      <c r="C29" s="51"/>
      <c r="D29" s="51"/>
      <c r="E29" s="51"/>
      <c r="F29" s="51"/>
      <c r="G29" s="51"/>
      <c r="H29" s="51"/>
      <c r="I29" s="19"/>
      <c r="J29" s="24"/>
      <c r="K29" s="8"/>
      <c r="L29" s="8"/>
      <c r="M29" s="8"/>
    </row>
    <row r="30" spans="1:13" ht="15.75" customHeight="1">
      <c r="A30" s="41">
        <v>5</v>
      </c>
      <c r="B30" s="34" t="s">
        <v>99</v>
      </c>
      <c r="C30" s="40" t="s">
        <v>100</v>
      </c>
      <c r="D30" s="34" t="s">
        <v>205</v>
      </c>
      <c r="E30" s="124">
        <v>313</v>
      </c>
      <c r="F30" s="124">
        <f>SUM(E30*24/1000)</f>
        <v>7.5119999999999996</v>
      </c>
      <c r="G30" s="124">
        <v>232.4</v>
      </c>
      <c r="H30" s="95">
        <f t="shared" ref="H30:H31" si="1">SUM(F30*G30/1000)</f>
        <v>1.7457888000000001</v>
      </c>
      <c r="I30" s="13">
        <f>F30/6*G30</f>
        <v>290.96480000000003</v>
      </c>
      <c r="J30" s="24"/>
      <c r="K30" s="8"/>
      <c r="L30" s="8"/>
      <c r="M30" s="8"/>
    </row>
    <row r="31" spans="1:13" ht="31.5" customHeight="1">
      <c r="A31" s="41">
        <v>6</v>
      </c>
      <c r="B31" s="34" t="s">
        <v>134</v>
      </c>
      <c r="C31" s="40" t="s">
        <v>100</v>
      </c>
      <c r="D31" s="34" t="s">
        <v>161</v>
      </c>
      <c r="E31" s="124">
        <v>26.33</v>
      </c>
      <c r="F31" s="124">
        <f>SUM(E31*78/1000)</f>
        <v>2.0537399999999999</v>
      </c>
      <c r="G31" s="124">
        <v>385.6</v>
      </c>
      <c r="H31" s="95">
        <f t="shared" si="1"/>
        <v>0.79192214400000005</v>
      </c>
      <c r="I31" s="13">
        <f t="shared" ref="I31" si="2">F31/6*G31</f>
        <v>131.98702399999999</v>
      </c>
      <c r="J31" s="24"/>
      <c r="K31" s="8"/>
      <c r="L31" s="8"/>
      <c r="M31" s="8"/>
    </row>
    <row r="32" spans="1:13" ht="15.75" hidden="1" customHeight="1">
      <c r="A32" s="41">
        <v>16</v>
      </c>
      <c r="B32" s="91" t="s">
        <v>27</v>
      </c>
      <c r="C32" s="92" t="s">
        <v>100</v>
      </c>
      <c r="D32" s="91" t="s">
        <v>54</v>
      </c>
      <c r="E32" s="94">
        <v>1167.4000000000001</v>
      </c>
      <c r="F32" s="94">
        <f>SUM(E32/1000)</f>
        <v>1.1674</v>
      </c>
      <c r="G32" s="94">
        <v>3020.33</v>
      </c>
      <c r="H32" s="95">
        <f t="shared" ref="H32" si="3">SUM(F32*G32/1000)</f>
        <v>3.5259332420000002</v>
      </c>
      <c r="I32" s="13">
        <f>F32*G32</f>
        <v>3525.9332420000001</v>
      </c>
      <c r="J32" s="24"/>
      <c r="K32" s="8"/>
      <c r="L32" s="8"/>
      <c r="M32" s="8"/>
    </row>
    <row r="33" spans="1:13" ht="15.75" hidden="1" customHeight="1">
      <c r="A33" s="41">
        <v>4</v>
      </c>
      <c r="B33" s="91" t="s">
        <v>64</v>
      </c>
      <c r="C33" s="92" t="s">
        <v>32</v>
      </c>
      <c r="D33" s="91" t="s">
        <v>65</v>
      </c>
      <c r="E33" s="93"/>
      <c r="F33" s="94">
        <v>3</v>
      </c>
      <c r="G33" s="94">
        <v>191.32</v>
      </c>
      <c r="H33" s="95">
        <f t="shared" ref="H33" si="4">SUM(F33*G33/1000)</f>
        <v>0.57396000000000003</v>
      </c>
      <c r="I33" s="13">
        <v>0</v>
      </c>
      <c r="J33" s="24"/>
      <c r="K33" s="8"/>
      <c r="L33" s="8"/>
      <c r="M33" s="8"/>
    </row>
    <row r="34" spans="1:13" ht="15.75" hidden="1" customHeight="1">
      <c r="A34" s="41"/>
      <c r="B34" s="49" t="s">
        <v>5</v>
      </c>
      <c r="C34" s="49"/>
      <c r="D34" s="49"/>
      <c r="E34" s="13"/>
      <c r="F34" s="13"/>
      <c r="G34" s="14"/>
      <c r="H34" s="14"/>
      <c r="I34" s="19"/>
      <c r="J34" s="24"/>
      <c r="K34" s="8"/>
      <c r="L34" s="8"/>
      <c r="M34" s="8"/>
    </row>
    <row r="35" spans="1:13" ht="15.75" hidden="1" customHeight="1">
      <c r="A35" s="41">
        <v>8</v>
      </c>
      <c r="B35" s="91" t="s">
        <v>26</v>
      </c>
      <c r="C35" s="92" t="s">
        <v>31</v>
      </c>
      <c r="D35" s="91"/>
      <c r="E35" s="93"/>
      <c r="F35" s="94">
        <v>6</v>
      </c>
      <c r="G35" s="94">
        <v>1527.2</v>
      </c>
      <c r="H35" s="95">
        <f t="shared" ref="H35:H40" si="5">SUM(F35*G35/1000)</f>
        <v>9.1632000000000016</v>
      </c>
      <c r="I35" s="13">
        <f t="shared" ref="I35:I40" si="6">F35/6*G35</f>
        <v>1527.2</v>
      </c>
      <c r="J35" s="24"/>
      <c r="K35" s="8"/>
      <c r="L35" s="8"/>
      <c r="M35" s="8"/>
    </row>
    <row r="36" spans="1:13" ht="15.75" hidden="1" customHeight="1">
      <c r="A36" s="35">
        <v>9</v>
      </c>
      <c r="B36" s="91" t="s">
        <v>66</v>
      </c>
      <c r="C36" s="92" t="s">
        <v>29</v>
      </c>
      <c r="D36" s="91" t="s">
        <v>125</v>
      </c>
      <c r="E36" s="94">
        <v>1080.0999999999999</v>
      </c>
      <c r="F36" s="94">
        <f>SUM(E36*30/1000)</f>
        <v>32.402999999999999</v>
      </c>
      <c r="G36" s="94">
        <v>2102.6999999999998</v>
      </c>
      <c r="H36" s="95">
        <f t="shared" si="5"/>
        <v>68.13378809999999</v>
      </c>
      <c r="I36" s="13">
        <f t="shared" si="6"/>
        <v>11355.63135</v>
      </c>
      <c r="J36" s="24"/>
      <c r="K36" s="8"/>
      <c r="L36" s="8"/>
      <c r="M36" s="8"/>
    </row>
    <row r="37" spans="1:13" ht="15.75" hidden="1" customHeight="1">
      <c r="A37" s="35">
        <v>10</v>
      </c>
      <c r="B37" s="91" t="s">
        <v>67</v>
      </c>
      <c r="C37" s="92" t="s">
        <v>29</v>
      </c>
      <c r="D37" s="91" t="s">
        <v>104</v>
      </c>
      <c r="E37" s="94">
        <v>45</v>
      </c>
      <c r="F37" s="94">
        <f>SUM(E37*155/1000)</f>
        <v>6.9749999999999996</v>
      </c>
      <c r="G37" s="94">
        <v>350.75</v>
      </c>
      <c r="H37" s="95">
        <f t="shared" si="5"/>
        <v>2.4464812499999997</v>
      </c>
      <c r="I37" s="13">
        <f t="shared" si="6"/>
        <v>407.74687499999993</v>
      </c>
      <c r="J37" s="24"/>
      <c r="K37" s="8"/>
      <c r="L37" s="8"/>
      <c r="M37" s="8"/>
    </row>
    <row r="38" spans="1:13" ht="47.25" hidden="1" customHeight="1">
      <c r="A38" s="35">
        <v>11</v>
      </c>
      <c r="B38" s="91" t="s">
        <v>81</v>
      </c>
      <c r="C38" s="92" t="s">
        <v>100</v>
      </c>
      <c r="D38" s="91" t="s">
        <v>68</v>
      </c>
      <c r="E38" s="94">
        <v>45</v>
      </c>
      <c r="F38" s="94">
        <f>SUM(E38*70/1000)</f>
        <v>3.15</v>
      </c>
      <c r="G38" s="94">
        <v>5803.28</v>
      </c>
      <c r="H38" s="95">
        <f t="shared" si="5"/>
        <v>18.280331999999998</v>
      </c>
      <c r="I38" s="13">
        <f t="shared" si="6"/>
        <v>3046.7220000000002</v>
      </c>
      <c r="J38" s="24"/>
      <c r="K38" s="8"/>
      <c r="L38" s="8"/>
      <c r="M38" s="8"/>
    </row>
    <row r="39" spans="1:13" ht="15.75" hidden="1" customHeight="1">
      <c r="A39" s="35">
        <v>12</v>
      </c>
      <c r="B39" s="91" t="s">
        <v>105</v>
      </c>
      <c r="C39" s="92" t="s">
        <v>100</v>
      </c>
      <c r="D39" s="91" t="s">
        <v>69</v>
      </c>
      <c r="E39" s="94">
        <v>45</v>
      </c>
      <c r="F39" s="94">
        <f>SUM(E39*45/1000)</f>
        <v>2.0249999999999999</v>
      </c>
      <c r="G39" s="94">
        <v>428.7</v>
      </c>
      <c r="H39" s="95">
        <f t="shared" si="5"/>
        <v>0.86811749999999999</v>
      </c>
      <c r="I39" s="13">
        <f t="shared" si="6"/>
        <v>144.68624999999997</v>
      </c>
      <c r="J39" s="24"/>
      <c r="K39" s="8"/>
      <c r="L39" s="8"/>
      <c r="M39" s="8"/>
    </row>
    <row r="40" spans="1:13" ht="15.75" hidden="1" customHeight="1">
      <c r="A40" s="35">
        <v>13</v>
      </c>
      <c r="B40" s="91" t="s">
        <v>70</v>
      </c>
      <c r="C40" s="92" t="s">
        <v>32</v>
      </c>
      <c r="D40" s="91"/>
      <c r="E40" s="93"/>
      <c r="F40" s="94">
        <v>0.6</v>
      </c>
      <c r="G40" s="94">
        <v>798</v>
      </c>
      <c r="H40" s="95">
        <f t="shared" si="5"/>
        <v>0.47879999999999995</v>
      </c>
      <c r="I40" s="13">
        <f t="shared" si="6"/>
        <v>79.8</v>
      </c>
      <c r="J40" s="24"/>
      <c r="K40" s="8"/>
      <c r="L40" s="8"/>
      <c r="M40" s="8"/>
    </row>
    <row r="41" spans="1:13" ht="15.75" hidden="1" customHeight="1">
      <c r="A41" s="201" t="s">
        <v>131</v>
      </c>
      <c r="B41" s="202"/>
      <c r="C41" s="202"/>
      <c r="D41" s="202"/>
      <c r="E41" s="202"/>
      <c r="F41" s="202"/>
      <c r="G41" s="202"/>
      <c r="H41" s="202"/>
      <c r="I41" s="203"/>
      <c r="J41" s="24"/>
      <c r="K41" s="8"/>
      <c r="L41" s="8"/>
      <c r="M41" s="8"/>
    </row>
    <row r="42" spans="1:13" ht="15.75" hidden="1" customHeight="1">
      <c r="A42" s="41">
        <v>18</v>
      </c>
      <c r="B42" s="91" t="s">
        <v>106</v>
      </c>
      <c r="C42" s="92" t="s">
        <v>100</v>
      </c>
      <c r="D42" s="91" t="s">
        <v>42</v>
      </c>
      <c r="E42" s="93">
        <v>965.8</v>
      </c>
      <c r="F42" s="94">
        <f>SUM(E42*2/1000)</f>
        <v>1.9316</v>
      </c>
      <c r="G42" s="13">
        <v>849.49</v>
      </c>
      <c r="H42" s="95">
        <f t="shared" ref="H42:H51" si="7">SUM(F42*G42/1000)</f>
        <v>1.640874884</v>
      </c>
      <c r="I42" s="13">
        <f t="shared" ref="I42:I45" si="8">F42/2*G42</f>
        <v>820.43744200000003</v>
      </c>
      <c r="J42" s="24"/>
      <c r="K42" s="8"/>
    </row>
    <row r="43" spans="1:13" ht="15.75" hidden="1" customHeight="1">
      <c r="A43" s="41">
        <v>19</v>
      </c>
      <c r="B43" s="91" t="s">
        <v>35</v>
      </c>
      <c r="C43" s="92" t="s">
        <v>100</v>
      </c>
      <c r="D43" s="91" t="s">
        <v>42</v>
      </c>
      <c r="E43" s="93">
        <v>36</v>
      </c>
      <c r="F43" s="94">
        <f>SUM(E43*2/1000)</f>
        <v>7.1999999999999995E-2</v>
      </c>
      <c r="G43" s="13">
        <v>579.48</v>
      </c>
      <c r="H43" s="95">
        <f t="shared" si="7"/>
        <v>4.1722559999999999E-2</v>
      </c>
      <c r="I43" s="13">
        <f t="shared" si="8"/>
        <v>20.861280000000001</v>
      </c>
      <c r="J43" s="25"/>
    </row>
    <row r="44" spans="1:13" ht="15.75" hidden="1" customHeight="1">
      <c r="A44" s="41">
        <v>20</v>
      </c>
      <c r="B44" s="91" t="s">
        <v>36</v>
      </c>
      <c r="C44" s="92" t="s">
        <v>100</v>
      </c>
      <c r="D44" s="91" t="s">
        <v>42</v>
      </c>
      <c r="E44" s="93">
        <v>1197.7</v>
      </c>
      <c r="F44" s="94">
        <f>SUM(E44*2/1000)</f>
        <v>2.3954</v>
      </c>
      <c r="G44" s="13">
        <v>579.48</v>
      </c>
      <c r="H44" s="95">
        <f t="shared" si="7"/>
        <v>1.3880863919999999</v>
      </c>
      <c r="I44" s="13">
        <f t="shared" si="8"/>
        <v>694.04319599999997</v>
      </c>
      <c r="J44" s="25"/>
    </row>
    <row r="45" spans="1:13" ht="15.75" hidden="1" customHeight="1">
      <c r="A45" s="41">
        <v>21</v>
      </c>
      <c r="B45" s="91" t="s">
        <v>37</v>
      </c>
      <c r="C45" s="92" t="s">
        <v>100</v>
      </c>
      <c r="D45" s="91" t="s">
        <v>42</v>
      </c>
      <c r="E45" s="93">
        <v>2275.92</v>
      </c>
      <c r="F45" s="94">
        <f>SUM(E45*2/1000)</f>
        <v>4.5518400000000003</v>
      </c>
      <c r="G45" s="13">
        <v>606.77</v>
      </c>
      <c r="H45" s="95">
        <f t="shared" si="7"/>
        <v>2.7619199567999999</v>
      </c>
      <c r="I45" s="13">
        <f t="shared" si="8"/>
        <v>1380.9599784</v>
      </c>
      <c r="J45" s="25"/>
    </row>
    <row r="46" spans="1:13" ht="15.75" hidden="1" customHeight="1">
      <c r="A46" s="41">
        <v>22</v>
      </c>
      <c r="B46" s="91" t="s">
        <v>33</v>
      </c>
      <c r="C46" s="92" t="s">
        <v>34</v>
      </c>
      <c r="D46" s="91" t="s">
        <v>42</v>
      </c>
      <c r="E46" s="93">
        <v>81.709999999999994</v>
      </c>
      <c r="F46" s="94">
        <f>SUM(E46*2/100)</f>
        <v>1.6341999999999999</v>
      </c>
      <c r="G46" s="13">
        <v>68.56</v>
      </c>
      <c r="H46" s="95">
        <f t="shared" si="7"/>
        <v>0.11204075199999999</v>
      </c>
      <c r="I46" s="13">
        <f>F46/2*G46</f>
        <v>56.020375999999999</v>
      </c>
      <c r="J46" s="25"/>
    </row>
    <row r="47" spans="1:13" ht="15.75" hidden="1" customHeight="1">
      <c r="A47" s="41">
        <v>23</v>
      </c>
      <c r="B47" s="91" t="s">
        <v>56</v>
      </c>
      <c r="C47" s="92" t="s">
        <v>100</v>
      </c>
      <c r="D47" s="91" t="s">
        <v>135</v>
      </c>
      <c r="E47" s="93">
        <v>1711.8</v>
      </c>
      <c r="F47" s="94">
        <f>SUM(E47*5/1000)</f>
        <v>8.5589999999999993</v>
      </c>
      <c r="G47" s="13">
        <v>1213.55</v>
      </c>
      <c r="H47" s="95">
        <f t="shared" si="7"/>
        <v>10.386774449999999</v>
      </c>
      <c r="I47" s="13">
        <f>F47/5*G47</f>
        <v>2077.3548899999996</v>
      </c>
      <c r="J47" s="25"/>
    </row>
    <row r="48" spans="1:13" ht="31.5" hidden="1" customHeight="1">
      <c r="A48" s="41">
        <v>14</v>
      </c>
      <c r="B48" s="91" t="s">
        <v>107</v>
      </c>
      <c r="C48" s="92" t="s">
        <v>100</v>
      </c>
      <c r="D48" s="91" t="s">
        <v>42</v>
      </c>
      <c r="E48" s="93">
        <v>1711.8</v>
      </c>
      <c r="F48" s="94">
        <f>SUM(E48*2/1000)</f>
        <v>3.4236</v>
      </c>
      <c r="G48" s="13">
        <v>1213.55</v>
      </c>
      <c r="H48" s="95">
        <f t="shared" si="7"/>
        <v>4.1547097800000001</v>
      </c>
      <c r="I48" s="13">
        <f>F48/2*G48</f>
        <v>2077.3548900000001</v>
      </c>
      <c r="J48" s="25"/>
    </row>
    <row r="49" spans="1:14" ht="31.5" hidden="1" customHeight="1">
      <c r="A49" s="41">
        <v>15</v>
      </c>
      <c r="B49" s="91" t="s">
        <v>108</v>
      </c>
      <c r="C49" s="92" t="s">
        <v>38</v>
      </c>
      <c r="D49" s="91" t="s">
        <v>42</v>
      </c>
      <c r="E49" s="93">
        <v>15</v>
      </c>
      <c r="F49" s="94">
        <f>SUM(E49*2/100)</f>
        <v>0.3</v>
      </c>
      <c r="G49" s="13">
        <v>2730.49</v>
      </c>
      <c r="H49" s="95">
        <f t="shared" si="7"/>
        <v>0.81914699999999996</v>
      </c>
      <c r="I49" s="13">
        <f t="shared" ref="I49:I50" si="9">F49/2*G49</f>
        <v>409.57349999999997</v>
      </c>
      <c r="J49" s="25"/>
    </row>
    <row r="50" spans="1:14" ht="15.75" hidden="1" customHeight="1">
      <c r="A50" s="41">
        <v>16</v>
      </c>
      <c r="B50" s="91" t="s">
        <v>39</v>
      </c>
      <c r="C50" s="92" t="s">
        <v>40</v>
      </c>
      <c r="D50" s="91" t="s">
        <v>42</v>
      </c>
      <c r="E50" s="93">
        <v>1</v>
      </c>
      <c r="F50" s="94">
        <v>0.02</v>
      </c>
      <c r="G50" s="13">
        <v>5322.15</v>
      </c>
      <c r="H50" s="95">
        <f t="shared" si="7"/>
        <v>0.106443</v>
      </c>
      <c r="I50" s="13">
        <f t="shared" si="9"/>
        <v>53.221499999999999</v>
      </c>
      <c r="J50" s="25"/>
      <c r="L50" s="21"/>
      <c r="M50" s="22"/>
      <c r="N50" s="23"/>
    </row>
    <row r="51" spans="1:14" ht="15.75" hidden="1" customHeight="1">
      <c r="A51" s="41">
        <v>11</v>
      </c>
      <c r="B51" s="91" t="s">
        <v>41</v>
      </c>
      <c r="C51" s="92" t="s">
        <v>85</v>
      </c>
      <c r="D51" s="91" t="s">
        <v>71</v>
      </c>
      <c r="E51" s="93">
        <v>90</v>
      </c>
      <c r="F51" s="94">
        <f>SUM(E51)*3</f>
        <v>270</v>
      </c>
      <c r="G51" s="13">
        <v>65.67</v>
      </c>
      <c r="H51" s="95">
        <f t="shared" si="7"/>
        <v>17.730900000000002</v>
      </c>
      <c r="I51" s="13">
        <f>E51*G51</f>
        <v>5910.3</v>
      </c>
      <c r="J51" s="25"/>
      <c r="L51" s="21"/>
      <c r="M51" s="22"/>
      <c r="N51" s="23"/>
    </row>
    <row r="52" spans="1:14" ht="15.75" customHeight="1">
      <c r="A52" s="201" t="s">
        <v>142</v>
      </c>
      <c r="B52" s="202"/>
      <c r="C52" s="202"/>
      <c r="D52" s="202"/>
      <c r="E52" s="202"/>
      <c r="F52" s="202"/>
      <c r="G52" s="202"/>
      <c r="H52" s="202"/>
      <c r="I52" s="203"/>
      <c r="J52" s="25"/>
      <c r="L52" s="21"/>
      <c r="M52" s="22"/>
      <c r="N52" s="23"/>
    </row>
    <row r="53" spans="1:14" ht="15.75" hidden="1" customHeight="1">
      <c r="A53" s="90"/>
      <c r="B53" s="48" t="s">
        <v>43</v>
      </c>
      <c r="C53" s="17"/>
      <c r="D53" s="16"/>
      <c r="E53" s="16"/>
      <c r="F53" s="16"/>
      <c r="G53" s="31"/>
      <c r="H53" s="31"/>
      <c r="I53" s="19"/>
      <c r="J53" s="25"/>
      <c r="L53" s="21"/>
      <c r="M53" s="22"/>
      <c r="N53" s="23"/>
    </row>
    <row r="54" spans="1:14" ht="31.5" hidden="1" customHeight="1">
      <c r="A54" s="41">
        <v>14</v>
      </c>
      <c r="B54" s="91" t="s">
        <v>109</v>
      </c>
      <c r="C54" s="92" t="s">
        <v>88</v>
      </c>
      <c r="D54" s="91" t="s">
        <v>110</v>
      </c>
      <c r="E54" s="93">
        <v>96.58</v>
      </c>
      <c r="F54" s="94">
        <f>SUM(E54*6/100)</f>
        <v>5.7948000000000004</v>
      </c>
      <c r="G54" s="13">
        <v>1547.28</v>
      </c>
      <c r="H54" s="95">
        <f>SUM(F54*G54/1000)</f>
        <v>8.9661781440000006</v>
      </c>
      <c r="I54" s="13">
        <f>F54/6*G54</f>
        <v>1494.3630240000002</v>
      </c>
      <c r="J54" s="25"/>
      <c r="L54" s="21"/>
      <c r="M54" s="22"/>
      <c r="N54" s="23"/>
    </row>
    <row r="55" spans="1:14" ht="15.75" customHeight="1">
      <c r="A55" s="41"/>
      <c r="B55" s="67" t="s">
        <v>44</v>
      </c>
      <c r="C55" s="40"/>
      <c r="D55" s="34"/>
      <c r="E55" s="19"/>
      <c r="F55" s="85"/>
      <c r="G55" s="37"/>
      <c r="H55" s="68"/>
      <c r="I55" s="20"/>
      <c r="J55" s="25"/>
      <c r="L55" s="21"/>
      <c r="M55" s="22"/>
      <c r="N55" s="23"/>
    </row>
    <row r="56" spans="1:14" ht="15.75" hidden="1" customHeight="1">
      <c r="A56" s="41"/>
      <c r="B56" s="91" t="s">
        <v>45</v>
      </c>
      <c r="C56" s="92" t="s">
        <v>88</v>
      </c>
      <c r="D56" s="91" t="s">
        <v>54</v>
      </c>
      <c r="E56" s="93">
        <v>855.9</v>
      </c>
      <c r="F56" s="95">
        <v>8.6</v>
      </c>
      <c r="G56" s="13">
        <v>747.3</v>
      </c>
      <c r="H56" s="99">
        <v>6.4</v>
      </c>
      <c r="I56" s="13">
        <v>0</v>
      </c>
      <c r="J56" s="25"/>
      <c r="L56" s="21"/>
      <c r="M56" s="22"/>
      <c r="N56" s="23"/>
    </row>
    <row r="57" spans="1:14" ht="15.75" customHeight="1">
      <c r="A57" s="41">
        <v>7</v>
      </c>
      <c r="B57" s="91" t="s">
        <v>86</v>
      </c>
      <c r="C57" s="92" t="s">
        <v>25</v>
      </c>
      <c r="D57" s="91" t="s">
        <v>165</v>
      </c>
      <c r="E57" s="93">
        <v>256</v>
      </c>
      <c r="F57" s="95">
        <f>E57*12</f>
        <v>3072</v>
      </c>
      <c r="G57" s="13">
        <v>1.4</v>
      </c>
      <c r="H57" s="99">
        <f>F57*G57/1000</f>
        <v>4.3007999999999988</v>
      </c>
      <c r="I57" s="13">
        <f>1560/12*G57</f>
        <v>182</v>
      </c>
      <c r="J57" s="25"/>
      <c r="L57" s="21"/>
      <c r="M57" s="22"/>
      <c r="N57" s="23"/>
    </row>
    <row r="58" spans="1:14" ht="15.75" hidden="1" customHeight="1">
      <c r="A58" s="41"/>
      <c r="B58" s="67" t="s">
        <v>126</v>
      </c>
      <c r="C58" s="40"/>
      <c r="D58" s="34"/>
      <c r="E58" s="19"/>
      <c r="F58" s="85"/>
      <c r="G58" s="69"/>
      <c r="H58" s="68"/>
      <c r="I58" s="20"/>
      <c r="J58" s="25"/>
      <c r="L58" s="21"/>
      <c r="M58" s="22"/>
      <c r="N58" s="23"/>
    </row>
    <row r="59" spans="1:14" ht="15.75" hidden="1" customHeight="1">
      <c r="A59" s="41"/>
      <c r="B59" s="91" t="s">
        <v>127</v>
      </c>
      <c r="C59" s="92" t="s">
        <v>85</v>
      </c>
      <c r="D59" s="91" t="s">
        <v>65</v>
      </c>
      <c r="E59" s="93">
        <v>2</v>
      </c>
      <c r="F59" s="94">
        <f>SUM(E59)</f>
        <v>2</v>
      </c>
      <c r="G59" s="100">
        <v>237.75</v>
      </c>
      <c r="H59" s="95">
        <f t="shared" ref="H59" si="10">SUM(F59*G59/1000)</f>
        <v>0.47549999999999998</v>
      </c>
      <c r="I59" s="13">
        <v>0</v>
      </c>
      <c r="J59" s="25"/>
      <c r="L59" s="21"/>
      <c r="M59" s="22"/>
      <c r="N59" s="23"/>
    </row>
    <row r="60" spans="1:14" ht="13.5" customHeight="1">
      <c r="A60" s="41"/>
      <c r="B60" s="81" t="s">
        <v>46</v>
      </c>
      <c r="C60" s="17"/>
      <c r="D60" s="16"/>
      <c r="E60" s="16"/>
      <c r="F60" s="86"/>
      <c r="G60" s="65"/>
      <c r="H60" s="68"/>
      <c r="I60" s="19"/>
      <c r="J60" s="25"/>
      <c r="L60" s="21"/>
      <c r="M60" s="22"/>
      <c r="N60" s="23"/>
    </row>
    <row r="61" spans="1:14" ht="22.5" customHeight="1">
      <c r="A61" s="41">
        <v>8</v>
      </c>
      <c r="B61" s="15" t="s">
        <v>47</v>
      </c>
      <c r="C61" s="17" t="s">
        <v>85</v>
      </c>
      <c r="D61" s="91" t="s">
        <v>165</v>
      </c>
      <c r="E61" s="19">
        <v>10</v>
      </c>
      <c r="F61" s="94">
        <v>10</v>
      </c>
      <c r="G61" s="135">
        <v>331.57</v>
      </c>
      <c r="H61" s="101">
        <f t="shared" ref="H61:H68" si="11">SUM(F61*G61/1000)</f>
        <v>3.3156999999999996</v>
      </c>
      <c r="I61" s="13">
        <f>G61*1</f>
        <v>331.57</v>
      </c>
      <c r="J61" s="25"/>
      <c r="L61" s="21"/>
      <c r="M61" s="22"/>
      <c r="N61" s="23"/>
    </row>
    <row r="62" spans="1:14" ht="24.75" hidden="1" customHeight="1">
      <c r="A62" s="31">
        <v>29</v>
      </c>
      <c r="B62" s="15" t="s">
        <v>48</v>
      </c>
      <c r="C62" s="17" t="s">
        <v>85</v>
      </c>
      <c r="D62" s="91" t="s">
        <v>65</v>
      </c>
      <c r="E62" s="19">
        <v>5</v>
      </c>
      <c r="F62" s="94">
        <v>5</v>
      </c>
      <c r="G62" s="13">
        <v>75.25</v>
      </c>
      <c r="H62" s="101">
        <f t="shared" si="11"/>
        <v>0.37624999999999997</v>
      </c>
      <c r="I62" s="13">
        <v>0</v>
      </c>
      <c r="J62" s="25"/>
      <c r="L62" s="21"/>
      <c r="M62" s="22"/>
      <c r="N62" s="23"/>
    </row>
    <row r="63" spans="1:14" ht="19.5" hidden="1" customHeight="1">
      <c r="A63" s="31">
        <v>25</v>
      </c>
      <c r="B63" s="15" t="s">
        <v>49</v>
      </c>
      <c r="C63" s="17" t="s">
        <v>111</v>
      </c>
      <c r="D63" s="15" t="s">
        <v>54</v>
      </c>
      <c r="E63" s="93">
        <v>13018</v>
      </c>
      <c r="F63" s="13">
        <f>SUM(E63/100)</f>
        <v>130.18</v>
      </c>
      <c r="G63" s="13">
        <v>212.15</v>
      </c>
      <c r="H63" s="101">
        <f t="shared" si="11"/>
        <v>27.617687</v>
      </c>
      <c r="I63" s="13">
        <f>F63*G63</f>
        <v>27617.687000000002</v>
      </c>
      <c r="J63" s="25"/>
      <c r="L63" s="21"/>
      <c r="M63" s="22"/>
      <c r="N63" s="23"/>
    </row>
    <row r="64" spans="1:14" ht="24" hidden="1" customHeight="1">
      <c r="A64" s="31">
        <v>26</v>
      </c>
      <c r="B64" s="15" t="s">
        <v>50</v>
      </c>
      <c r="C64" s="17" t="s">
        <v>112</v>
      </c>
      <c r="D64" s="15"/>
      <c r="E64" s="93">
        <v>13018</v>
      </c>
      <c r="F64" s="13">
        <f>SUM(E64/1000)</f>
        <v>13.018000000000001</v>
      </c>
      <c r="G64" s="13">
        <v>165.21</v>
      </c>
      <c r="H64" s="101">
        <f t="shared" si="11"/>
        <v>2.1507037800000002</v>
      </c>
      <c r="I64" s="13">
        <f t="shared" ref="I64:I68" si="12">F64*G64</f>
        <v>2150.7037800000003</v>
      </c>
      <c r="J64" s="25"/>
      <c r="L64" s="21"/>
      <c r="M64" s="22"/>
      <c r="N64" s="23"/>
    </row>
    <row r="65" spans="1:14" ht="22.5" hidden="1" customHeight="1">
      <c r="A65" s="31">
        <v>27</v>
      </c>
      <c r="B65" s="15" t="s">
        <v>51</v>
      </c>
      <c r="C65" s="17" t="s">
        <v>76</v>
      </c>
      <c r="D65" s="15" t="s">
        <v>54</v>
      </c>
      <c r="E65" s="93">
        <v>1279</v>
      </c>
      <c r="F65" s="13">
        <f>SUM(E65/100)</f>
        <v>12.79</v>
      </c>
      <c r="G65" s="13">
        <v>2074.63</v>
      </c>
      <c r="H65" s="101">
        <f t="shared" si="11"/>
        <v>26.534517700000002</v>
      </c>
      <c r="I65" s="13">
        <f t="shared" si="12"/>
        <v>26534.5177</v>
      </c>
      <c r="J65" s="25"/>
      <c r="L65" s="21"/>
      <c r="M65" s="22"/>
      <c r="N65" s="23"/>
    </row>
    <row r="66" spans="1:14" ht="22.5" hidden="1" customHeight="1">
      <c r="A66" s="31">
        <v>28</v>
      </c>
      <c r="B66" s="102" t="s">
        <v>113</v>
      </c>
      <c r="C66" s="17" t="s">
        <v>32</v>
      </c>
      <c r="D66" s="15"/>
      <c r="E66" s="93">
        <v>12</v>
      </c>
      <c r="F66" s="13">
        <f>SUM(E66)</f>
        <v>12</v>
      </c>
      <c r="G66" s="13">
        <v>45.32</v>
      </c>
      <c r="H66" s="101">
        <f t="shared" si="11"/>
        <v>0.54383999999999999</v>
      </c>
      <c r="I66" s="13">
        <f t="shared" si="12"/>
        <v>543.84</v>
      </c>
      <c r="J66" s="25"/>
      <c r="L66" s="21"/>
      <c r="M66" s="22"/>
      <c r="N66" s="23"/>
    </row>
    <row r="67" spans="1:14" ht="23.25" hidden="1" customHeight="1">
      <c r="A67" s="31">
        <v>29</v>
      </c>
      <c r="B67" s="102" t="s">
        <v>114</v>
      </c>
      <c r="C67" s="17" t="s">
        <v>32</v>
      </c>
      <c r="D67" s="15"/>
      <c r="E67" s="93">
        <v>12</v>
      </c>
      <c r="F67" s="13">
        <f>SUM(E67)</f>
        <v>12</v>
      </c>
      <c r="G67" s="13">
        <v>42.28</v>
      </c>
      <c r="H67" s="101">
        <f t="shared" si="11"/>
        <v>0.50736000000000003</v>
      </c>
      <c r="I67" s="13">
        <f t="shared" si="12"/>
        <v>507.36</v>
      </c>
      <c r="J67" s="25"/>
      <c r="L67" s="21"/>
      <c r="M67" s="22"/>
      <c r="N67" s="23"/>
    </row>
    <row r="68" spans="1:14" ht="24" hidden="1" customHeight="1">
      <c r="A68" s="31">
        <v>13</v>
      </c>
      <c r="B68" s="15" t="s">
        <v>57</v>
      </c>
      <c r="C68" s="17" t="s">
        <v>58</v>
      </c>
      <c r="D68" s="15" t="s">
        <v>54</v>
      </c>
      <c r="E68" s="19">
        <v>1</v>
      </c>
      <c r="F68" s="94">
        <f>SUM(E68)</f>
        <v>1</v>
      </c>
      <c r="G68" s="13">
        <v>49.88</v>
      </c>
      <c r="H68" s="101">
        <f t="shared" si="11"/>
        <v>4.9880000000000001E-2</v>
      </c>
      <c r="I68" s="13">
        <f t="shared" si="12"/>
        <v>49.88</v>
      </c>
      <c r="J68" s="25"/>
      <c r="L68" s="21"/>
      <c r="M68" s="22"/>
      <c r="N68" s="23"/>
    </row>
    <row r="69" spans="1:14" ht="21.75" hidden="1" customHeight="1">
      <c r="A69" s="90"/>
      <c r="B69" s="81" t="s">
        <v>115</v>
      </c>
      <c r="C69" s="81"/>
      <c r="D69" s="81"/>
      <c r="E69" s="81"/>
      <c r="F69" s="81"/>
      <c r="G69" s="81"/>
      <c r="H69" s="81"/>
      <c r="I69" s="19"/>
      <c r="J69" s="25"/>
      <c r="L69" s="21"/>
      <c r="M69" s="22"/>
      <c r="N69" s="23"/>
    </row>
    <row r="70" spans="1:14" ht="19.5" hidden="1" customHeight="1">
      <c r="A70" s="31">
        <v>16</v>
      </c>
      <c r="B70" s="91" t="s">
        <v>116</v>
      </c>
      <c r="C70" s="17"/>
      <c r="D70" s="15"/>
      <c r="E70" s="85"/>
      <c r="F70" s="13">
        <v>1</v>
      </c>
      <c r="G70" s="13">
        <v>10041.700000000001</v>
      </c>
      <c r="H70" s="101">
        <f>G70*F70/1000</f>
        <v>10.041700000000001</v>
      </c>
      <c r="I70" s="13">
        <f>G70</f>
        <v>10041.700000000001</v>
      </c>
      <c r="J70" s="25"/>
      <c r="L70" s="21"/>
      <c r="M70" s="22"/>
      <c r="N70" s="23"/>
    </row>
    <row r="71" spans="1:14" ht="18.75" customHeight="1">
      <c r="A71" s="31"/>
      <c r="B71" s="49" t="s">
        <v>72</v>
      </c>
      <c r="C71" s="49"/>
      <c r="D71" s="49"/>
      <c r="E71" s="19"/>
      <c r="F71" s="19"/>
      <c r="G71" s="31"/>
      <c r="H71" s="31"/>
      <c r="I71" s="19"/>
      <c r="J71" s="25"/>
      <c r="L71" s="21"/>
      <c r="M71" s="22"/>
      <c r="N71" s="23"/>
    </row>
    <row r="72" spans="1:14" ht="16.5" hidden="1" customHeight="1">
      <c r="A72" s="31">
        <v>12</v>
      </c>
      <c r="B72" s="15" t="s">
        <v>73</v>
      </c>
      <c r="C72" s="17" t="s">
        <v>74</v>
      </c>
      <c r="D72" s="15" t="s">
        <v>65</v>
      </c>
      <c r="E72" s="19">
        <v>5</v>
      </c>
      <c r="F72" s="13">
        <v>0.5</v>
      </c>
      <c r="G72" s="13">
        <v>501.62</v>
      </c>
      <c r="H72" s="101">
        <f t="shared" ref="H72:H74" si="13">SUM(F72*G72/1000)</f>
        <v>0.25080999999999998</v>
      </c>
      <c r="I72" s="13">
        <f>G72*0.1</f>
        <v>50.162000000000006</v>
      </c>
      <c r="J72" s="25"/>
      <c r="L72" s="21"/>
      <c r="M72" s="22"/>
      <c r="N72" s="23"/>
    </row>
    <row r="73" spans="1:14" ht="16.5" hidden="1" customHeight="1">
      <c r="A73" s="31"/>
      <c r="B73" s="15" t="s">
        <v>128</v>
      </c>
      <c r="C73" s="17" t="s">
        <v>85</v>
      </c>
      <c r="D73" s="15"/>
      <c r="E73" s="19">
        <v>1</v>
      </c>
      <c r="F73" s="84">
        <f>E73</f>
        <v>1</v>
      </c>
      <c r="G73" s="13">
        <v>852.99</v>
      </c>
      <c r="H73" s="101">
        <f t="shared" si="13"/>
        <v>0.85299000000000003</v>
      </c>
      <c r="I73" s="13">
        <v>0</v>
      </c>
      <c r="J73" s="25"/>
      <c r="L73" s="21"/>
      <c r="M73" s="22"/>
      <c r="N73" s="23"/>
    </row>
    <row r="74" spans="1:14" ht="15" hidden="1" customHeight="1">
      <c r="A74" s="31"/>
      <c r="B74" s="15" t="s">
        <v>129</v>
      </c>
      <c r="C74" s="17" t="s">
        <v>85</v>
      </c>
      <c r="D74" s="15"/>
      <c r="E74" s="19">
        <v>1</v>
      </c>
      <c r="F74" s="94">
        <f>SUM(E74)</f>
        <v>1</v>
      </c>
      <c r="G74" s="13">
        <v>358.51</v>
      </c>
      <c r="H74" s="101">
        <f t="shared" si="13"/>
        <v>0.35851</v>
      </c>
      <c r="I74" s="13">
        <v>0</v>
      </c>
      <c r="J74" s="25"/>
      <c r="L74" s="21"/>
      <c r="M74" s="22"/>
      <c r="N74" s="23"/>
    </row>
    <row r="75" spans="1:14" ht="15" customHeight="1">
      <c r="A75" s="31">
        <v>9</v>
      </c>
      <c r="B75" s="121" t="s">
        <v>194</v>
      </c>
      <c r="C75" s="38" t="s">
        <v>85</v>
      </c>
      <c r="D75" s="121" t="s">
        <v>164</v>
      </c>
      <c r="E75" s="18">
        <v>2</v>
      </c>
      <c r="F75" s="68">
        <f>E75*12</f>
        <v>24</v>
      </c>
      <c r="G75" s="37">
        <v>420</v>
      </c>
      <c r="H75" s="101"/>
      <c r="I75" s="13">
        <f>G75*2</f>
        <v>840</v>
      </c>
      <c r="J75" s="25"/>
      <c r="L75" s="21"/>
      <c r="M75" s="22"/>
      <c r="N75" s="23"/>
    </row>
    <row r="76" spans="1:14" ht="17.25" hidden="1" customHeight="1">
      <c r="A76" s="31"/>
      <c r="B76" s="50" t="s">
        <v>75</v>
      </c>
      <c r="C76" s="38"/>
      <c r="D76" s="31"/>
      <c r="E76" s="19"/>
      <c r="F76" s="19"/>
      <c r="G76" s="37" t="s">
        <v>117</v>
      </c>
      <c r="H76" s="37"/>
      <c r="I76" s="19"/>
      <c r="J76" s="25"/>
      <c r="L76" s="21"/>
      <c r="M76" s="22"/>
      <c r="N76" s="23"/>
    </row>
    <row r="77" spans="1:14" ht="18" hidden="1" customHeight="1">
      <c r="A77" s="31">
        <v>12</v>
      </c>
      <c r="B77" s="52" t="s">
        <v>118</v>
      </c>
      <c r="C77" s="17" t="s">
        <v>76</v>
      </c>
      <c r="D77" s="15"/>
      <c r="E77" s="19"/>
      <c r="F77" s="13">
        <v>0.3</v>
      </c>
      <c r="G77" s="13">
        <v>2759.44</v>
      </c>
      <c r="H77" s="101">
        <f t="shared" ref="H77" si="14">SUM(F77*G77/1000)</f>
        <v>0.82783200000000001</v>
      </c>
      <c r="I77" s="13">
        <v>0</v>
      </c>
      <c r="J77" s="25"/>
      <c r="L77" s="21"/>
      <c r="M77" s="22"/>
      <c r="N77" s="23"/>
    </row>
    <row r="78" spans="1:14" ht="18" customHeight="1">
      <c r="A78" s="136"/>
      <c r="B78" s="144" t="s">
        <v>174</v>
      </c>
      <c r="C78" s="38"/>
      <c r="D78" s="121"/>
      <c r="E78" s="18"/>
      <c r="F78" s="68"/>
      <c r="G78" s="37"/>
      <c r="H78" s="137"/>
      <c r="I78" s="138"/>
      <c r="J78" s="25"/>
      <c r="L78" s="21"/>
      <c r="M78" s="22"/>
      <c r="N78" s="23"/>
    </row>
    <row r="79" spans="1:14" ht="33" customHeight="1">
      <c r="A79" s="136">
        <v>10</v>
      </c>
      <c r="B79" s="121" t="s">
        <v>175</v>
      </c>
      <c r="C79" s="41" t="s">
        <v>176</v>
      </c>
      <c r="D79" s="121"/>
      <c r="E79" s="18">
        <v>2581.1999999999998</v>
      </c>
      <c r="F79" s="37">
        <f>E79*12</f>
        <v>30974.399999999998</v>
      </c>
      <c r="G79" s="37">
        <v>2.6</v>
      </c>
      <c r="H79" s="137"/>
      <c r="I79" s="138">
        <f>G79*F79/12</f>
        <v>6711.12</v>
      </c>
      <c r="J79" s="25"/>
      <c r="L79" s="21"/>
      <c r="M79" s="22"/>
      <c r="N79" s="23"/>
    </row>
    <row r="80" spans="1:14" ht="15.75" customHeight="1">
      <c r="A80" s="205" t="s">
        <v>143</v>
      </c>
      <c r="B80" s="206"/>
      <c r="C80" s="206"/>
      <c r="D80" s="206"/>
      <c r="E80" s="206"/>
      <c r="F80" s="206"/>
      <c r="G80" s="206"/>
      <c r="H80" s="206"/>
      <c r="I80" s="207"/>
      <c r="J80" s="25"/>
      <c r="L80" s="21"/>
      <c r="M80" s="22"/>
      <c r="N80" s="23"/>
    </row>
    <row r="81" spans="1:22" ht="15.75" customHeight="1">
      <c r="A81" s="31">
        <v>11</v>
      </c>
      <c r="B81" s="121" t="s">
        <v>119</v>
      </c>
      <c r="C81" s="38" t="s">
        <v>55</v>
      </c>
      <c r="D81" s="169"/>
      <c r="E81" s="37">
        <v>2581.1999999999998</v>
      </c>
      <c r="F81" s="37">
        <f>SUM(E81*12)</f>
        <v>30974.399999999998</v>
      </c>
      <c r="G81" s="37">
        <v>3.5</v>
      </c>
      <c r="H81" s="164">
        <f>SUM(F81*G81/1000)</f>
        <v>108.4104</v>
      </c>
      <c r="I81" s="13">
        <f>F81/12*G81</f>
        <v>9034.1999999999989</v>
      </c>
      <c r="J81" s="25"/>
      <c r="L81" s="21"/>
    </row>
    <row r="82" spans="1:22" ht="31.5" customHeight="1">
      <c r="A82" s="31">
        <v>12</v>
      </c>
      <c r="B82" s="166" t="s">
        <v>195</v>
      </c>
      <c r="C82" s="159" t="s">
        <v>55</v>
      </c>
      <c r="D82" s="167"/>
      <c r="E82" s="168">
        <f>E81</f>
        <v>2581.1999999999998</v>
      </c>
      <c r="F82" s="161">
        <f>E82*12</f>
        <v>30974.399999999998</v>
      </c>
      <c r="G82" s="161">
        <v>3.2</v>
      </c>
      <c r="H82" s="101">
        <f>F82*G82/1000</f>
        <v>99.118080000000006</v>
      </c>
      <c r="I82" s="13">
        <f>F82/12*G82</f>
        <v>8259.84</v>
      </c>
    </row>
    <row r="83" spans="1:22" ht="15.75" customHeight="1">
      <c r="A83" s="90"/>
      <c r="B83" s="39" t="s">
        <v>79</v>
      </c>
      <c r="C83" s="41"/>
      <c r="D83" s="16"/>
      <c r="E83" s="16"/>
      <c r="F83" s="16"/>
      <c r="G83" s="19"/>
      <c r="H83" s="19"/>
      <c r="I83" s="33">
        <f>I82+I81+I79+I75+I57+I31+I30+I27+I18+I17+I16+I61</f>
        <v>34702.705953999997</v>
      </c>
    </row>
    <row r="84" spans="1:22" ht="15.75" customHeight="1">
      <c r="A84" s="208" t="s">
        <v>60</v>
      </c>
      <c r="B84" s="209"/>
      <c r="C84" s="209"/>
      <c r="D84" s="209"/>
      <c r="E84" s="209"/>
      <c r="F84" s="209"/>
      <c r="G84" s="209"/>
      <c r="H84" s="209"/>
      <c r="I84" s="210"/>
    </row>
    <row r="85" spans="1:22" ht="15.75" customHeight="1">
      <c r="A85" s="31">
        <v>13</v>
      </c>
      <c r="B85" s="121" t="s">
        <v>222</v>
      </c>
      <c r="C85" s="38" t="s">
        <v>177</v>
      </c>
      <c r="D85" s="66"/>
      <c r="E85" s="37"/>
      <c r="F85" s="37">
        <v>1</v>
      </c>
      <c r="G85" s="37">
        <v>84809.55</v>
      </c>
      <c r="H85" s="101" t="e">
        <f>#REF!*#REF!/1000</f>
        <v>#REF!</v>
      </c>
      <c r="I85" s="13">
        <f>G85*1</f>
        <v>84809.55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9"/>
    </row>
    <row r="86" spans="1:22" ht="15.75" customHeight="1">
      <c r="A86" s="31">
        <v>14</v>
      </c>
      <c r="B86" s="119" t="s">
        <v>223</v>
      </c>
      <c r="C86" s="120" t="s">
        <v>224</v>
      </c>
      <c r="D86" s="66"/>
      <c r="E86" s="37"/>
      <c r="F86" s="37">
        <v>1</v>
      </c>
      <c r="G86" s="37">
        <v>110.52</v>
      </c>
      <c r="H86" s="101"/>
      <c r="I86" s="13">
        <f>G86*1</f>
        <v>110.52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9"/>
    </row>
    <row r="87" spans="1:22" ht="15.75" customHeight="1">
      <c r="A87" s="31">
        <v>15</v>
      </c>
      <c r="B87" s="119" t="s">
        <v>80</v>
      </c>
      <c r="C87" s="120" t="s">
        <v>85</v>
      </c>
      <c r="D87" s="66"/>
      <c r="E87" s="37"/>
      <c r="F87" s="37">
        <v>2</v>
      </c>
      <c r="G87" s="37">
        <v>215.85</v>
      </c>
      <c r="H87" s="101"/>
      <c r="I87" s="13">
        <f>G87*2</f>
        <v>431.7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9"/>
    </row>
    <row r="88" spans="1:22" ht="15.75" customHeight="1">
      <c r="A88" s="31"/>
      <c r="B88" s="46" t="s">
        <v>52</v>
      </c>
      <c r="C88" s="42"/>
      <c r="D88" s="54"/>
      <c r="E88" s="42">
        <v>1</v>
      </c>
      <c r="F88" s="42"/>
      <c r="G88" s="42"/>
      <c r="H88" s="42"/>
      <c r="I88" s="33">
        <f>SUM(I85:I87)</f>
        <v>85351.77</v>
      </c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</row>
    <row r="89" spans="1:22" ht="15.75" customHeight="1">
      <c r="A89" s="31"/>
      <c r="B89" s="52" t="s">
        <v>78</v>
      </c>
      <c r="C89" s="16"/>
      <c r="D89" s="16"/>
      <c r="E89" s="43"/>
      <c r="F89" s="43"/>
      <c r="G89" s="44"/>
      <c r="H89" s="44"/>
      <c r="I89" s="18">
        <v>0</v>
      </c>
    </row>
    <row r="90" spans="1:22" ht="15.75" customHeight="1">
      <c r="A90" s="55"/>
      <c r="B90" s="47" t="s">
        <v>136</v>
      </c>
      <c r="C90" s="36"/>
      <c r="D90" s="36"/>
      <c r="E90" s="36"/>
      <c r="F90" s="36"/>
      <c r="G90" s="36"/>
      <c r="H90" s="36"/>
      <c r="I90" s="45">
        <f>I83+I88</f>
        <v>120054.47595399999</v>
      </c>
    </row>
    <row r="91" spans="1:22" ht="15.75" customHeight="1">
      <c r="A91" s="204" t="s">
        <v>233</v>
      </c>
      <c r="B91" s="204"/>
      <c r="C91" s="204"/>
      <c r="D91" s="204"/>
      <c r="E91" s="204"/>
      <c r="F91" s="204"/>
      <c r="G91" s="204"/>
      <c r="H91" s="204"/>
      <c r="I91" s="204"/>
    </row>
    <row r="92" spans="1:22" ht="15.75" customHeight="1">
      <c r="A92" s="77"/>
      <c r="B92" s="185" t="s">
        <v>234</v>
      </c>
      <c r="C92" s="185"/>
      <c r="D92" s="185"/>
      <c r="E92" s="185"/>
      <c r="F92" s="185"/>
      <c r="G92" s="185"/>
      <c r="H92" s="89"/>
      <c r="I92" s="3"/>
    </row>
    <row r="93" spans="1:22" ht="15.75" customHeight="1">
      <c r="A93" s="80"/>
      <c r="B93" s="186" t="s">
        <v>6</v>
      </c>
      <c r="C93" s="186"/>
      <c r="D93" s="186"/>
      <c r="E93" s="186"/>
      <c r="F93" s="186"/>
      <c r="G93" s="186"/>
      <c r="H93" s="26"/>
      <c r="I93" s="5"/>
    </row>
    <row r="94" spans="1:22" ht="15.75" customHeight="1">
      <c r="A94" s="10"/>
      <c r="B94" s="10"/>
      <c r="C94" s="10"/>
      <c r="D94" s="10"/>
      <c r="E94" s="10"/>
      <c r="F94" s="10"/>
      <c r="G94" s="10"/>
      <c r="H94" s="10"/>
      <c r="I94" s="10"/>
    </row>
    <row r="95" spans="1:22" ht="15.75" customHeight="1">
      <c r="A95" s="187" t="s">
        <v>7</v>
      </c>
      <c r="B95" s="187"/>
      <c r="C95" s="187"/>
      <c r="D95" s="187"/>
      <c r="E95" s="187"/>
      <c r="F95" s="187"/>
      <c r="G95" s="187"/>
      <c r="H95" s="187"/>
      <c r="I95" s="187"/>
    </row>
    <row r="96" spans="1:22" ht="15.75" customHeight="1">
      <c r="A96" s="187" t="s">
        <v>8</v>
      </c>
      <c r="B96" s="187"/>
      <c r="C96" s="187"/>
      <c r="D96" s="187"/>
      <c r="E96" s="187"/>
      <c r="F96" s="187"/>
      <c r="G96" s="187"/>
      <c r="H96" s="187"/>
      <c r="I96" s="187"/>
    </row>
    <row r="97" spans="1:9" ht="15.75" customHeight="1">
      <c r="A97" s="190" t="s">
        <v>61</v>
      </c>
      <c r="B97" s="190"/>
      <c r="C97" s="190"/>
      <c r="D97" s="190"/>
      <c r="E97" s="190"/>
      <c r="F97" s="190"/>
      <c r="G97" s="190"/>
      <c r="H97" s="190"/>
      <c r="I97" s="190"/>
    </row>
    <row r="98" spans="1:9" ht="15.75" customHeight="1">
      <c r="A98" s="11"/>
    </row>
    <row r="99" spans="1:9" ht="15.75" customHeight="1">
      <c r="A99" s="191" t="s">
        <v>9</v>
      </c>
      <c r="B99" s="191"/>
      <c r="C99" s="191"/>
      <c r="D99" s="191"/>
      <c r="E99" s="191"/>
      <c r="F99" s="191"/>
      <c r="G99" s="191"/>
      <c r="H99" s="191"/>
      <c r="I99" s="191"/>
    </row>
    <row r="100" spans="1:9" ht="15.75" customHeight="1">
      <c r="A100" s="4"/>
    </row>
    <row r="101" spans="1:9" ht="15.75" customHeight="1">
      <c r="B101" s="83" t="s">
        <v>10</v>
      </c>
      <c r="C101" s="192" t="s">
        <v>84</v>
      </c>
      <c r="D101" s="192"/>
      <c r="E101" s="192"/>
      <c r="F101" s="87"/>
      <c r="I101" s="79"/>
    </row>
    <row r="102" spans="1:9" ht="15.75" customHeight="1">
      <c r="A102" s="80"/>
      <c r="C102" s="186" t="s">
        <v>11</v>
      </c>
      <c r="D102" s="186"/>
      <c r="E102" s="186"/>
      <c r="F102" s="26"/>
      <c r="I102" s="78" t="s">
        <v>12</v>
      </c>
    </row>
    <row r="103" spans="1:9" ht="15.75" customHeight="1">
      <c r="A103" s="27"/>
      <c r="C103" s="12"/>
      <c r="D103" s="12"/>
      <c r="G103" s="12"/>
      <c r="H103" s="12"/>
    </row>
    <row r="104" spans="1:9" ht="15.75" customHeight="1">
      <c r="B104" s="83" t="s">
        <v>13</v>
      </c>
      <c r="C104" s="193"/>
      <c r="D104" s="193"/>
      <c r="E104" s="193"/>
      <c r="F104" s="88"/>
      <c r="I104" s="79"/>
    </row>
    <row r="105" spans="1:9" ht="15.75" customHeight="1">
      <c r="A105" s="80"/>
      <c r="C105" s="189" t="s">
        <v>11</v>
      </c>
      <c r="D105" s="189"/>
      <c r="E105" s="189"/>
      <c r="F105" s="80"/>
      <c r="I105" s="78" t="s">
        <v>12</v>
      </c>
    </row>
    <row r="106" spans="1:9" ht="15.75" customHeight="1">
      <c r="A106" s="4" t="s">
        <v>14</v>
      </c>
    </row>
    <row r="107" spans="1:9">
      <c r="A107" s="188" t="s">
        <v>15</v>
      </c>
      <c r="B107" s="188"/>
      <c r="C107" s="188"/>
      <c r="D107" s="188"/>
      <c r="E107" s="188"/>
      <c r="F107" s="188"/>
      <c r="G107" s="188"/>
      <c r="H107" s="188"/>
      <c r="I107" s="188"/>
    </row>
    <row r="108" spans="1:9" ht="45" customHeight="1">
      <c r="A108" s="184" t="s">
        <v>16</v>
      </c>
      <c r="B108" s="184"/>
      <c r="C108" s="184"/>
      <c r="D108" s="184"/>
      <c r="E108" s="184"/>
      <c r="F108" s="184"/>
      <c r="G108" s="184"/>
      <c r="H108" s="184"/>
      <c r="I108" s="184"/>
    </row>
    <row r="109" spans="1:9" ht="30" customHeight="1">
      <c r="A109" s="184" t="s">
        <v>17</v>
      </c>
      <c r="B109" s="184"/>
      <c r="C109" s="184"/>
      <c r="D109" s="184"/>
      <c r="E109" s="184"/>
      <c r="F109" s="184"/>
      <c r="G109" s="184"/>
      <c r="H109" s="184"/>
      <c r="I109" s="184"/>
    </row>
    <row r="110" spans="1:9" ht="30" customHeight="1">
      <c r="A110" s="184" t="s">
        <v>21</v>
      </c>
      <c r="B110" s="184"/>
      <c r="C110" s="184"/>
      <c r="D110" s="184"/>
      <c r="E110" s="184"/>
      <c r="F110" s="184"/>
      <c r="G110" s="184"/>
      <c r="H110" s="184"/>
      <c r="I110" s="184"/>
    </row>
    <row r="111" spans="1:9" ht="15" customHeight="1">
      <c r="A111" s="184" t="s">
        <v>20</v>
      </c>
      <c r="B111" s="184"/>
      <c r="C111" s="184"/>
      <c r="D111" s="184"/>
      <c r="E111" s="184"/>
      <c r="F111" s="184"/>
      <c r="G111" s="184"/>
      <c r="H111" s="184"/>
      <c r="I111" s="184"/>
    </row>
  </sheetData>
  <autoFilter ref="I12:I83"/>
  <mergeCells count="28">
    <mergeCell ref="A108:I108"/>
    <mergeCell ref="A109:I109"/>
    <mergeCell ref="A110:I110"/>
    <mergeCell ref="A111:I111"/>
    <mergeCell ref="A99:I99"/>
    <mergeCell ref="C101:E101"/>
    <mergeCell ref="C102:E102"/>
    <mergeCell ref="C104:E104"/>
    <mergeCell ref="C105:E105"/>
    <mergeCell ref="A107:I107"/>
    <mergeCell ref="A97:I97"/>
    <mergeCell ref="A15:I15"/>
    <mergeCell ref="A28:I28"/>
    <mergeCell ref="A41:I41"/>
    <mergeCell ref="A52:I52"/>
    <mergeCell ref="A80:I80"/>
    <mergeCell ref="A84:I84"/>
    <mergeCell ref="A91:I91"/>
    <mergeCell ref="B92:G92"/>
    <mergeCell ref="B93:G93"/>
    <mergeCell ref="A95:I95"/>
    <mergeCell ref="A96:I96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3"/>
  <sheetViews>
    <sheetView topLeftCell="A71" workbookViewId="0">
      <selection activeCell="L94" sqref="L9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155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94" t="s">
        <v>147</v>
      </c>
      <c r="B3" s="194"/>
      <c r="C3" s="194"/>
      <c r="D3" s="194"/>
      <c r="E3" s="194"/>
      <c r="F3" s="194"/>
      <c r="G3" s="194"/>
      <c r="H3" s="194"/>
      <c r="I3" s="194"/>
      <c r="J3" s="3"/>
      <c r="K3" s="3"/>
      <c r="L3" s="3"/>
    </row>
    <row r="4" spans="1:13" ht="31.5" customHeight="1">
      <c r="A4" s="195" t="s">
        <v>120</v>
      </c>
      <c r="B4" s="195"/>
      <c r="C4" s="195"/>
      <c r="D4" s="195"/>
      <c r="E4" s="195"/>
      <c r="F4" s="195"/>
      <c r="G4" s="195"/>
      <c r="H4" s="195"/>
      <c r="I4" s="195"/>
    </row>
    <row r="5" spans="1:13" ht="15.75" customHeight="1">
      <c r="A5" s="194" t="s">
        <v>228</v>
      </c>
      <c r="B5" s="198"/>
      <c r="C5" s="198"/>
      <c r="D5" s="198"/>
      <c r="E5" s="198"/>
      <c r="F5" s="198"/>
      <c r="G5" s="198"/>
      <c r="H5" s="198"/>
      <c r="I5" s="198"/>
      <c r="J5" s="2"/>
      <c r="K5" s="2"/>
      <c r="L5" s="2"/>
      <c r="M5" s="2"/>
    </row>
    <row r="6" spans="1:13" ht="15.75" customHeight="1">
      <c r="A6" s="2"/>
      <c r="B6" s="82"/>
      <c r="C6" s="82"/>
      <c r="D6" s="82"/>
      <c r="E6" s="82"/>
      <c r="F6" s="82"/>
      <c r="G6" s="82"/>
      <c r="H6" s="82"/>
      <c r="I6" s="32">
        <v>44074</v>
      </c>
      <c r="J6" s="2"/>
      <c r="K6" s="2"/>
      <c r="L6" s="2"/>
      <c r="M6" s="2"/>
    </row>
    <row r="7" spans="1:13" ht="15.75" customHeight="1">
      <c r="B7" s="83"/>
      <c r="C7" s="83"/>
      <c r="D7" s="83"/>
      <c r="E7" s="3"/>
      <c r="F7" s="3"/>
      <c r="G7" s="3"/>
      <c r="H7" s="3"/>
      <c r="J7" s="3"/>
      <c r="K7" s="3"/>
      <c r="L7" s="3"/>
      <c r="M7" s="3"/>
    </row>
    <row r="8" spans="1:13" s="64" customFormat="1" ht="78.75" customHeight="1">
      <c r="A8" s="196" t="s">
        <v>186</v>
      </c>
      <c r="B8" s="196"/>
      <c r="C8" s="196"/>
      <c r="D8" s="196"/>
      <c r="E8" s="196"/>
      <c r="F8" s="196"/>
      <c r="G8" s="196"/>
      <c r="H8" s="196"/>
      <c r="I8" s="196"/>
      <c r="J8" s="76"/>
      <c r="K8" s="76"/>
      <c r="L8" s="76"/>
      <c r="M8" s="76"/>
    </row>
    <row r="9" spans="1:13" ht="15.75">
      <c r="A9" s="4"/>
      <c r="J9" s="2"/>
      <c r="K9" s="2"/>
      <c r="L9" s="2"/>
      <c r="M9" s="2"/>
    </row>
    <row r="10" spans="1:13" ht="47.25" customHeight="1">
      <c r="A10" s="197" t="s">
        <v>150</v>
      </c>
      <c r="B10" s="197"/>
      <c r="C10" s="197"/>
      <c r="D10" s="197"/>
      <c r="E10" s="197"/>
      <c r="F10" s="197"/>
      <c r="G10" s="197"/>
      <c r="H10" s="197"/>
      <c r="I10" s="19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 ht="15.7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9" t="s">
        <v>59</v>
      </c>
      <c r="B14" s="199"/>
      <c r="C14" s="199"/>
      <c r="D14" s="199"/>
      <c r="E14" s="199"/>
      <c r="F14" s="199"/>
      <c r="G14" s="199"/>
      <c r="H14" s="199"/>
      <c r="I14" s="199"/>
      <c r="J14" s="8"/>
      <c r="K14" s="8"/>
      <c r="L14" s="8"/>
      <c r="M14" s="8"/>
    </row>
    <row r="15" spans="1:13" ht="15.75" customHeight="1">
      <c r="A15" s="200" t="s">
        <v>4</v>
      </c>
      <c r="B15" s="200"/>
      <c r="C15" s="200"/>
      <c r="D15" s="200"/>
      <c r="E15" s="200"/>
      <c r="F15" s="200"/>
      <c r="G15" s="200"/>
      <c r="H15" s="200"/>
      <c r="I15" s="200"/>
      <c r="J15" s="8"/>
      <c r="K15" s="8"/>
      <c r="L15" s="8"/>
      <c r="M15" s="8"/>
    </row>
    <row r="16" spans="1:13" ht="15.75" customHeight="1">
      <c r="A16" s="31">
        <v>1</v>
      </c>
      <c r="B16" s="34" t="s">
        <v>83</v>
      </c>
      <c r="C16" s="40" t="s">
        <v>88</v>
      </c>
      <c r="D16" s="34" t="s">
        <v>161</v>
      </c>
      <c r="E16" s="123">
        <v>47.52</v>
      </c>
      <c r="F16" s="124">
        <f>SUM(E16*156/100)</f>
        <v>74.131200000000007</v>
      </c>
      <c r="G16" s="124">
        <v>261.45</v>
      </c>
      <c r="H16" s="95">
        <f t="shared" ref="H16:H18" si="0">SUM(F16*G16/1000)</f>
        <v>19.381602239999999</v>
      </c>
      <c r="I16" s="13">
        <f>F16/12*G16</f>
        <v>1615.1335200000001</v>
      </c>
      <c r="J16" s="8"/>
      <c r="K16" s="8"/>
      <c r="L16" s="8"/>
      <c r="M16" s="8"/>
    </row>
    <row r="17" spans="1:13" ht="15.75" customHeight="1">
      <c r="A17" s="31">
        <v>2</v>
      </c>
      <c r="B17" s="34" t="s">
        <v>97</v>
      </c>
      <c r="C17" s="40" t="s">
        <v>88</v>
      </c>
      <c r="D17" s="34" t="s">
        <v>162</v>
      </c>
      <c r="E17" s="123">
        <v>190.08</v>
      </c>
      <c r="F17" s="124">
        <f>SUM(E17*104/100)</f>
        <v>197.6832</v>
      </c>
      <c r="G17" s="124">
        <v>261.45</v>
      </c>
      <c r="H17" s="95">
        <f t="shared" si="0"/>
        <v>51.684272639999996</v>
      </c>
      <c r="I17" s="13">
        <f>F17/12*G17</f>
        <v>4307.0227199999999</v>
      </c>
      <c r="J17" s="8"/>
      <c r="K17" s="8"/>
      <c r="L17" s="8"/>
      <c r="M17" s="8"/>
    </row>
    <row r="18" spans="1:13" ht="15.75" customHeight="1">
      <c r="A18" s="31">
        <v>3</v>
      </c>
      <c r="B18" s="34" t="s">
        <v>98</v>
      </c>
      <c r="C18" s="40" t="s">
        <v>88</v>
      </c>
      <c r="D18" s="34" t="s">
        <v>163</v>
      </c>
      <c r="E18" s="123">
        <f>SUM(E16+E17)</f>
        <v>237.60000000000002</v>
      </c>
      <c r="F18" s="124">
        <f>SUM(E18*18/100)</f>
        <v>42.768000000000001</v>
      </c>
      <c r="G18" s="124">
        <v>752.16</v>
      </c>
      <c r="H18" s="95">
        <f t="shared" si="0"/>
        <v>32.168378879999999</v>
      </c>
      <c r="I18" s="13">
        <f>F18/18*2*G18</f>
        <v>3574.2643199999998</v>
      </c>
      <c r="J18" s="8"/>
      <c r="K18" s="8"/>
      <c r="L18" s="8"/>
      <c r="M18" s="8"/>
    </row>
    <row r="19" spans="1:13" ht="15.75" hidden="1" customHeight="1">
      <c r="A19" s="31">
        <v>4</v>
      </c>
      <c r="B19" s="34" t="s">
        <v>121</v>
      </c>
      <c r="C19" s="40" t="s">
        <v>122</v>
      </c>
      <c r="D19" s="34" t="s">
        <v>210</v>
      </c>
      <c r="E19" s="123">
        <v>18.48</v>
      </c>
      <c r="F19" s="124">
        <f>SUM(E19/10)</f>
        <v>1.8480000000000001</v>
      </c>
      <c r="G19" s="124">
        <v>253.7</v>
      </c>
      <c r="H19" s="95">
        <f t="shared" ref="H19:H27" si="1">SUM(F19*G19/1000)</f>
        <v>0.46883760000000002</v>
      </c>
      <c r="I19" s="13">
        <f>G19*F19</f>
        <v>468.83760000000001</v>
      </c>
      <c r="J19" s="8"/>
      <c r="K19" s="8"/>
      <c r="L19" s="8"/>
      <c r="M19" s="8"/>
    </row>
    <row r="20" spans="1:13" ht="15.75" customHeight="1">
      <c r="A20" s="31">
        <v>4</v>
      </c>
      <c r="B20" s="34" t="s">
        <v>87</v>
      </c>
      <c r="C20" s="40" t="s">
        <v>88</v>
      </c>
      <c r="D20" s="34" t="s">
        <v>164</v>
      </c>
      <c r="E20" s="123">
        <v>10.5</v>
      </c>
      <c r="F20" s="124">
        <f>SUM(E20*12/100)</f>
        <v>1.26</v>
      </c>
      <c r="G20" s="124">
        <v>324.83999999999997</v>
      </c>
      <c r="H20" s="95">
        <f t="shared" si="1"/>
        <v>0.40929839999999995</v>
      </c>
      <c r="I20" s="13">
        <f>F20/12*G20</f>
        <v>34.108199999999997</v>
      </c>
      <c r="J20" s="8"/>
      <c r="K20" s="8"/>
      <c r="L20" s="8"/>
      <c r="M20" s="8"/>
    </row>
    <row r="21" spans="1:13" ht="15.75" customHeight="1">
      <c r="A21" s="31">
        <v>5</v>
      </c>
      <c r="B21" s="34" t="s">
        <v>95</v>
      </c>
      <c r="C21" s="40" t="s">
        <v>88</v>
      </c>
      <c r="D21" s="34" t="s">
        <v>164</v>
      </c>
      <c r="E21" s="123">
        <v>2.7</v>
      </c>
      <c r="F21" s="124">
        <f>SUM(E21*12/100)</f>
        <v>0.32400000000000007</v>
      </c>
      <c r="G21" s="124">
        <v>322.20999999999998</v>
      </c>
      <c r="H21" s="95">
        <f t="shared" si="1"/>
        <v>0.10439604000000001</v>
      </c>
      <c r="I21" s="13">
        <f>F21/12*G21</f>
        <v>8.6996700000000011</v>
      </c>
      <c r="J21" s="8"/>
      <c r="K21" s="8"/>
      <c r="L21" s="8"/>
      <c r="M21" s="8"/>
    </row>
    <row r="22" spans="1:13" ht="15.75" hidden="1" customHeight="1">
      <c r="A22" s="31">
        <v>7</v>
      </c>
      <c r="B22" s="34" t="s">
        <v>89</v>
      </c>
      <c r="C22" s="40" t="s">
        <v>53</v>
      </c>
      <c r="D22" s="34" t="s">
        <v>210</v>
      </c>
      <c r="E22" s="123">
        <v>267.75</v>
      </c>
      <c r="F22" s="124">
        <f>SUM(E22/100)</f>
        <v>2.6775000000000002</v>
      </c>
      <c r="G22" s="124">
        <v>401.44</v>
      </c>
      <c r="H22" s="95">
        <f t="shared" si="1"/>
        <v>1.0748556</v>
      </c>
      <c r="I22" s="13">
        <f>G22*F22</f>
        <v>1074.8556000000001</v>
      </c>
      <c r="J22" s="8"/>
      <c r="K22" s="8"/>
      <c r="L22" s="8"/>
      <c r="M22" s="8"/>
    </row>
    <row r="23" spans="1:13" ht="15.75" hidden="1" customHeight="1">
      <c r="A23" s="31">
        <v>8</v>
      </c>
      <c r="B23" s="34" t="s">
        <v>90</v>
      </c>
      <c r="C23" s="40" t="s">
        <v>53</v>
      </c>
      <c r="D23" s="34" t="s">
        <v>211</v>
      </c>
      <c r="E23" s="154">
        <v>36</v>
      </c>
      <c r="F23" s="124">
        <f>SUM(E23/100)</f>
        <v>0.36</v>
      </c>
      <c r="G23" s="124">
        <v>66.03</v>
      </c>
      <c r="H23" s="95">
        <f t="shared" si="1"/>
        <v>2.3770800000000002E-2</v>
      </c>
      <c r="I23" s="13">
        <f>G23*F23</f>
        <v>23.770800000000001</v>
      </c>
      <c r="J23" s="8"/>
      <c r="K23" s="8"/>
      <c r="L23" s="8"/>
      <c r="M23" s="8"/>
    </row>
    <row r="24" spans="1:13" ht="15.75" hidden="1" customHeight="1">
      <c r="A24" s="31">
        <v>9</v>
      </c>
      <c r="B24" s="34" t="s">
        <v>91</v>
      </c>
      <c r="C24" s="40" t="s">
        <v>53</v>
      </c>
      <c r="D24" s="34" t="s">
        <v>211</v>
      </c>
      <c r="E24" s="123">
        <v>15</v>
      </c>
      <c r="F24" s="124">
        <f>E24/100</f>
        <v>0.15</v>
      </c>
      <c r="G24" s="124">
        <v>581.02</v>
      </c>
      <c r="H24" s="95">
        <f t="shared" si="1"/>
        <v>8.7152999999999994E-2</v>
      </c>
      <c r="I24" s="13">
        <f>G24*F24</f>
        <v>87.152999999999992</v>
      </c>
      <c r="J24" s="8"/>
      <c r="K24" s="8"/>
      <c r="L24" s="8"/>
      <c r="M24" s="8"/>
    </row>
    <row r="25" spans="1:13" ht="15.75" hidden="1" customHeight="1">
      <c r="A25" s="31">
        <v>10</v>
      </c>
      <c r="B25" s="34" t="s">
        <v>96</v>
      </c>
      <c r="C25" s="40" t="s">
        <v>88</v>
      </c>
      <c r="D25" s="34" t="s">
        <v>164</v>
      </c>
      <c r="E25" s="123">
        <v>14.25</v>
      </c>
      <c r="F25" s="124">
        <v>0.1</v>
      </c>
      <c r="G25" s="124">
        <v>322.20999999999998</v>
      </c>
      <c r="H25" s="95">
        <v>3.1E-2</v>
      </c>
      <c r="I25" s="13">
        <f>G25*F25</f>
        <v>32.220999999999997</v>
      </c>
      <c r="J25" s="8"/>
      <c r="K25" s="8"/>
      <c r="L25" s="8"/>
      <c r="M25" s="8"/>
    </row>
    <row r="26" spans="1:13" ht="15.75" hidden="1" customHeight="1">
      <c r="A26" s="31">
        <v>11</v>
      </c>
      <c r="B26" s="34" t="s">
        <v>92</v>
      </c>
      <c r="C26" s="40" t="s">
        <v>53</v>
      </c>
      <c r="D26" s="34" t="s">
        <v>211</v>
      </c>
      <c r="E26" s="123">
        <v>6.38</v>
      </c>
      <c r="F26" s="124">
        <f>SUM(E26/100)</f>
        <v>6.3799999999999996E-2</v>
      </c>
      <c r="G26" s="124">
        <v>776.46</v>
      </c>
      <c r="H26" s="95">
        <f t="shared" si="1"/>
        <v>4.9538147999999997E-2</v>
      </c>
      <c r="I26" s="13">
        <f>G26*F26</f>
        <v>49.538148</v>
      </c>
      <c r="J26" s="8"/>
      <c r="K26" s="8"/>
      <c r="L26" s="8"/>
      <c r="M26" s="8"/>
    </row>
    <row r="27" spans="1:13" ht="15.75" customHeight="1">
      <c r="A27" s="31">
        <v>6</v>
      </c>
      <c r="B27" s="34" t="s">
        <v>160</v>
      </c>
      <c r="C27" s="40" t="s">
        <v>25</v>
      </c>
      <c r="D27" s="34" t="s">
        <v>166</v>
      </c>
      <c r="E27" s="133">
        <v>4.83</v>
      </c>
      <c r="F27" s="124">
        <f>SUM(E27*258)</f>
        <v>1246.1400000000001</v>
      </c>
      <c r="G27" s="124">
        <v>10.81</v>
      </c>
      <c r="H27" s="95">
        <f t="shared" si="1"/>
        <v>13.470773400000002</v>
      </c>
      <c r="I27" s="13">
        <f>F27/12*G27</f>
        <v>1122.5644500000003</v>
      </c>
      <c r="J27" s="8"/>
      <c r="K27" s="8"/>
      <c r="L27" s="8"/>
      <c r="M27" s="8"/>
    </row>
    <row r="28" spans="1:13" ht="15.75" customHeight="1">
      <c r="A28" s="200" t="s">
        <v>82</v>
      </c>
      <c r="B28" s="200"/>
      <c r="C28" s="200"/>
      <c r="D28" s="200"/>
      <c r="E28" s="200"/>
      <c r="F28" s="200"/>
      <c r="G28" s="200"/>
      <c r="H28" s="200"/>
      <c r="I28" s="200"/>
      <c r="J28" s="24"/>
      <c r="K28" s="8"/>
      <c r="L28" s="8"/>
      <c r="M28" s="8"/>
    </row>
    <row r="29" spans="1:13" ht="15.75" customHeight="1">
      <c r="A29" s="41"/>
      <c r="B29" s="51" t="s">
        <v>28</v>
      </c>
      <c r="C29" s="51"/>
      <c r="D29" s="51"/>
      <c r="E29" s="51"/>
      <c r="F29" s="51"/>
      <c r="G29" s="51"/>
      <c r="H29" s="51"/>
      <c r="I29" s="19"/>
      <c r="J29" s="24"/>
      <c r="K29" s="8"/>
      <c r="L29" s="8"/>
      <c r="M29" s="8"/>
    </row>
    <row r="30" spans="1:13" ht="15.75" customHeight="1">
      <c r="A30" s="41">
        <v>7</v>
      </c>
      <c r="B30" s="34" t="s">
        <v>99</v>
      </c>
      <c r="C30" s="40" t="s">
        <v>100</v>
      </c>
      <c r="D30" s="34" t="s">
        <v>205</v>
      </c>
      <c r="E30" s="124">
        <v>313</v>
      </c>
      <c r="F30" s="124">
        <f>SUM(E30*24/1000)</f>
        <v>7.5119999999999996</v>
      </c>
      <c r="G30" s="124">
        <v>232.4</v>
      </c>
      <c r="H30" s="95">
        <f t="shared" ref="H30:H31" si="2">SUM(F30*G30/1000)</f>
        <v>1.7457888000000001</v>
      </c>
      <c r="I30" s="13">
        <f>F30/6*G30</f>
        <v>290.96480000000003</v>
      </c>
      <c r="J30" s="24"/>
      <c r="K30" s="8"/>
      <c r="L30" s="8"/>
      <c r="M30" s="8"/>
    </row>
    <row r="31" spans="1:13" ht="31.5" customHeight="1">
      <c r="A31" s="41">
        <v>8</v>
      </c>
      <c r="B31" s="34" t="s">
        <v>134</v>
      </c>
      <c r="C31" s="40" t="s">
        <v>100</v>
      </c>
      <c r="D31" s="34" t="s">
        <v>161</v>
      </c>
      <c r="E31" s="124">
        <v>26.33</v>
      </c>
      <c r="F31" s="124">
        <f>SUM(E31*78/1000)</f>
        <v>2.0537399999999999</v>
      </c>
      <c r="G31" s="124">
        <v>385.6</v>
      </c>
      <c r="H31" s="95">
        <f t="shared" si="2"/>
        <v>0.79192214400000005</v>
      </c>
      <c r="I31" s="13">
        <f t="shared" ref="I31" si="3">F31/6*G31</f>
        <v>131.98702399999999</v>
      </c>
      <c r="J31" s="24"/>
      <c r="K31" s="8"/>
      <c r="L31" s="8"/>
      <c r="M31" s="8"/>
    </row>
    <row r="32" spans="1:13" ht="15.75" hidden="1" customHeight="1">
      <c r="A32" s="41">
        <v>16</v>
      </c>
      <c r="B32" s="91" t="s">
        <v>27</v>
      </c>
      <c r="C32" s="92" t="s">
        <v>100</v>
      </c>
      <c r="D32" s="91" t="s">
        <v>54</v>
      </c>
      <c r="E32" s="94">
        <v>1167.4000000000001</v>
      </c>
      <c r="F32" s="94">
        <f>SUM(E32/1000)</f>
        <v>1.1674</v>
      </c>
      <c r="G32" s="94">
        <v>3020.33</v>
      </c>
      <c r="H32" s="95">
        <f t="shared" ref="H32" si="4">SUM(F32*G32/1000)</f>
        <v>3.5259332420000002</v>
      </c>
      <c r="I32" s="13">
        <f>F32*G32</f>
        <v>3525.9332420000001</v>
      </c>
      <c r="J32" s="24"/>
      <c r="K32" s="8"/>
      <c r="L32" s="8"/>
      <c r="M32" s="8"/>
    </row>
    <row r="33" spans="1:13" ht="15.75" hidden="1" customHeight="1">
      <c r="A33" s="41">
        <v>4</v>
      </c>
      <c r="B33" s="91" t="s">
        <v>64</v>
      </c>
      <c r="C33" s="92" t="s">
        <v>32</v>
      </c>
      <c r="D33" s="91" t="s">
        <v>65</v>
      </c>
      <c r="E33" s="93"/>
      <c r="F33" s="94">
        <v>3</v>
      </c>
      <c r="G33" s="94">
        <v>191.32</v>
      </c>
      <c r="H33" s="95">
        <f t="shared" ref="H33" si="5">SUM(F33*G33/1000)</f>
        <v>0.57396000000000003</v>
      </c>
      <c r="I33" s="13">
        <v>0</v>
      </c>
      <c r="J33" s="24"/>
      <c r="K33" s="8"/>
      <c r="L33" s="8"/>
      <c r="M33" s="8"/>
    </row>
    <row r="34" spans="1:13" ht="15.75" hidden="1" customHeight="1">
      <c r="A34" s="41"/>
      <c r="B34" s="49" t="s">
        <v>5</v>
      </c>
      <c r="C34" s="49"/>
      <c r="D34" s="49"/>
      <c r="E34" s="13"/>
      <c r="F34" s="13"/>
      <c r="G34" s="14"/>
      <c r="H34" s="14"/>
      <c r="I34" s="19"/>
      <c r="J34" s="24"/>
      <c r="K34" s="8"/>
      <c r="L34" s="8"/>
      <c r="M34" s="8"/>
    </row>
    <row r="35" spans="1:13" ht="15.75" hidden="1" customHeight="1">
      <c r="A35" s="41">
        <v>8</v>
      </c>
      <c r="B35" s="91" t="s">
        <v>26</v>
      </c>
      <c r="C35" s="92" t="s">
        <v>31</v>
      </c>
      <c r="D35" s="91"/>
      <c r="E35" s="93"/>
      <c r="F35" s="94">
        <v>6</v>
      </c>
      <c r="G35" s="94">
        <v>1527.2</v>
      </c>
      <c r="H35" s="95">
        <f t="shared" ref="H35:H40" si="6">SUM(F35*G35/1000)</f>
        <v>9.1632000000000016</v>
      </c>
      <c r="I35" s="13">
        <f t="shared" ref="I35:I40" si="7">F35/6*G35</f>
        <v>1527.2</v>
      </c>
      <c r="J35" s="24"/>
      <c r="K35" s="8"/>
      <c r="L35" s="8"/>
      <c r="M35" s="8"/>
    </row>
    <row r="36" spans="1:13" ht="15.75" hidden="1" customHeight="1">
      <c r="A36" s="35">
        <v>9</v>
      </c>
      <c r="B36" s="91" t="s">
        <v>66</v>
      </c>
      <c r="C36" s="92" t="s">
        <v>29</v>
      </c>
      <c r="D36" s="91" t="s">
        <v>125</v>
      </c>
      <c r="E36" s="94">
        <v>1080.0999999999999</v>
      </c>
      <c r="F36" s="94">
        <f>SUM(E36*30/1000)</f>
        <v>32.402999999999999</v>
      </c>
      <c r="G36" s="94">
        <v>2102.6999999999998</v>
      </c>
      <c r="H36" s="95">
        <f t="shared" si="6"/>
        <v>68.13378809999999</v>
      </c>
      <c r="I36" s="13">
        <f t="shared" si="7"/>
        <v>11355.63135</v>
      </c>
      <c r="J36" s="24"/>
      <c r="K36" s="8"/>
      <c r="L36" s="8"/>
      <c r="M36" s="8"/>
    </row>
    <row r="37" spans="1:13" ht="15.75" hidden="1" customHeight="1">
      <c r="A37" s="35">
        <v>10</v>
      </c>
      <c r="B37" s="91" t="s">
        <v>67</v>
      </c>
      <c r="C37" s="92" t="s">
        <v>29</v>
      </c>
      <c r="D37" s="91" t="s">
        <v>104</v>
      </c>
      <c r="E37" s="94">
        <v>45</v>
      </c>
      <c r="F37" s="94">
        <f>SUM(E37*155/1000)</f>
        <v>6.9749999999999996</v>
      </c>
      <c r="G37" s="94">
        <v>350.75</v>
      </c>
      <c r="H37" s="95">
        <f t="shared" si="6"/>
        <v>2.4464812499999997</v>
      </c>
      <c r="I37" s="13">
        <f t="shared" si="7"/>
        <v>407.74687499999993</v>
      </c>
      <c r="J37" s="24"/>
      <c r="K37" s="8"/>
      <c r="L37" s="8"/>
      <c r="M37" s="8"/>
    </row>
    <row r="38" spans="1:13" ht="47.25" hidden="1" customHeight="1">
      <c r="A38" s="35">
        <v>11</v>
      </c>
      <c r="B38" s="91" t="s">
        <v>81</v>
      </c>
      <c r="C38" s="92" t="s">
        <v>100</v>
      </c>
      <c r="D38" s="91" t="s">
        <v>68</v>
      </c>
      <c r="E38" s="94">
        <v>45</v>
      </c>
      <c r="F38" s="94">
        <f>SUM(E38*70/1000)</f>
        <v>3.15</v>
      </c>
      <c r="G38" s="94">
        <v>5803.28</v>
      </c>
      <c r="H38" s="95">
        <f t="shared" si="6"/>
        <v>18.280331999999998</v>
      </c>
      <c r="I38" s="13">
        <f t="shared" si="7"/>
        <v>3046.7220000000002</v>
      </c>
      <c r="J38" s="24"/>
      <c r="K38" s="8"/>
      <c r="L38" s="8"/>
      <c r="M38" s="8"/>
    </row>
    <row r="39" spans="1:13" ht="15.75" hidden="1" customHeight="1">
      <c r="A39" s="35">
        <v>12</v>
      </c>
      <c r="B39" s="91" t="s">
        <v>105</v>
      </c>
      <c r="C39" s="92" t="s">
        <v>100</v>
      </c>
      <c r="D39" s="91" t="s">
        <v>69</v>
      </c>
      <c r="E39" s="94">
        <v>45</v>
      </c>
      <c r="F39" s="94">
        <f>SUM(E39*45/1000)</f>
        <v>2.0249999999999999</v>
      </c>
      <c r="G39" s="94">
        <v>428.7</v>
      </c>
      <c r="H39" s="95">
        <f t="shared" si="6"/>
        <v>0.86811749999999999</v>
      </c>
      <c r="I39" s="13">
        <f t="shared" si="7"/>
        <v>144.68624999999997</v>
      </c>
      <c r="J39" s="24"/>
      <c r="K39" s="8"/>
      <c r="L39" s="8"/>
      <c r="M39" s="8"/>
    </row>
    <row r="40" spans="1:13" ht="15.75" hidden="1" customHeight="1">
      <c r="A40" s="35">
        <v>13</v>
      </c>
      <c r="B40" s="91" t="s">
        <v>70</v>
      </c>
      <c r="C40" s="92" t="s">
        <v>32</v>
      </c>
      <c r="D40" s="91"/>
      <c r="E40" s="93"/>
      <c r="F40" s="94">
        <v>0.6</v>
      </c>
      <c r="G40" s="94">
        <v>798</v>
      </c>
      <c r="H40" s="95">
        <f t="shared" si="6"/>
        <v>0.47879999999999995</v>
      </c>
      <c r="I40" s="13">
        <f t="shared" si="7"/>
        <v>79.8</v>
      </c>
      <c r="J40" s="24"/>
      <c r="K40" s="8"/>
      <c r="L40" s="8"/>
      <c r="M40" s="8"/>
    </row>
    <row r="41" spans="1:13" ht="15.75" customHeight="1">
      <c r="A41" s="201" t="s">
        <v>131</v>
      </c>
      <c r="B41" s="202"/>
      <c r="C41" s="202"/>
      <c r="D41" s="202"/>
      <c r="E41" s="202"/>
      <c r="F41" s="202"/>
      <c r="G41" s="202"/>
      <c r="H41" s="202"/>
      <c r="I41" s="203"/>
      <c r="J41" s="24"/>
      <c r="K41" s="8"/>
      <c r="L41" s="8"/>
      <c r="M41" s="8"/>
    </row>
    <row r="42" spans="1:13" ht="15.75" hidden="1" customHeight="1">
      <c r="A42" s="41">
        <v>18</v>
      </c>
      <c r="B42" s="91" t="s">
        <v>106</v>
      </c>
      <c r="C42" s="92" t="s">
        <v>100</v>
      </c>
      <c r="D42" s="91" t="s">
        <v>42</v>
      </c>
      <c r="E42" s="93">
        <v>965.8</v>
      </c>
      <c r="F42" s="94">
        <f>SUM(E42*2/1000)</f>
        <v>1.9316</v>
      </c>
      <c r="G42" s="13">
        <v>849.49</v>
      </c>
      <c r="H42" s="95">
        <f t="shared" ref="H42:H51" si="8">SUM(F42*G42/1000)</f>
        <v>1.640874884</v>
      </c>
      <c r="I42" s="13">
        <f t="shared" ref="I42:I45" si="9">F42/2*G42</f>
        <v>820.43744200000003</v>
      </c>
      <c r="J42" s="24"/>
      <c r="K42" s="8"/>
    </row>
    <row r="43" spans="1:13" ht="15.75" hidden="1" customHeight="1">
      <c r="A43" s="41">
        <v>19</v>
      </c>
      <c r="B43" s="91" t="s">
        <v>35</v>
      </c>
      <c r="C43" s="92" t="s">
        <v>100</v>
      </c>
      <c r="D43" s="91" t="s">
        <v>42</v>
      </c>
      <c r="E43" s="93">
        <v>36</v>
      </c>
      <c r="F43" s="94">
        <f>SUM(E43*2/1000)</f>
        <v>7.1999999999999995E-2</v>
      </c>
      <c r="G43" s="13">
        <v>579.48</v>
      </c>
      <c r="H43" s="95">
        <f t="shared" si="8"/>
        <v>4.1722559999999999E-2</v>
      </c>
      <c r="I43" s="13">
        <f t="shared" si="9"/>
        <v>20.861280000000001</v>
      </c>
      <c r="J43" s="25"/>
    </row>
    <row r="44" spans="1:13" ht="15.75" hidden="1" customHeight="1">
      <c r="A44" s="41">
        <v>20</v>
      </c>
      <c r="B44" s="91" t="s">
        <v>36</v>
      </c>
      <c r="C44" s="92" t="s">
        <v>100</v>
      </c>
      <c r="D44" s="91" t="s">
        <v>42</v>
      </c>
      <c r="E44" s="93">
        <v>1197.7</v>
      </c>
      <c r="F44" s="94">
        <f>SUM(E44*2/1000)</f>
        <v>2.3954</v>
      </c>
      <c r="G44" s="13">
        <v>579.48</v>
      </c>
      <c r="H44" s="95">
        <f t="shared" si="8"/>
        <v>1.3880863919999999</v>
      </c>
      <c r="I44" s="13">
        <f t="shared" si="9"/>
        <v>694.04319599999997</v>
      </c>
      <c r="J44" s="25"/>
    </row>
    <row r="45" spans="1:13" ht="15.75" hidden="1" customHeight="1">
      <c r="A45" s="41">
        <v>21</v>
      </c>
      <c r="B45" s="91" t="s">
        <v>37</v>
      </c>
      <c r="C45" s="92" t="s">
        <v>100</v>
      </c>
      <c r="D45" s="91" t="s">
        <v>42</v>
      </c>
      <c r="E45" s="93">
        <v>2275.92</v>
      </c>
      <c r="F45" s="94">
        <f>SUM(E45*2/1000)</f>
        <v>4.5518400000000003</v>
      </c>
      <c r="G45" s="13">
        <v>606.77</v>
      </c>
      <c r="H45" s="95">
        <f t="shared" si="8"/>
        <v>2.7619199567999999</v>
      </c>
      <c r="I45" s="13">
        <f t="shared" si="9"/>
        <v>1380.9599784</v>
      </c>
      <c r="J45" s="25"/>
    </row>
    <row r="46" spans="1:13" ht="15.75" hidden="1" customHeight="1">
      <c r="A46" s="41">
        <v>22</v>
      </c>
      <c r="B46" s="91" t="s">
        <v>33</v>
      </c>
      <c r="C46" s="92" t="s">
        <v>34</v>
      </c>
      <c r="D46" s="91" t="s">
        <v>42</v>
      </c>
      <c r="E46" s="93">
        <v>81.709999999999994</v>
      </c>
      <c r="F46" s="94">
        <f>SUM(E46*2/100)</f>
        <v>1.6341999999999999</v>
      </c>
      <c r="G46" s="13">
        <v>68.56</v>
      </c>
      <c r="H46" s="95">
        <f t="shared" si="8"/>
        <v>0.11204075199999999</v>
      </c>
      <c r="I46" s="13">
        <f>F46/2*G46</f>
        <v>56.020375999999999</v>
      </c>
      <c r="J46" s="25"/>
    </row>
    <row r="47" spans="1:13" ht="15.75" hidden="1" customHeight="1">
      <c r="A47" s="41">
        <v>23</v>
      </c>
      <c r="B47" s="91" t="s">
        <v>56</v>
      </c>
      <c r="C47" s="92" t="s">
        <v>100</v>
      </c>
      <c r="D47" s="91" t="s">
        <v>135</v>
      </c>
      <c r="E47" s="93">
        <v>1711.8</v>
      </c>
      <c r="F47" s="94">
        <f>SUM(E47*5/1000)</f>
        <v>8.5589999999999993</v>
      </c>
      <c r="G47" s="13">
        <v>1213.55</v>
      </c>
      <c r="H47" s="95">
        <f t="shared" si="8"/>
        <v>10.386774449999999</v>
      </c>
      <c r="I47" s="13">
        <f>F47/5*G47</f>
        <v>2077.3548899999996</v>
      </c>
      <c r="J47" s="25"/>
    </row>
    <row r="48" spans="1:13" ht="31.5" hidden="1" customHeight="1">
      <c r="A48" s="41">
        <v>14</v>
      </c>
      <c r="B48" s="91" t="s">
        <v>107</v>
      </c>
      <c r="C48" s="92" t="s">
        <v>100</v>
      </c>
      <c r="D48" s="91" t="s">
        <v>42</v>
      </c>
      <c r="E48" s="93">
        <v>1711.8</v>
      </c>
      <c r="F48" s="94">
        <f>SUM(E48*2/1000)</f>
        <v>3.4236</v>
      </c>
      <c r="G48" s="13">
        <v>1213.55</v>
      </c>
      <c r="H48" s="95">
        <f t="shared" si="8"/>
        <v>4.1547097800000001</v>
      </c>
      <c r="I48" s="13">
        <f>F48/2*G48</f>
        <v>2077.3548900000001</v>
      </c>
      <c r="J48" s="25"/>
    </row>
    <row r="49" spans="1:14" ht="31.5" hidden="1" customHeight="1">
      <c r="A49" s="41">
        <v>15</v>
      </c>
      <c r="B49" s="91" t="s">
        <v>108</v>
      </c>
      <c r="C49" s="92" t="s">
        <v>38</v>
      </c>
      <c r="D49" s="91" t="s">
        <v>42</v>
      </c>
      <c r="E49" s="93">
        <v>15</v>
      </c>
      <c r="F49" s="94">
        <f>SUM(E49*2/100)</f>
        <v>0.3</v>
      </c>
      <c r="G49" s="13">
        <v>2730.49</v>
      </c>
      <c r="H49" s="95">
        <f t="shared" si="8"/>
        <v>0.81914699999999996</v>
      </c>
      <c r="I49" s="13">
        <f t="shared" ref="I49:I50" si="10">F49/2*G49</f>
        <v>409.57349999999997</v>
      </c>
      <c r="J49" s="25"/>
    </row>
    <row r="50" spans="1:14" ht="15.75" hidden="1" customHeight="1">
      <c r="A50" s="41">
        <v>16</v>
      </c>
      <c r="B50" s="91" t="s">
        <v>39</v>
      </c>
      <c r="C50" s="92" t="s">
        <v>40</v>
      </c>
      <c r="D50" s="91" t="s">
        <v>42</v>
      </c>
      <c r="E50" s="93">
        <v>1</v>
      </c>
      <c r="F50" s="94">
        <v>0.02</v>
      </c>
      <c r="G50" s="13">
        <v>5322.15</v>
      </c>
      <c r="H50" s="95">
        <f t="shared" si="8"/>
        <v>0.106443</v>
      </c>
      <c r="I50" s="13">
        <f t="shared" si="10"/>
        <v>53.221499999999999</v>
      </c>
      <c r="J50" s="25"/>
      <c r="L50" s="21"/>
      <c r="M50" s="22"/>
      <c r="N50" s="23"/>
    </row>
    <row r="51" spans="1:14" ht="15.75" customHeight="1">
      <c r="A51" s="41">
        <v>9</v>
      </c>
      <c r="B51" s="34" t="s">
        <v>41</v>
      </c>
      <c r="C51" s="40" t="s">
        <v>85</v>
      </c>
      <c r="D51" s="171">
        <v>44057</v>
      </c>
      <c r="E51" s="123">
        <v>90</v>
      </c>
      <c r="F51" s="124">
        <f>E51*3</f>
        <v>270</v>
      </c>
      <c r="G51" s="173">
        <v>97.93</v>
      </c>
      <c r="H51" s="95">
        <f t="shared" si="8"/>
        <v>26.441100000000002</v>
      </c>
      <c r="I51" s="13">
        <f>G51*F51/3</f>
        <v>8813.7000000000007</v>
      </c>
      <c r="J51" s="25"/>
      <c r="L51" s="21"/>
      <c r="M51" s="22"/>
      <c r="N51" s="23"/>
    </row>
    <row r="52" spans="1:14" ht="15.75" customHeight="1">
      <c r="A52" s="201" t="s">
        <v>132</v>
      </c>
      <c r="B52" s="202"/>
      <c r="C52" s="202"/>
      <c r="D52" s="202"/>
      <c r="E52" s="202"/>
      <c r="F52" s="202"/>
      <c r="G52" s="202"/>
      <c r="H52" s="202"/>
      <c r="I52" s="203"/>
      <c r="J52" s="25"/>
      <c r="L52" s="21"/>
      <c r="M52" s="22"/>
      <c r="N52" s="23"/>
    </row>
    <row r="53" spans="1:14" ht="15.75" hidden="1" customHeight="1">
      <c r="A53" s="90"/>
      <c r="B53" s="48" t="s">
        <v>43</v>
      </c>
      <c r="C53" s="17"/>
      <c r="D53" s="16"/>
      <c r="E53" s="16"/>
      <c r="F53" s="16"/>
      <c r="G53" s="31"/>
      <c r="H53" s="31"/>
      <c r="I53" s="19"/>
      <c r="J53" s="25"/>
      <c r="L53" s="21"/>
      <c r="M53" s="22"/>
      <c r="N53" s="23"/>
    </row>
    <row r="54" spans="1:14" ht="31.5" hidden="1" customHeight="1">
      <c r="A54" s="41">
        <v>14</v>
      </c>
      <c r="B54" s="91" t="s">
        <v>109</v>
      </c>
      <c r="C54" s="92" t="s">
        <v>88</v>
      </c>
      <c r="D54" s="91" t="s">
        <v>110</v>
      </c>
      <c r="E54" s="93">
        <v>96.58</v>
      </c>
      <c r="F54" s="94">
        <f>SUM(E54*6/100)</f>
        <v>5.7948000000000004</v>
      </c>
      <c r="G54" s="13">
        <v>1547.28</v>
      </c>
      <c r="H54" s="95">
        <f>SUM(F54*G54/1000)</f>
        <v>8.9661781440000006</v>
      </c>
      <c r="I54" s="13">
        <f>F54/6*G54</f>
        <v>1494.3630240000002</v>
      </c>
      <c r="J54" s="25"/>
      <c r="L54" s="21"/>
      <c r="M54" s="22"/>
      <c r="N54" s="23"/>
    </row>
    <row r="55" spans="1:14" ht="15.75" customHeight="1">
      <c r="A55" s="41"/>
      <c r="B55" s="67" t="s">
        <v>44</v>
      </c>
      <c r="C55" s="40"/>
      <c r="D55" s="34"/>
      <c r="E55" s="19"/>
      <c r="F55" s="85"/>
      <c r="G55" s="37"/>
      <c r="H55" s="68"/>
      <c r="I55" s="20"/>
      <c r="J55" s="25"/>
      <c r="L55" s="21"/>
      <c r="M55" s="22"/>
      <c r="N55" s="23"/>
    </row>
    <row r="56" spans="1:14" ht="15.75" hidden="1" customHeight="1">
      <c r="A56" s="41"/>
      <c r="B56" s="91" t="s">
        <v>45</v>
      </c>
      <c r="C56" s="92" t="s">
        <v>88</v>
      </c>
      <c r="D56" s="91" t="s">
        <v>54</v>
      </c>
      <c r="E56" s="93">
        <v>855.9</v>
      </c>
      <c r="F56" s="95">
        <v>8.6</v>
      </c>
      <c r="G56" s="13">
        <v>747.3</v>
      </c>
      <c r="H56" s="99">
        <v>6.4</v>
      </c>
      <c r="I56" s="13">
        <v>0</v>
      </c>
      <c r="J56" s="25"/>
      <c r="L56" s="21"/>
      <c r="M56" s="22"/>
      <c r="N56" s="23"/>
    </row>
    <row r="57" spans="1:14" ht="15.75" customHeight="1">
      <c r="A57" s="41">
        <v>10</v>
      </c>
      <c r="B57" s="91" t="s">
        <v>86</v>
      </c>
      <c r="C57" s="92" t="s">
        <v>25</v>
      </c>
      <c r="D57" s="91" t="s">
        <v>165</v>
      </c>
      <c r="E57" s="93">
        <v>256</v>
      </c>
      <c r="F57" s="95">
        <f>E57*12</f>
        <v>3072</v>
      </c>
      <c r="G57" s="13">
        <v>1.4</v>
      </c>
      <c r="H57" s="99">
        <f>F57*G57/1000</f>
        <v>4.3007999999999988</v>
      </c>
      <c r="I57" s="13">
        <f>1560/12*G57</f>
        <v>182</v>
      </c>
      <c r="J57" s="25"/>
      <c r="L57" s="21"/>
      <c r="M57" s="22"/>
      <c r="N57" s="23"/>
    </row>
    <row r="58" spans="1:14" ht="15.75" hidden="1" customHeight="1">
      <c r="A58" s="41"/>
      <c r="B58" s="67" t="s">
        <v>126</v>
      </c>
      <c r="C58" s="40"/>
      <c r="D58" s="34"/>
      <c r="E58" s="19"/>
      <c r="F58" s="85"/>
      <c r="G58" s="69"/>
      <c r="H58" s="68"/>
      <c r="I58" s="20"/>
      <c r="J58" s="25"/>
      <c r="L58" s="21"/>
      <c r="M58" s="22"/>
      <c r="N58" s="23"/>
    </row>
    <row r="59" spans="1:14" ht="15.75" hidden="1" customHeight="1">
      <c r="A59" s="41"/>
      <c r="B59" s="91" t="s">
        <v>127</v>
      </c>
      <c r="C59" s="92" t="s">
        <v>85</v>
      </c>
      <c r="D59" s="91" t="s">
        <v>65</v>
      </c>
      <c r="E59" s="93">
        <v>2</v>
      </c>
      <c r="F59" s="94">
        <f>SUM(E59)</f>
        <v>2</v>
      </c>
      <c r="G59" s="100">
        <v>237.75</v>
      </c>
      <c r="H59" s="95">
        <f t="shared" ref="H59" si="11">SUM(F59*G59/1000)</f>
        <v>0.47549999999999998</v>
      </c>
      <c r="I59" s="13">
        <v>0</v>
      </c>
      <c r="J59" s="25"/>
      <c r="L59" s="21"/>
      <c r="M59" s="22"/>
      <c r="N59" s="23"/>
    </row>
    <row r="60" spans="1:14" ht="15.75" customHeight="1">
      <c r="A60" s="41"/>
      <c r="B60" s="81" t="s">
        <v>46</v>
      </c>
      <c r="C60" s="17"/>
      <c r="D60" s="16"/>
      <c r="E60" s="16"/>
      <c r="F60" s="86"/>
      <c r="G60" s="65"/>
      <c r="H60" s="68"/>
      <c r="I60" s="19"/>
      <c r="J60" s="25"/>
      <c r="L60" s="21"/>
      <c r="M60" s="22"/>
      <c r="N60" s="23"/>
    </row>
    <row r="61" spans="1:14" ht="15.75" customHeight="1">
      <c r="A61" s="41">
        <v>11</v>
      </c>
      <c r="B61" s="15" t="s">
        <v>47</v>
      </c>
      <c r="C61" s="17" t="s">
        <v>85</v>
      </c>
      <c r="D61" s="91" t="s">
        <v>165</v>
      </c>
      <c r="E61" s="19">
        <v>10</v>
      </c>
      <c r="F61" s="94">
        <v>10</v>
      </c>
      <c r="G61" s="135">
        <v>331.57</v>
      </c>
      <c r="H61" s="101">
        <f t="shared" ref="H61:H68" si="12">SUM(F61*G61/1000)</f>
        <v>3.3156999999999996</v>
      </c>
      <c r="I61" s="13">
        <f>G61*1</f>
        <v>331.57</v>
      </c>
      <c r="J61" s="25"/>
      <c r="L61" s="21"/>
      <c r="M61" s="22"/>
      <c r="N61" s="23"/>
    </row>
    <row r="62" spans="1:14" ht="15.75" hidden="1" customHeight="1">
      <c r="A62" s="31">
        <v>29</v>
      </c>
      <c r="B62" s="15" t="s">
        <v>48</v>
      </c>
      <c r="C62" s="17" t="s">
        <v>85</v>
      </c>
      <c r="D62" s="91" t="s">
        <v>65</v>
      </c>
      <c r="E62" s="19">
        <v>5</v>
      </c>
      <c r="F62" s="94">
        <v>5</v>
      </c>
      <c r="G62" s="13">
        <v>75.25</v>
      </c>
      <c r="H62" s="101">
        <f t="shared" si="12"/>
        <v>0.37624999999999997</v>
      </c>
      <c r="I62" s="13">
        <v>0</v>
      </c>
      <c r="J62" s="25"/>
      <c r="L62" s="21"/>
      <c r="M62" s="22"/>
      <c r="N62" s="23"/>
    </row>
    <row r="63" spans="1:14" ht="15.75" hidden="1" customHeight="1">
      <c r="A63" s="31">
        <v>25</v>
      </c>
      <c r="B63" s="15" t="s">
        <v>49</v>
      </c>
      <c r="C63" s="17" t="s">
        <v>111</v>
      </c>
      <c r="D63" s="15" t="s">
        <v>54</v>
      </c>
      <c r="E63" s="93">
        <v>13018</v>
      </c>
      <c r="F63" s="13">
        <f>SUM(E63/100)</f>
        <v>130.18</v>
      </c>
      <c r="G63" s="13">
        <v>212.15</v>
      </c>
      <c r="H63" s="101">
        <f t="shared" si="12"/>
        <v>27.617687</v>
      </c>
      <c r="I63" s="13">
        <f>F63*G63</f>
        <v>27617.687000000002</v>
      </c>
      <c r="J63" s="25"/>
      <c r="L63" s="21"/>
      <c r="M63" s="22"/>
      <c r="N63" s="23"/>
    </row>
    <row r="64" spans="1:14" ht="15.75" hidden="1" customHeight="1">
      <c r="A64" s="31">
        <v>26</v>
      </c>
      <c r="B64" s="15" t="s">
        <v>50</v>
      </c>
      <c r="C64" s="17" t="s">
        <v>112</v>
      </c>
      <c r="D64" s="15"/>
      <c r="E64" s="93">
        <v>13018</v>
      </c>
      <c r="F64" s="13">
        <f>SUM(E64/1000)</f>
        <v>13.018000000000001</v>
      </c>
      <c r="G64" s="13">
        <v>165.21</v>
      </c>
      <c r="H64" s="101">
        <f t="shared" si="12"/>
        <v>2.1507037800000002</v>
      </c>
      <c r="I64" s="13">
        <f t="shared" ref="I64:I68" si="13">F64*G64</f>
        <v>2150.7037800000003</v>
      </c>
      <c r="J64" s="25"/>
      <c r="L64" s="21"/>
      <c r="M64" s="22"/>
      <c r="N64" s="23"/>
    </row>
    <row r="65" spans="1:14" ht="15.75" hidden="1" customHeight="1">
      <c r="A65" s="31">
        <v>27</v>
      </c>
      <c r="B65" s="15" t="s">
        <v>51</v>
      </c>
      <c r="C65" s="17" t="s">
        <v>76</v>
      </c>
      <c r="D65" s="15" t="s">
        <v>54</v>
      </c>
      <c r="E65" s="93">
        <v>1279</v>
      </c>
      <c r="F65" s="13">
        <f>SUM(E65/100)</f>
        <v>12.79</v>
      </c>
      <c r="G65" s="13">
        <v>2074.63</v>
      </c>
      <c r="H65" s="101">
        <f t="shared" si="12"/>
        <v>26.534517700000002</v>
      </c>
      <c r="I65" s="13">
        <f t="shared" si="13"/>
        <v>26534.5177</v>
      </c>
      <c r="J65" s="25"/>
      <c r="L65" s="21"/>
      <c r="M65" s="22"/>
      <c r="N65" s="23"/>
    </row>
    <row r="66" spans="1:14" ht="15.75" hidden="1" customHeight="1">
      <c r="A66" s="31">
        <v>28</v>
      </c>
      <c r="B66" s="102" t="s">
        <v>113</v>
      </c>
      <c r="C66" s="17" t="s">
        <v>32</v>
      </c>
      <c r="D66" s="15"/>
      <c r="E66" s="93">
        <v>12</v>
      </c>
      <c r="F66" s="13">
        <f>SUM(E66)</f>
        <v>12</v>
      </c>
      <c r="G66" s="13">
        <v>45.32</v>
      </c>
      <c r="H66" s="101">
        <f t="shared" si="12"/>
        <v>0.54383999999999999</v>
      </c>
      <c r="I66" s="13">
        <f t="shared" si="13"/>
        <v>543.84</v>
      </c>
      <c r="J66" s="25"/>
      <c r="L66" s="21"/>
      <c r="M66" s="22"/>
      <c r="N66" s="23"/>
    </row>
    <row r="67" spans="1:14" ht="15.75" hidden="1" customHeight="1">
      <c r="A67" s="31">
        <v>29</v>
      </c>
      <c r="B67" s="102" t="s">
        <v>114</v>
      </c>
      <c r="C67" s="17" t="s">
        <v>32</v>
      </c>
      <c r="D67" s="15"/>
      <c r="E67" s="93">
        <v>12</v>
      </c>
      <c r="F67" s="13">
        <f>SUM(E67)</f>
        <v>12</v>
      </c>
      <c r="G67" s="13">
        <v>42.28</v>
      </c>
      <c r="H67" s="101">
        <f t="shared" si="12"/>
        <v>0.50736000000000003</v>
      </c>
      <c r="I67" s="13">
        <f t="shared" si="13"/>
        <v>507.36</v>
      </c>
      <c r="J67" s="25"/>
      <c r="L67" s="21"/>
      <c r="M67" s="22"/>
      <c r="N67" s="23"/>
    </row>
    <row r="68" spans="1:14" ht="15.75" hidden="1" customHeight="1">
      <c r="A68" s="31">
        <v>13</v>
      </c>
      <c r="B68" s="15" t="s">
        <v>57</v>
      </c>
      <c r="C68" s="17" t="s">
        <v>58</v>
      </c>
      <c r="D68" s="15" t="s">
        <v>54</v>
      </c>
      <c r="E68" s="19">
        <v>1</v>
      </c>
      <c r="F68" s="94">
        <f>SUM(E68)</f>
        <v>1</v>
      </c>
      <c r="G68" s="13">
        <v>49.88</v>
      </c>
      <c r="H68" s="101">
        <f t="shared" si="12"/>
        <v>4.9880000000000001E-2</v>
      </c>
      <c r="I68" s="13">
        <f t="shared" si="13"/>
        <v>49.88</v>
      </c>
      <c r="J68" s="25"/>
      <c r="L68" s="21"/>
      <c r="M68" s="22"/>
      <c r="N68" s="23"/>
    </row>
    <row r="69" spans="1:14" ht="15.75" hidden="1" customHeight="1">
      <c r="A69" s="90"/>
      <c r="B69" s="81" t="s">
        <v>115</v>
      </c>
      <c r="C69" s="81"/>
      <c r="D69" s="81"/>
      <c r="E69" s="81"/>
      <c r="F69" s="81"/>
      <c r="G69" s="81"/>
      <c r="H69" s="81"/>
      <c r="I69" s="19"/>
      <c r="J69" s="25"/>
      <c r="L69" s="21"/>
      <c r="M69" s="22"/>
      <c r="N69" s="23"/>
    </row>
    <row r="70" spans="1:14" ht="15.75" hidden="1" customHeight="1">
      <c r="A70" s="31">
        <v>16</v>
      </c>
      <c r="B70" s="91" t="s">
        <v>116</v>
      </c>
      <c r="C70" s="17"/>
      <c r="D70" s="15"/>
      <c r="E70" s="85"/>
      <c r="F70" s="13">
        <v>1</v>
      </c>
      <c r="G70" s="13">
        <v>10041.700000000001</v>
      </c>
      <c r="H70" s="101">
        <f>G70*F70/1000</f>
        <v>10.041700000000001</v>
      </c>
      <c r="I70" s="13">
        <f>G70</f>
        <v>10041.700000000001</v>
      </c>
      <c r="J70" s="25"/>
      <c r="L70" s="21"/>
      <c r="M70" s="22"/>
      <c r="N70" s="23"/>
    </row>
    <row r="71" spans="1:14" ht="15.75" customHeight="1">
      <c r="A71" s="31"/>
      <c r="B71" s="49" t="s">
        <v>72</v>
      </c>
      <c r="C71" s="49"/>
      <c r="D71" s="49"/>
      <c r="E71" s="19"/>
      <c r="F71" s="19"/>
      <c r="G71" s="31"/>
      <c r="H71" s="31"/>
      <c r="I71" s="19"/>
      <c r="J71" s="25"/>
      <c r="L71" s="21"/>
      <c r="M71" s="22"/>
      <c r="N71" s="23"/>
    </row>
    <row r="72" spans="1:14" ht="15.75" hidden="1" customHeight="1">
      <c r="A72" s="31">
        <v>12</v>
      </c>
      <c r="B72" s="15" t="s">
        <v>73</v>
      </c>
      <c r="C72" s="17" t="s">
        <v>74</v>
      </c>
      <c r="D72" s="15" t="s">
        <v>65</v>
      </c>
      <c r="E72" s="19">
        <v>5</v>
      </c>
      <c r="F72" s="13">
        <v>0.5</v>
      </c>
      <c r="G72" s="13">
        <v>501.62</v>
      </c>
      <c r="H72" s="101">
        <f t="shared" ref="H72:H74" si="14">SUM(F72*G72/1000)</f>
        <v>0.25080999999999998</v>
      </c>
      <c r="I72" s="13">
        <f>G72*0.1</f>
        <v>50.162000000000006</v>
      </c>
      <c r="J72" s="25"/>
      <c r="L72" s="21"/>
      <c r="M72" s="22"/>
      <c r="N72" s="23"/>
    </row>
    <row r="73" spans="1:14" ht="15.75" hidden="1" customHeight="1">
      <c r="A73" s="31"/>
      <c r="B73" s="15" t="s">
        <v>128</v>
      </c>
      <c r="C73" s="17" t="s">
        <v>85</v>
      </c>
      <c r="D73" s="15"/>
      <c r="E73" s="19">
        <v>1</v>
      </c>
      <c r="F73" s="84">
        <f>E73</f>
        <v>1</v>
      </c>
      <c r="G73" s="13">
        <v>852.99</v>
      </c>
      <c r="H73" s="101">
        <f t="shared" si="14"/>
        <v>0.85299000000000003</v>
      </c>
      <c r="I73" s="13">
        <v>0</v>
      </c>
      <c r="J73" s="25"/>
      <c r="L73" s="21"/>
      <c r="M73" s="22"/>
      <c r="N73" s="23"/>
    </row>
    <row r="74" spans="1:14" ht="15.75" hidden="1" customHeight="1">
      <c r="A74" s="31"/>
      <c r="B74" s="15" t="s">
        <v>129</v>
      </c>
      <c r="C74" s="17" t="s">
        <v>85</v>
      </c>
      <c r="D74" s="15"/>
      <c r="E74" s="19">
        <v>1</v>
      </c>
      <c r="F74" s="94">
        <f>SUM(E74)</f>
        <v>1</v>
      </c>
      <c r="G74" s="13">
        <v>358.51</v>
      </c>
      <c r="H74" s="101">
        <f t="shared" si="14"/>
        <v>0.35851</v>
      </c>
      <c r="I74" s="13">
        <v>0</v>
      </c>
      <c r="J74" s="25"/>
      <c r="L74" s="21"/>
      <c r="M74" s="22"/>
      <c r="N74" s="23"/>
    </row>
    <row r="75" spans="1:14" ht="15.75" customHeight="1">
      <c r="A75" s="31">
        <v>12</v>
      </c>
      <c r="B75" s="121" t="s">
        <v>194</v>
      </c>
      <c r="C75" s="38" t="s">
        <v>85</v>
      </c>
      <c r="D75" s="121" t="s">
        <v>164</v>
      </c>
      <c r="E75" s="18">
        <v>2</v>
      </c>
      <c r="F75" s="68">
        <f>E75*12</f>
        <v>24</v>
      </c>
      <c r="G75" s="37">
        <v>420</v>
      </c>
      <c r="H75" s="101"/>
      <c r="I75" s="13">
        <f>G75*2</f>
        <v>840</v>
      </c>
      <c r="J75" s="25"/>
      <c r="L75" s="21"/>
      <c r="M75" s="22"/>
      <c r="N75" s="23"/>
    </row>
    <row r="76" spans="1:14" ht="15.75" hidden="1" customHeight="1">
      <c r="A76" s="31"/>
      <c r="B76" s="50" t="s">
        <v>75</v>
      </c>
      <c r="C76" s="38"/>
      <c r="D76" s="31"/>
      <c r="E76" s="19"/>
      <c r="F76" s="19"/>
      <c r="G76" s="37" t="s">
        <v>117</v>
      </c>
      <c r="H76" s="37"/>
      <c r="I76" s="19"/>
      <c r="J76" s="25"/>
      <c r="L76" s="21"/>
      <c r="M76" s="22"/>
      <c r="N76" s="23"/>
    </row>
    <row r="77" spans="1:14" ht="15.75" hidden="1" customHeight="1">
      <c r="A77" s="31">
        <v>12</v>
      </c>
      <c r="B77" s="52" t="s">
        <v>118</v>
      </c>
      <c r="C77" s="17" t="s">
        <v>76</v>
      </c>
      <c r="D77" s="15"/>
      <c r="E77" s="19"/>
      <c r="F77" s="13">
        <v>0.3</v>
      </c>
      <c r="G77" s="13">
        <v>2759.44</v>
      </c>
      <c r="H77" s="101">
        <f t="shared" ref="H77" si="15">SUM(F77*G77/1000)</f>
        <v>0.82783200000000001</v>
      </c>
      <c r="I77" s="13">
        <v>0</v>
      </c>
      <c r="J77" s="25"/>
      <c r="L77" s="21"/>
      <c r="M77" s="22"/>
      <c r="N77" s="23"/>
    </row>
    <row r="78" spans="1:14" ht="15.75" customHeight="1">
      <c r="A78" s="136"/>
      <c r="B78" s="144" t="s">
        <v>174</v>
      </c>
      <c r="C78" s="38"/>
      <c r="D78" s="121"/>
      <c r="E78" s="18"/>
      <c r="F78" s="68"/>
      <c r="G78" s="37"/>
      <c r="H78" s="137"/>
      <c r="I78" s="138"/>
      <c r="J78" s="25"/>
      <c r="L78" s="21"/>
      <c r="M78" s="22"/>
      <c r="N78" s="23"/>
    </row>
    <row r="79" spans="1:14" ht="15.75" customHeight="1">
      <c r="A79" s="136">
        <v>13</v>
      </c>
      <c r="B79" s="121" t="s">
        <v>175</v>
      </c>
      <c r="C79" s="41" t="s">
        <v>176</v>
      </c>
      <c r="D79" s="121"/>
      <c r="E79" s="18">
        <v>2581.1999999999998</v>
      </c>
      <c r="F79" s="37">
        <f>E79*12</f>
        <v>30974.399999999998</v>
      </c>
      <c r="G79" s="37">
        <v>2.6</v>
      </c>
      <c r="H79" s="137"/>
      <c r="I79" s="138">
        <f>G79*F79/12</f>
        <v>6711.12</v>
      </c>
      <c r="J79" s="25"/>
      <c r="L79" s="21"/>
      <c r="M79" s="22"/>
      <c r="N79" s="23"/>
    </row>
    <row r="80" spans="1:14" ht="15.75" customHeight="1">
      <c r="A80" s="205" t="s">
        <v>133</v>
      </c>
      <c r="B80" s="206"/>
      <c r="C80" s="206"/>
      <c r="D80" s="206"/>
      <c r="E80" s="206"/>
      <c r="F80" s="206"/>
      <c r="G80" s="206"/>
      <c r="H80" s="206"/>
      <c r="I80" s="207"/>
      <c r="J80" s="25"/>
      <c r="L80" s="21"/>
      <c r="M80" s="22"/>
      <c r="N80" s="23"/>
    </row>
    <row r="81" spans="1:22" ht="15.75" customHeight="1">
      <c r="A81" s="31">
        <v>14</v>
      </c>
      <c r="B81" s="121" t="s">
        <v>119</v>
      </c>
      <c r="C81" s="38" t="s">
        <v>55</v>
      </c>
      <c r="D81" s="169"/>
      <c r="E81" s="37">
        <v>2581.1999999999998</v>
      </c>
      <c r="F81" s="37">
        <f>SUM(E81*12)</f>
        <v>30974.399999999998</v>
      </c>
      <c r="G81" s="37">
        <v>3.5</v>
      </c>
      <c r="H81" s="164">
        <f>SUM(F81*G81/1000)</f>
        <v>108.4104</v>
      </c>
      <c r="I81" s="13">
        <f>F81/12*G81</f>
        <v>9034.1999999999989</v>
      </c>
      <c r="J81" s="25"/>
      <c r="L81" s="21"/>
    </row>
    <row r="82" spans="1:22" ht="31.5" customHeight="1">
      <c r="A82" s="31">
        <v>15</v>
      </c>
      <c r="B82" s="166" t="s">
        <v>195</v>
      </c>
      <c r="C82" s="159" t="s">
        <v>55</v>
      </c>
      <c r="D82" s="167"/>
      <c r="E82" s="168">
        <f>E81</f>
        <v>2581.1999999999998</v>
      </c>
      <c r="F82" s="161">
        <f>E82*12</f>
        <v>30974.399999999998</v>
      </c>
      <c r="G82" s="161">
        <v>3.2</v>
      </c>
      <c r="H82" s="101">
        <f>F82*G82/1000</f>
        <v>99.118080000000006</v>
      </c>
      <c r="I82" s="13">
        <f>F82/12*G82</f>
        <v>8259.84</v>
      </c>
    </row>
    <row r="83" spans="1:22" ht="15.75" customHeight="1">
      <c r="A83" s="90"/>
      <c r="B83" s="39" t="s">
        <v>79</v>
      </c>
      <c r="C83" s="41"/>
      <c r="D83" s="16"/>
      <c r="E83" s="16"/>
      <c r="F83" s="16"/>
      <c r="G83" s="19"/>
      <c r="H83" s="19"/>
      <c r="I83" s="33">
        <f>I82+I81+I79+I75+I57+I51+I31+I30+I27+I21+I20+I18+I17+I16+I61</f>
        <v>45257.174704000012</v>
      </c>
    </row>
    <row r="84" spans="1:22" ht="15.75" customHeight="1">
      <c r="A84" s="208" t="s">
        <v>60</v>
      </c>
      <c r="B84" s="209"/>
      <c r="C84" s="209"/>
      <c r="D84" s="209"/>
      <c r="E84" s="209"/>
      <c r="F84" s="209"/>
      <c r="G84" s="209"/>
      <c r="H84" s="209"/>
      <c r="I84" s="210"/>
    </row>
    <row r="85" spans="1:22" ht="15.75" customHeight="1">
      <c r="A85" s="31">
        <v>16</v>
      </c>
      <c r="B85" s="119" t="s">
        <v>80</v>
      </c>
      <c r="C85" s="120" t="s">
        <v>85</v>
      </c>
      <c r="D85" s="66"/>
      <c r="E85" s="37"/>
      <c r="F85" s="37">
        <v>3</v>
      </c>
      <c r="G85" s="37">
        <v>215.85</v>
      </c>
      <c r="H85" s="101"/>
      <c r="I85" s="13">
        <f>G85*1</f>
        <v>215.85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9"/>
    </row>
    <row r="86" spans="1:22" ht="30" customHeight="1">
      <c r="A86" s="31">
        <v>17</v>
      </c>
      <c r="B86" s="119" t="s">
        <v>178</v>
      </c>
      <c r="C86" s="120" t="s">
        <v>94</v>
      </c>
      <c r="D86" s="66" t="s">
        <v>232</v>
      </c>
      <c r="E86" s="37"/>
      <c r="F86" s="37">
        <v>1</v>
      </c>
      <c r="G86" s="37">
        <v>670.51</v>
      </c>
      <c r="H86" s="101"/>
      <c r="I86" s="13">
        <f>G86*1</f>
        <v>670.51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9"/>
    </row>
    <row r="87" spans="1:22" ht="32.25" customHeight="1">
      <c r="A87" s="31">
        <v>18</v>
      </c>
      <c r="B87" s="119" t="s">
        <v>229</v>
      </c>
      <c r="C87" s="120" t="s">
        <v>230</v>
      </c>
      <c r="D87" s="66" t="s">
        <v>231</v>
      </c>
      <c r="E87" s="37"/>
      <c r="F87" s="37">
        <v>0.5</v>
      </c>
      <c r="G87" s="37">
        <v>936.64</v>
      </c>
      <c r="H87" s="101"/>
      <c r="I87" s="13">
        <f>G87*0.5</f>
        <v>468.32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9"/>
    </row>
    <row r="88" spans="1:22" ht="17.25" customHeight="1">
      <c r="A88" s="31">
        <v>19</v>
      </c>
      <c r="B88" s="119" t="s">
        <v>284</v>
      </c>
      <c r="C88" s="120" t="s">
        <v>282</v>
      </c>
      <c r="D88" s="66" t="s">
        <v>286</v>
      </c>
      <c r="E88" s="37"/>
      <c r="F88" s="37">
        <v>4</v>
      </c>
      <c r="G88" s="37">
        <v>222.63</v>
      </c>
      <c r="H88" s="101"/>
      <c r="I88" s="13">
        <v>0</v>
      </c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9"/>
    </row>
    <row r="89" spans="1:22" ht="32.25" customHeight="1">
      <c r="A89" s="31">
        <v>20</v>
      </c>
      <c r="B89" s="119" t="s">
        <v>285</v>
      </c>
      <c r="C89" s="120" t="s">
        <v>38</v>
      </c>
      <c r="D89" s="66" t="s">
        <v>165</v>
      </c>
      <c r="E89" s="37"/>
      <c r="F89" s="37">
        <v>0.02</v>
      </c>
      <c r="G89" s="37">
        <v>4070.89</v>
      </c>
      <c r="H89" s="101"/>
      <c r="I89" s="13">
        <v>0</v>
      </c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9"/>
    </row>
    <row r="90" spans="1:22" ht="15.75" customHeight="1">
      <c r="A90" s="31"/>
      <c r="B90" s="46" t="s">
        <v>52</v>
      </c>
      <c r="C90" s="42"/>
      <c r="D90" s="54"/>
      <c r="E90" s="42">
        <v>1</v>
      </c>
      <c r="F90" s="42"/>
      <c r="G90" s="42"/>
      <c r="H90" s="42"/>
      <c r="I90" s="33">
        <f>SUM(I85:I87)</f>
        <v>1354.68</v>
      </c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</row>
    <row r="91" spans="1:22" ht="15.75" customHeight="1">
      <c r="A91" s="31"/>
      <c r="B91" s="52" t="s">
        <v>78</v>
      </c>
      <c r="C91" s="16"/>
      <c r="D91" s="16"/>
      <c r="E91" s="43"/>
      <c r="F91" s="43"/>
      <c r="G91" s="44"/>
      <c r="H91" s="44"/>
      <c r="I91" s="18">
        <v>0</v>
      </c>
    </row>
    <row r="92" spans="1:22" ht="15.75" customHeight="1">
      <c r="A92" s="55"/>
      <c r="B92" s="47" t="s">
        <v>136</v>
      </c>
      <c r="C92" s="36"/>
      <c r="D92" s="36"/>
      <c r="E92" s="36"/>
      <c r="F92" s="36"/>
      <c r="G92" s="36"/>
      <c r="H92" s="36"/>
      <c r="I92" s="45">
        <f>I83+I90</f>
        <v>46611.854704000012</v>
      </c>
    </row>
    <row r="93" spans="1:22" ht="15.75" customHeight="1">
      <c r="A93" s="204" t="s">
        <v>275</v>
      </c>
      <c r="B93" s="204"/>
      <c r="C93" s="204"/>
      <c r="D93" s="204"/>
      <c r="E93" s="204"/>
      <c r="F93" s="204"/>
      <c r="G93" s="204"/>
      <c r="H93" s="204"/>
      <c r="I93" s="204"/>
    </row>
    <row r="94" spans="1:22" ht="15.75" customHeight="1">
      <c r="A94" s="77"/>
      <c r="B94" s="185" t="s">
        <v>276</v>
      </c>
      <c r="C94" s="185"/>
      <c r="D94" s="185"/>
      <c r="E94" s="185"/>
      <c r="F94" s="185"/>
      <c r="G94" s="185"/>
      <c r="H94" s="89"/>
      <c r="I94" s="3"/>
    </row>
    <row r="95" spans="1:22" ht="15.75" customHeight="1">
      <c r="A95" s="80"/>
      <c r="B95" s="186" t="s">
        <v>6</v>
      </c>
      <c r="C95" s="186"/>
      <c r="D95" s="186"/>
      <c r="E95" s="186"/>
      <c r="F95" s="186"/>
      <c r="G95" s="186"/>
      <c r="H95" s="26"/>
      <c r="I95" s="5"/>
    </row>
    <row r="96" spans="1:22" ht="15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 customHeight="1">
      <c r="A97" s="187" t="s">
        <v>7</v>
      </c>
      <c r="B97" s="187"/>
      <c r="C97" s="187"/>
      <c r="D97" s="187"/>
      <c r="E97" s="187"/>
      <c r="F97" s="187"/>
      <c r="G97" s="187"/>
      <c r="H97" s="187"/>
      <c r="I97" s="187"/>
    </row>
    <row r="98" spans="1:9" ht="15.75" customHeight="1">
      <c r="A98" s="187" t="s">
        <v>8</v>
      </c>
      <c r="B98" s="187"/>
      <c r="C98" s="187"/>
      <c r="D98" s="187"/>
      <c r="E98" s="187"/>
      <c r="F98" s="187"/>
      <c r="G98" s="187"/>
      <c r="H98" s="187"/>
      <c r="I98" s="187"/>
    </row>
    <row r="99" spans="1:9" ht="15.75" customHeight="1">
      <c r="A99" s="190" t="s">
        <v>61</v>
      </c>
      <c r="B99" s="190"/>
      <c r="C99" s="190"/>
      <c r="D99" s="190"/>
      <c r="E99" s="190"/>
      <c r="F99" s="190"/>
      <c r="G99" s="190"/>
      <c r="H99" s="190"/>
      <c r="I99" s="190"/>
    </row>
    <row r="100" spans="1:9" ht="15.75" customHeight="1">
      <c r="A100" s="11"/>
    </row>
    <row r="101" spans="1:9" ht="15.75" customHeight="1">
      <c r="A101" s="191" t="s">
        <v>9</v>
      </c>
      <c r="B101" s="191"/>
      <c r="C101" s="191"/>
      <c r="D101" s="191"/>
      <c r="E101" s="191"/>
      <c r="F101" s="191"/>
      <c r="G101" s="191"/>
      <c r="H101" s="191"/>
      <c r="I101" s="191"/>
    </row>
    <row r="102" spans="1:9" ht="15.75" customHeight="1">
      <c r="A102" s="4"/>
    </row>
    <row r="103" spans="1:9" ht="15.75" customHeight="1">
      <c r="B103" s="83" t="s">
        <v>10</v>
      </c>
      <c r="C103" s="192" t="s">
        <v>84</v>
      </c>
      <c r="D103" s="192"/>
      <c r="E103" s="192"/>
      <c r="F103" s="87"/>
      <c r="I103" s="79"/>
    </row>
    <row r="104" spans="1:9" ht="15.75" customHeight="1">
      <c r="A104" s="80"/>
      <c r="C104" s="186" t="s">
        <v>11</v>
      </c>
      <c r="D104" s="186"/>
      <c r="E104" s="186"/>
      <c r="F104" s="26"/>
      <c r="I104" s="78" t="s">
        <v>12</v>
      </c>
    </row>
    <row r="105" spans="1:9" ht="15.75" customHeight="1">
      <c r="A105" s="27"/>
      <c r="C105" s="12"/>
      <c r="D105" s="12"/>
      <c r="G105" s="12"/>
      <c r="H105" s="12"/>
    </row>
    <row r="106" spans="1:9" ht="15.75" customHeight="1">
      <c r="B106" s="83" t="s">
        <v>13</v>
      </c>
      <c r="C106" s="193"/>
      <c r="D106" s="193"/>
      <c r="E106" s="193"/>
      <c r="F106" s="88"/>
      <c r="I106" s="79"/>
    </row>
    <row r="107" spans="1:9" ht="15.75" customHeight="1">
      <c r="A107" s="80"/>
      <c r="C107" s="189" t="s">
        <v>11</v>
      </c>
      <c r="D107" s="189"/>
      <c r="E107" s="189"/>
      <c r="F107" s="80"/>
      <c r="I107" s="78" t="s">
        <v>12</v>
      </c>
    </row>
    <row r="108" spans="1:9" ht="15.75" customHeight="1">
      <c r="A108" s="4" t="s">
        <v>14</v>
      </c>
    </row>
    <row r="109" spans="1:9">
      <c r="A109" s="188" t="s">
        <v>15</v>
      </c>
      <c r="B109" s="188"/>
      <c r="C109" s="188"/>
      <c r="D109" s="188"/>
      <c r="E109" s="188"/>
      <c r="F109" s="188"/>
      <c r="G109" s="188"/>
      <c r="H109" s="188"/>
      <c r="I109" s="188"/>
    </row>
    <row r="110" spans="1:9" ht="45" customHeight="1">
      <c r="A110" s="184" t="s">
        <v>16</v>
      </c>
      <c r="B110" s="184"/>
      <c r="C110" s="184"/>
      <c r="D110" s="184"/>
      <c r="E110" s="184"/>
      <c r="F110" s="184"/>
      <c r="G110" s="184"/>
      <c r="H110" s="184"/>
      <c r="I110" s="184"/>
    </row>
    <row r="111" spans="1:9" ht="30" customHeight="1">
      <c r="A111" s="184" t="s">
        <v>17</v>
      </c>
      <c r="B111" s="184"/>
      <c r="C111" s="184"/>
      <c r="D111" s="184"/>
      <c r="E111" s="184"/>
      <c r="F111" s="184"/>
      <c r="G111" s="184"/>
      <c r="H111" s="184"/>
      <c r="I111" s="184"/>
    </row>
    <row r="112" spans="1:9" ht="30" customHeight="1">
      <c r="A112" s="184" t="s">
        <v>21</v>
      </c>
      <c r="B112" s="184"/>
      <c r="C112" s="184"/>
      <c r="D112" s="184"/>
      <c r="E112" s="184"/>
      <c r="F112" s="184"/>
      <c r="G112" s="184"/>
      <c r="H112" s="184"/>
      <c r="I112" s="184"/>
    </row>
    <row r="113" spans="1:9" ht="15" customHeight="1">
      <c r="A113" s="184" t="s">
        <v>20</v>
      </c>
      <c r="B113" s="184"/>
      <c r="C113" s="184"/>
      <c r="D113" s="184"/>
      <c r="E113" s="184"/>
      <c r="F113" s="184"/>
      <c r="G113" s="184"/>
      <c r="H113" s="184"/>
      <c r="I113" s="184"/>
    </row>
  </sheetData>
  <autoFilter ref="I12:I83"/>
  <mergeCells count="28"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  <mergeCell ref="A99:I99"/>
    <mergeCell ref="A15:I15"/>
    <mergeCell ref="A28:I28"/>
    <mergeCell ref="A41:I41"/>
    <mergeCell ref="A52:I52"/>
    <mergeCell ref="A80:I80"/>
    <mergeCell ref="A84:I84"/>
    <mergeCell ref="A93:I93"/>
    <mergeCell ref="B94:G94"/>
    <mergeCell ref="B95:G95"/>
    <mergeCell ref="A97:I97"/>
    <mergeCell ref="A98:I98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3"/>
  <sheetViews>
    <sheetView topLeftCell="A60" workbookViewId="0">
      <selection activeCell="B88" sqref="B88:I8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8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155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94" t="s">
        <v>148</v>
      </c>
      <c r="B3" s="194"/>
      <c r="C3" s="194"/>
      <c r="D3" s="194"/>
      <c r="E3" s="194"/>
      <c r="F3" s="194"/>
      <c r="G3" s="194"/>
      <c r="H3" s="194"/>
      <c r="I3" s="194"/>
      <c r="J3" s="3"/>
      <c r="K3" s="3"/>
      <c r="L3" s="3"/>
    </row>
    <row r="4" spans="1:13" ht="31.5" customHeight="1">
      <c r="A4" s="195" t="s">
        <v>120</v>
      </c>
      <c r="B4" s="195"/>
      <c r="C4" s="195"/>
      <c r="D4" s="195"/>
      <c r="E4" s="195"/>
      <c r="F4" s="195"/>
      <c r="G4" s="195"/>
      <c r="H4" s="195"/>
      <c r="I4" s="195"/>
    </row>
    <row r="5" spans="1:13" ht="15.75" customHeight="1">
      <c r="A5" s="194" t="s">
        <v>235</v>
      </c>
      <c r="B5" s="198"/>
      <c r="C5" s="198"/>
      <c r="D5" s="198"/>
      <c r="E5" s="198"/>
      <c r="F5" s="198"/>
      <c r="G5" s="198"/>
      <c r="H5" s="198"/>
      <c r="I5" s="198"/>
      <c r="J5" s="2"/>
      <c r="K5" s="2"/>
      <c r="L5" s="2"/>
      <c r="M5" s="2"/>
    </row>
    <row r="6" spans="1:13" ht="15.75" customHeight="1">
      <c r="A6" s="2"/>
      <c r="B6" s="82"/>
      <c r="C6" s="82"/>
      <c r="D6" s="82"/>
      <c r="E6" s="82"/>
      <c r="F6" s="82"/>
      <c r="G6" s="82"/>
      <c r="H6" s="82"/>
      <c r="I6" s="32">
        <v>44104</v>
      </c>
      <c r="J6" s="2"/>
      <c r="K6" s="2"/>
      <c r="L6" s="2"/>
      <c r="M6" s="2"/>
    </row>
    <row r="7" spans="1:13" ht="15.75" customHeight="1">
      <c r="B7" s="83"/>
      <c r="C7" s="83"/>
      <c r="D7" s="83"/>
      <c r="E7" s="3"/>
      <c r="F7" s="3"/>
      <c r="G7" s="3"/>
      <c r="H7" s="3"/>
      <c r="J7" s="3"/>
      <c r="K7" s="3"/>
      <c r="L7" s="3"/>
      <c r="M7" s="3"/>
    </row>
    <row r="8" spans="1:13" s="64" customFormat="1" ht="78.75" customHeight="1">
      <c r="A8" s="196" t="s">
        <v>186</v>
      </c>
      <c r="B8" s="196"/>
      <c r="C8" s="196"/>
      <c r="D8" s="196"/>
      <c r="E8" s="196"/>
      <c r="F8" s="196"/>
      <c r="G8" s="196"/>
      <c r="H8" s="196"/>
      <c r="I8" s="196"/>
      <c r="J8" s="76"/>
      <c r="K8" s="76"/>
      <c r="L8" s="76"/>
      <c r="M8" s="76"/>
    </row>
    <row r="9" spans="1:13" ht="15.75">
      <c r="A9" s="4"/>
      <c r="J9" s="2"/>
      <c r="K9" s="2"/>
      <c r="L9" s="2"/>
      <c r="M9" s="2"/>
    </row>
    <row r="10" spans="1:13" ht="47.25" customHeight="1">
      <c r="A10" s="197" t="s">
        <v>150</v>
      </c>
      <c r="B10" s="197"/>
      <c r="C10" s="197"/>
      <c r="D10" s="197"/>
      <c r="E10" s="197"/>
      <c r="F10" s="197"/>
      <c r="G10" s="197"/>
      <c r="H10" s="197"/>
      <c r="I10" s="19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 ht="15.7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9" t="s">
        <v>59</v>
      </c>
      <c r="B14" s="199"/>
      <c r="C14" s="199"/>
      <c r="D14" s="199"/>
      <c r="E14" s="199"/>
      <c r="F14" s="199"/>
      <c r="G14" s="199"/>
      <c r="H14" s="199"/>
      <c r="I14" s="199"/>
      <c r="J14" s="8"/>
      <c r="K14" s="8"/>
      <c r="L14" s="8"/>
      <c r="M14" s="8"/>
    </row>
    <row r="15" spans="1:13" ht="15.75" customHeight="1">
      <c r="A15" s="200" t="s">
        <v>4</v>
      </c>
      <c r="B15" s="200"/>
      <c r="C15" s="200"/>
      <c r="D15" s="200"/>
      <c r="E15" s="200"/>
      <c r="F15" s="200"/>
      <c r="G15" s="200"/>
      <c r="H15" s="200"/>
      <c r="I15" s="200"/>
      <c r="J15" s="8"/>
      <c r="K15" s="8"/>
      <c r="L15" s="8"/>
      <c r="M15" s="8"/>
    </row>
    <row r="16" spans="1:13" ht="15.75" customHeight="1">
      <c r="A16" s="31">
        <v>1</v>
      </c>
      <c r="B16" s="34" t="s">
        <v>83</v>
      </c>
      <c r="C16" s="40" t="s">
        <v>88</v>
      </c>
      <c r="D16" s="34" t="s">
        <v>161</v>
      </c>
      <c r="E16" s="123">
        <v>47.52</v>
      </c>
      <c r="F16" s="124">
        <f>SUM(E16*156/100)</f>
        <v>74.131200000000007</v>
      </c>
      <c r="G16" s="124">
        <v>261.45</v>
      </c>
      <c r="H16" s="95">
        <f t="shared" ref="H16:H18" si="0">SUM(F16*G16/1000)</f>
        <v>19.381602239999999</v>
      </c>
      <c r="I16" s="13">
        <f>F16/12*G16</f>
        <v>1615.1335200000001</v>
      </c>
      <c r="J16" s="8"/>
      <c r="K16" s="8"/>
      <c r="L16" s="8"/>
      <c r="M16" s="8"/>
    </row>
    <row r="17" spans="1:13" ht="15.75" customHeight="1">
      <c r="A17" s="31">
        <v>2</v>
      </c>
      <c r="B17" s="34" t="s">
        <v>97</v>
      </c>
      <c r="C17" s="40" t="s">
        <v>88</v>
      </c>
      <c r="D17" s="34" t="s">
        <v>162</v>
      </c>
      <c r="E17" s="123">
        <v>190.08</v>
      </c>
      <c r="F17" s="124">
        <f>SUM(E17*104/100)</f>
        <v>197.6832</v>
      </c>
      <c r="G17" s="124">
        <v>261.45</v>
      </c>
      <c r="H17" s="95">
        <f t="shared" si="0"/>
        <v>51.684272639999996</v>
      </c>
      <c r="I17" s="13">
        <f>F17/12*G17</f>
        <v>4307.0227199999999</v>
      </c>
      <c r="J17" s="8"/>
      <c r="K17" s="8"/>
      <c r="L17" s="8"/>
      <c r="M17" s="8"/>
    </row>
    <row r="18" spans="1:13" ht="15.75" customHeight="1">
      <c r="A18" s="31">
        <v>3</v>
      </c>
      <c r="B18" s="34" t="s">
        <v>98</v>
      </c>
      <c r="C18" s="40" t="s">
        <v>88</v>
      </c>
      <c r="D18" s="34" t="s">
        <v>163</v>
      </c>
      <c r="E18" s="123">
        <f>SUM(E16+E17)</f>
        <v>237.60000000000002</v>
      </c>
      <c r="F18" s="124">
        <f>SUM(E18*18/100)</f>
        <v>42.768000000000001</v>
      </c>
      <c r="G18" s="124">
        <v>752.16</v>
      </c>
      <c r="H18" s="95">
        <f t="shared" si="0"/>
        <v>32.168378879999999</v>
      </c>
      <c r="I18" s="13">
        <f>F18/18*2*G18</f>
        <v>3574.2643199999998</v>
      </c>
      <c r="J18" s="8"/>
      <c r="K18" s="8"/>
      <c r="L18" s="8"/>
      <c r="M18" s="8"/>
    </row>
    <row r="19" spans="1:13" ht="15.75" hidden="1" customHeight="1">
      <c r="A19" s="31">
        <v>4</v>
      </c>
      <c r="B19" s="34" t="s">
        <v>121</v>
      </c>
      <c r="C19" s="40" t="s">
        <v>122</v>
      </c>
      <c r="D19" s="34" t="s">
        <v>210</v>
      </c>
      <c r="E19" s="123">
        <v>18.48</v>
      </c>
      <c r="F19" s="124">
        <f>SUM(E19/10)</f>
        <v>1.8480000000000001</v>
      </c>
      <c r="G19" s="124">
        <v>253.7</v>
      </c>
      <c r="H19" s="95">
        <f t="shared" ref="H19:H27" si="1">SUM(F19*G19/1000)</f>
        <v>0.46883760000000002</v>
      </c>
      <c r="I19" s="13">
        <f>G19*F19</f>
        <v>468.83760000000001</v>
      </c>
      <c r="J19" s="8"/>
      <c r="K19" s="8"/>
      <c r="L19" s="8"/>
      <c r="M19" s="8"/>
    </row>
    <row r="20" spans="1:13" ht="15.75" customHeight="1">
      <c r="A20" s="31">
        <v>4</v>
      </c>
      <c r="B20" s="34" t="s">
        <v>87</v>
      </c>
      <c r="C20" s="40" t="s">
        <v>88</v>
      </c>
      <c r="D20" s="34" t="s">
        <v>164</v>
      </c>
      <c r="E20" s="123">
        <v>10.5</v>
      </c>
      <c r="F20" s="124">
        <f>SUM(E20*12/100)</f>
        <v>1.26</v>
      </c>
      <c r="G20" s="124">
        <v>324.83999999999997</v>
      </c>
      <c r="H20" s="95">
        <f t="shared" si="1"/>
        <v>0.40929839999999995</v>
      </c>
      <c r="I20" s="13">
        <f>F20/12*G20</f>
        <v>34.108199999999997</v>
      </c>
      <c r="J20" s="8"/>
      <c r="K20" s="8"/>
      <c r="L20" s="8"/>
      <c r="M20" s="8"/>
    </row>
    <row r="21" spans="1:13" ht="15.75" customHeight="1">
      <c r="A21" s="31">
        <v>5</v>
      </c>
      <c r="B21" s="34" t="s">
        <v>95</v>
      </c>
      <c r="C21" s="40" t="s">
        <v>88</v>
      </c>
      <c r="D21" s="34" t="s">
        <v>164</v>
      </c>
      <c r="E21" s="123">
        <v>2.7</v>
      </c>
      <c r="F21" s="124">
        <f>SUM(E21*12/100)</f>
        <v>0.32400000000000007</v>
      </c>
      <c r="G21" s="124">
        <v>322.20999999999998</v>
      </c>
      <c r="H21" s="95">
        <f t="shared" si="1"/>
        <v>0.10439604000000001</v>
      </c>
      <c r="I21" s="13">
        <f>F21/12*G21</f>
        <v>8.6996700000000011</v>
      </c>
      <c r="J21" s="8"/>
      <c r="K21" s="8"/>
      <c r="L21" s="8"/>
      <c r="M21" s="8"/>
    </row>
    <row r="22" spans="1:13" ht="15.75" hidden="1" customHeight="1">
      <c r="A22" s="31">
        <v>7</v>
      </c>
      <c r="B22" s="34" t="s">
        <v>89</v>
      </c>
      <c r="C22" s="40" t="s">
        <v>53</v>
      </c>
      <c r="D22" s="34" t="s">
        <v>210</v>
      </c>
      <c r="E22" s="123">
        <v>267.75</v>
      </c>
      <c r="F22" s="124">
        <f>SUM(E22/100)</f>
        <v>2.6775000000000002</v>
      </c>
      <c r="G22" s="124">
        <v>401.44</v>
      </c>
      <c r="H22" s="95">
        <f t="shared" si="1"/>
        <v>1.0748556</v>
      </c>
      <c r="I22" s="13">
        <f>G22*F22</f>
        <v>1074.8556000000001</v>
      </c>
      <c r="J22" s="8"/>
      <c r="K22" s="8"/>
      <c r="L22" s="8"/>
      <c r="M22" s="8"/>
    </row>
    <row r="23" spans="1:13" ht="15.75" hidden="1" customHeight="1">
      <c r="A23" s="31">
        <v>8</v>
      </c>
      <c r="B23" s="34" t="s">
        <v>90</v>
      </c>
      <c r="C23" s="40" t="s">
        <v>53</v>
      </c>
      <c r="D23" s="34" t="s">
        <v>211</v>
      </c>
      <c r="E23" s="154">
        <v>36</v>
      </c>
      <c r="F23" s="124">
        <f>SUM(E23/100)</f>
        <v>0.36</v>
      </c>
      <c r="G23" s="124">
        <v>66.03</v>
      </c>
      <c r="H23" s="95">
        <f t="shared" si="1"/>
        <v>2.3770800000000002E-2</v>
      </c>
      <c r="I23" s="13">
        <f>G23*F23</f>
        <v>23.770800000000001</v>
      </c>
      <c r="J23" s="8"/>
      <c r="K23" s="8"/>
      <c r="L23" s="8"/>
      <c r="M23" s="8"/>
    </row>
    <row r="24" spans="1:13" ht="15.75" hidden="1" customHeight="1">
      <c r="A24" s="31">
        <v>9</v>
      </c>
      <c r="B24" s="34" t="s">
        <v>91</v>
      </c>
      <c r="C24" s="40" t="s">
        <v>53</v>
      </c>
      <c r="D24" s="34" t="s">
        <v>211</v>
      </c>
      <c r="E24" s="123">
        <v>15</v>
      </c>
      <c r="F24" s="124">
        <f>E24/100</f>
        <v>0.15</v>
      </c>
      <c r="G24" s="124">
        <v>581.02</v>
      </c>
      <c r="H24" s="95">
        <f t="shared" si="1"/>
        <v>8.7152999999999994E-2</v>
      </c>
      <c r="I24" s="13">
        <f>G24*F24</f>
        <v>87.152999999999992</v>
      </c>
      <c r="J24" s="8"/>
      <c r="K24" s="8"/>
      <c r="L24" s="8"/>
      <c r="M24" s="8"/>
    </row>
    <row r="25" spans="1:13" ht="15.75" hidden="1" customHeight="1">
      <c r="A25" s="31">
        <v>10</v>
      </c>
      <c r="B25" s="34" t="s">
        <v>96</v>
      </c>
      <c r="C25" s="40" t="s">
        <v>88</v>
      </c>
      <c r="D25" s="34" t="s">
        <v>164</v>
      </c>
      <c r="E25" s="123">
        <v>14.25</v>
      </c>
      <c r="F25" s="124">
        <v>0.1</v>
      </c>
      <c r="G25" s="124">
        <v>322.20999999999998</v>
      </c>
      <c r="H25" s="95">
        <v>3.1E-2</v>
      </c>
      <c r="I25" s="13">
        <f>G25*F25</f>
        <v>32.220999999999997</v>
      </c>
      <c r="J25" s="8"/>
      <c r="K25" s="8"/>
      <c r="L25" s="8"/>
      <c r="M25" s="8"/>
    </row>
    <row r="26" spans="1:13" ht="15.75" hidden="1" customHeight="1">
      <c r="A26" s="31">
        <v>11</v>
      </c>
      <c r="B26" s="34" t="s">
        <v>92</v>
      </c>
      <c r="C26" s="40" t="s">
        <v>53</v>
      </c>
      <c r="D26" s="34" t="s">
        <v>211</v>
      </c>
      <c r="E26" s="123">
        <v>6.38</v>
      </c>
      <c r="F26" s="124">
        <f>SUM(E26/100)</f>
        <v>6.3799999999999996E-2</v>
      </c>
      <c r="G26" s="124">
        <v>776.46</v>
      </c>
      <c r="H26" s="95">
        <f t="shared" si="1"/>
        <v>4.9538147999999997E-2</v>
      </c>
      <c r="I26" s="13">
        <f>G26*F26</f>
        <v>49.538148</v>
      </c>
      <c r="J26" s="8"/>
      <c r="K26" s="8"/>
      <c r="L26" s="8"/>
      <c r="M26" s="8"/>
    </row>
    <row r="27" spans="1:13" ht="15.75" customHeight="1">
      <c r="A27" s="31">
        <v>6</v>
      </c>
      <c r="B27" s="34" t="s">
        <v>160</v>
      </c>
      <c r="C27" s="40" t="s">
        <v>25</v>
      </c>
      <c r="D27" s="34" t="s">
        <v>166</v>
      </c>
      <c r="E27" s="133">
        <v>4.83</v>
      </c>
      <c r="F27" s="124">
        <f>SUM(E27*258)</f>
        <v>1246.1400000000001</v>
      </c>
      <c r="G27" s="124">
        <v>10.81</v>
      </c>
      <c r="H27" s="95">
        <f t="shared" si="1"/>
        <v>13.470773400000002</v>
      </c>
      <c r="I27" s="13">
        <f>F27/12*G27</f>
        <v>1122.5644500000003</v>
      </c>
      <c r="J27" s="8"/>
      <c r="K27" s="8"/>
      <c r="L27" s="8"/>
      <c r="M27" s="8"/>
    </row>
    <row r="28" spans="1:13" ht="15.75" customHeight="1">
      <c r="A28" s="200" t="s">
        <v>82</v>
      </c>
      <c r="B28" s="200"/>
      <c r="C28" s="200"/>
      <c r="D28" s="200"/>
      <c r="E28" s="200"/>
      <c r="F28" s="200"/>
      <c r="G28" s="200"/>
      <c r="H28" s="200"/>
      <c r="I28" s="200"/>
      <c r="J28" s="24"/>
      <c r="K28" s="8"/>
      <c r="L28" s="8"/>
      <c r="M28" s="8"/>
    </row>
    <row r="29" spans="1:13" ht="15.75" customHeight="1">
      <c r="A29" s="41"/>
      <c r="B29" s="51" t="s">
        <v>28</v>
      </c>
      <c r="C29" s="51"/>
      <c r="D29" s="51"/>
      <c r="E29" s="51"/>
      <c r="F29" s="51"/>
      <c r="G29" s="51"/>
      <c r="H29" s="51"/>
      <c r="I29" s="19"/>
      <c r="J29" s="24"/>
      <c r="K29" s="8"/>
      <c r="L29" s="8"/>
      <c r="M29" s="8"/>
    </row>
    <row r="30" spans="1:13" ht="15.75" customHeight="1">
      <c r="A30" s="41">
        <v>7</v>
      </c>
      <c r="B30" s="34" t="s">
        <v>99</v>
      </c>
      <c r="C30" s="40" t="s">
        <v>100</v>
      </c>
      <c r="D30" s="34" t="s">
        <v>205</v>
      </c>
      <c r="E30" s="124">
        <v>313</v>
      </c>
      <c r="F30" s="124">
        <f>SUM(E30*24/1000)</f>
        <v>7.5119999999999996</v>
      </c>
      <c r="G30" s="124">
        <v>232.4</v>
      </c>
      <c r="H30" s="95">
        <f t="shared" ref="H30:H31" si="2">SUM(F30*G30/1000)</f>
        <v>1.7457888000000001</v>
      </c>
      <c r="I30" s="13">
        <f>F30/6*G30</f>
        <v>290.96480000000003</v>
      </c>
      <c r="J30" s="24"/>
      <c r="K30" s="8"/>
      <c r="L30" s="8"/>
      <c r="M30" s="8"/>
    </row>
    <row r="31" spans="1:13" ht="31.5" customHeight="1">
      <c r="A31" s="41">
        <v>8</v>
      </c>
      <c r="B31" s="34" t="s">
        <v>134</v>
      </c>
      <c r="C31" s="40" t="s">
        <v>100</v>
      </c>
      <c r="D31" s="34" t="s">
        <v>161</v>
      </c>
      <c r="E31" s="124">
        <v>26.33</v>
      </c>
      <c r="F31" s="124">
        <f>SUM(E31*78/1000)</f>
        <v>2.0537399999999999</v>
      </c>
      <c r="G31" s="124">
        <v>385.6</v>
      </c>
      <c r="H31" s="95">
        <f t="shared" si="2"/>
        <v>0.79192214400000005</v>
      </c>
      <c r="I31" s="13">
        <f t="shared" ref="I31" si="3">F31/6*G31</f>
        <v>131.98702399999999</v>
      </c>
      <c r="J31" s="24"/>
      <c r="K31" s="8"/>
      <c r="L31" s="8"/>
      <c r="M31" s="8"/>
    </row>
    <row r="32" spans="1:13" ht="15.75" hidden="1" customHeight="1">
      <c r="A32" s="41">
        <v>16</v>
      </c>
      <c r="B32" s="91" t="s">
        <v>27</v>
      </c>
      <c r="C32" s="92" t="s">
        <v>100</v>
      </c>
      <c r="D32" s="91" t="s">
        <v>54</v>
      </c>
      <c r="E32" s="94">
        <v>1167.4000000000001</v>
      </c>
      <c r="F32" s="94">
        <f>SUM(E32/1000)</f>
        <v>1.1674</v>
      </c>
      <c r="G32" s="94">
        <v>3020.33</v>
      </c>
      <c r="H32" s="95">
        <f t="shared" ref="H32" si="4">SUM(F32*G32/1000)</f>
        <v>3.5259332420000002</v>
      </c>
      <c r="I32" s="13">
        <f>F32*G32</f>
        <v>3525.9332420000001</v>
      </c>
      <c r="J32" s="24"/>
      <c r="K32" s="8"/>
      <c r="L32" s="8"/>
      <c r="M32" s="8"/>
    </row>
    <row r="33" spans="1:13" ht="15.75" hidden="1" customHeight="1">
      <c r="A33" s="41">
        <v>4</v>
      </c>
      <c r="B33" s="91" t="s">
        <v>64</v>
      </c>
      <c r="C33" s="92" t="s">
        <v>32</v>
      </c>
      <c r="D33" s="91" t="s">
        <v>65</v>
      </c>
      <c r="E33" s="93"/>
      <c r="F33" s="94">
        <v>3</v>
      </c>
      <c r="G33" s="94">
        <v>191.32</v>
      </c>
      <c r="H33" s="95">
        <f t="shared" ref="H33" si="5">SUM(F33*G33/1000)</f>
        <v>0.57396000000000003</v>
      </c>
      <c r="I33" s="13">
        <v>0</v>
      </c>
      <c r="J33" s="24"/>
      <c r="K33" s="8"/>
      <c r="L33" s="8"/>
      <c r="M33" s="8"/>
    </row>
    <row r="34" spans="1:13" ht="15.75" hidden="1" customHeight="1">
      <c r="A34" s="41"/>
      <c r="B34" s="49" t="s">
        <v>5</v>
      </c>
      <c r="C34" s="49"/>
      <c r="D34" s="49"/>
      <c r="E34" s="13"/>
      <c r="F34" s="13"/>
      <c r="G34" s="14"/>
      <c r="H34" s="14"/>
      <c r="I34" s="19"/>
      <c r="J34" s="24"/>
      <c r="K34" s="8"/>
      <c r="L34" s="8"/>
      <c r="M34" s="8"/>
    </row>
    <row r="35" spans="1:13" ht="15.75" hidden="1" customHeight="1">
      <c r="A35" s="41">
        <v>8</v>
      </c>
      <c r="B35" s="91" t="s">
        <v>26</v>
      </c>
      <c r="C35" s="92" t="s">
        <v>31</v>
      </c>
      <c r="D35" s="91"/>
      <c r="E35" s="93"/>
      <c r="F35" s="94">
        <v>6</v>
      </c>
      <c r="G35" s="94">
        <v>1527.2</v>
      </c>
      <c r="H35" s="95">
        <f t="shared" ref="H35:H40" si="6">SUM(F35*G35/1000)</f>
        <v>9.1632000000000016</v>
      </c>
      <c r="I35" s="13">
        <f t="shared" ref="I35:I40" si="7">F35/6*G35</f>
        <v>1527.2</v>
      </c>
      <c r="J35" s="24"/>
      <c r="K35" s="8"/>
      <c r="L35" s="8"/>
      <c r="M35" s="8"/>
    </row>
    <row r="36" spans="1:13" ht="15.75" hidden="1" customHeight="1">
      <c r="A36" s="35">
        <v>9</v>
      </c>
      <c r="B36" s="91" t="s">
        <v>66</v>
      </c>
      <c r="C36" s="92" t="s">
        <v>29</v>
      </c>
      <c r="D36" s="91" t="s">
        <v>125</v>
      </c>
      <c r="E36" s="94">
        <v>1080.0999999999999</v>
      </c>
      <c r="F36" s="94">
        <f>SUM(E36*30/1000)</f>
        <v>32.402999999999999</v>
      </c>
      <c r="G36" s="94">
        <v>2102.6999999999998</v>
      </c>
      <c r="H36" s="95">
        <f t="shared" si="6"/>
        <v>68.13378809999999</v>
      </c>
      <c r="I36" s="13">
        <f t="shared" si="7"/>
        <v>11355.63135</v>
      </c>
      <c r="J36" s="24"/>
      <c r="K36" s="8"/>
      <c r="L36" s="8"/>
      <c r="M36" s="8"/>
    </row>
    <row r="37" spans="1:13" ht="15.75" hidden="1" customHeight="1">
      <c r="A37" s="35">
        <v>10</v>
      </c>
      <c r="B37" s="91" t="s">
        <v>67</v>
      </c>
      <c r="C37" s="92" t="s">
        <v>29</v>
      </c>
      <c r="D37" s="91" t="s">
        <v>104</v>
      </c>
      <c r="E37" s="94">
        <v>45</v>
      </c>
      <c r="F37" s="94">
        <f>SUM(E37*155/1000)</f>
        <v>6.9749999999999996</v>
      </c>
      <c r="G37" s="94">
        <v>350.75</v>
      </c>
      <c r="H37" s="95">
        <f t="shared" si="6"/>
        <v>2.4464812499999997</v>
      </c>
      <c r="I37" s="13">
        <f t="shared" si="7"/>
        <v>407.74687499999993</v>
      </c>
      <c r="J37" s="24"/>
      <c r="K37" s="8"/>
      <c r="L37" s="8"/>
      <c r="M37" s="8"/>
    </row>
    <row r="38" spans="1:13" ht="47.25" hidden="1" customHeight="1">
      <c r="A38" s="35">
        <v>11</v>
      </c>
      <c r="B38" s="91" t="s">
        <v>81</v>
      </c>
      <c r="C38" s="92" t="s">
        <v>100</v>
      </c>
      <c r="D38" s="91" t="s">
        <v>68</v>
      </c>
      <c r="E38" s="94">
        <v>45</v>
      </c>
      <c r="F38" s="94">
        <f>SUM(E38*70/1000)</f>
        <v>3.15</v>
      </c>
      <c r="G38" s="94">
        <v>5803.28</v>
      </c>
      <c r="H38" s="95">
        <f t="shared" si="6"/>
        <v>18.280331999999998</v>
      </c>
      <c r="I38" s="13">
        <f t="shared" si="7"/>
        <v>3046.7220000000002</v>
      </c>
      <c r="J38" s="24"/>
      <c r="K38" s="8"/>
      <c r="L38" s="8"/>
      <c r="M38" s="8"/>
    </row>
    <row r="39" spans="1:13" ht="15.75" hidden="1" customHeight="1">
      <c r="A39" s="35">
        <v>12</v>
      </c>
      <c r="B39" s="91" t="s">
        <v>105</v>
      </c>
      <c r="C39" s="92" t="s">
        <v>100</v>
      </c>
      <c r="D39" s="91" t="s">
        <v>69</v>
      </c>
      <c r="E39" s="94">
        <v>45</v>
      </c>
      <c r="F39" s="94">
        <f>SUM(E39*45/1000)</f>
        <v>2.0249999999999999</v>
      </c>
      <c r="G39" s="94">
        <v>428.7</v>
      </c>
      <c r="H39" s="95">
        <f t="shared" si="6"/>
        <v>0.86811749999999999</v>
      </c>
      <c r="I39" s="13">
        <f t="shared" si="7"/>
        <v>144.68624999999997</v>
      </c>
      <c r="J39" s="24"/>
      <c r="K39" s="8"/>
      <c r="L39" s="8"/>
      <c r="M39" s="8"/>
    </row>
    <row r="40" spans="1:13" ht="15.75" hidden="1" customHeight="1">
      <c r="A40" s="35">
        <v>13</v>
      </c>
      <c r="B40" s="91" t="s">
        <v>70</v>
      </c>
      <c r="C40" s="92" t="s">
        <v>32</v>
      </c>
      <c r="D40" s="91"/>
      <c r="E40" s="93"/>
      <c r="F40" s="94">
        <v>0.6</v>
      </c>
      <c r="G40" s="94">
        <v>798</v>
      </c>
      <c r="H40" s="95">
        <f t="shared" si="6"/>
        <v>0.47879999999999995</v>
      </c>
      <c r="I40" s="13">
        <f t="shared" si="7"/>
        <v>79.8</v>
      </c>
      <c r="J40" s="24"/>
      <c r="K40" s="8"/>
      <c r="L40" s="8"/>
      <c r="M40" s="8"/>
    </row>
    <row r="41" spans="1:13" ht="15.75" customHeight="1">
      <c r="A41" s="201" t="s">
        <v>131</v>
      </c>
      <c r="B41" s="202"/>
      <c r="C41" s="202"/>
      <c r="D41" s="202"/>
      <c r="E41" s="202"/>
      <c r="F41" s="202"/>
      <c r="G41" s="202"/>
      <c r="H41" s="202"/>
      <c r="I41" s="203"/>
      <c r="J41" s="24"/>
      <c r="K41" s="8"/>
      <c r="L41" s="8"/>
      <c r="M41" s="8"/>
    </row>
    <row r="42" spans="1:13" ht="15.75" customHeight="1">
      <c r="A42" s="41">
        <v>9</v>
      </c>
      <c r="B42" s="34" t="s">
        <v>106</v>
      </c>
      <c r="C42" s="40" t="s">
        <v>100</v>
      </c>
      <c r="D42" s="34" t="s">
        <v>165</v>
      </c>
      <c r="E42" s="123">
        <v>965.8</v>
      </c>
      <c r="F42" s="124">
        <f>SUM(E42*2/1000)</f>
        <v>1.9316</v>
      </c>
      <c r="G42" s="37">
        <v>1207.24</v>
      </c>
      <c r="H42" s="95">
        <f t="shared" ref="H42:H51" si="8">SUM(F42*G42/1000)</f>
        <v>2.3319047839999998</v>
      </c>
      <c r="I42" s="13">
        <f t="shared" ref="I42:I45" si="9">F42/2*G42</f>
        <v>1165.9523919999999</v>
      </c>
      <c r="J42" s="24"/>
      <c r="K42" s="8"/>
    </row>
    <row r="43" spans="1:13" ht="15.75" customHeight="1">
      <c r="A43" s="41">
        <v>10</v>
      </c>
      <c r="B43" s="34" t="s">
        <v>35</v>
      </c>
      <c r="C43" s="40" t="s">
        <v>100</v>
      </c>
      <c r="D43" s="34" t="s">
        <v>165</v>
      </c>
      <c r="E43" s="123">
        <v>36</v>
      </c>
      <c r="F43" s="124">
        <f>SUM(E43*2/1000)</f>
        <v>7.1999999999999995E-2</v>
      </c>
      <c r="G43" s="37">
        <v>863.92</v>
      </c>
      <c r="H43" s="95">
        <f t="shared" si="8"/>
        <v>6.2202239999999992E-2</v>
      </c>
      <c r="I43" s="13">
        <f t="shared" si="9"/>
        <v>31.101119999999995</v>
      </c>
      <c r="J43" s="25"/>
    </row>
    <row r="44" spans="1:13" ht="15.75" customHeight="1">
      <c r="A44" s="41">
        <v>11</v>
      </c>
      <c r="B44" s="34" t="s">
        <v>36</v>
      </c>
      <c r="C44" s="40" t="s">
        <v>100</v>
      </c>
      <c r="D44" s="34" t="s">
        <v>165</v>
      </c>
      <c r="E44" s="123">
        <v>1197.7</v>
      </c>
      <c r="F44" s="124">
        <f>SUM(E44*2/1000)</f>
        <v>2.3954</v>
      </c>
      <c r="G44" s="37">
        <v>863.92</v>
      </c>
      <c r="H44" s="95">
        <f t="shared" si="8"/>
        <v>2.0694339679999998</v>
      </c>
      <c r="I44" s="13">
        <f t="shared" si="9"/>
        <v>1034.7169839999999</v>
      </c>
      <c r="J44" s="25"/>
    </row>
    <row r="45" spans="1:13" ht="15.75" customHeight="1">
      <c r="A45" s="41">
        <v>12</v>
      </c>
      <c r="B45" s="34" t="s">
        <v>37</v>
      </c>
      <c r="C45" s="40" t="s">
        <v>100</v>
      </c>
      <c r="D45" s="34" t="s">
        <v>165</v>
      </c>
      <c r="E45" s="123">
        <v>2275.92</v>
      </c>
      <c r="F45" s="124">
        <f>SUM(E45*2/1000)</f>
        <v>4.5518400000000003</v>
      </c>
      <c r="G45" s="37">
        <v>904.65</v>
      </c>
      <c r="H45" s="95">
        <f t="shared" si="8"/>
        <v>4.1178220559999996</v>
      </c>
      <c r="I45" s="13">
        <f t="shared" si="9"/>
        <v>2058.911028</v>
      </c>
      <c r="J45" s="25"/>
    </row>
    <row r="46" spans="1:13" ht="15.75" customHeight="1">
      <c r="A46" s="41">
        <v>13</v>
      </c>
      <c r="B46" s="34" t="s">
        <v>33</v>
      </c>
      <c r="C46" s="40" t="s">
        <v>34</v>
      </c>
      <c r="D46" s="34" t="s">
        <v>165</v>
      </c>
      <c r="E46" s="123">
        <v>81.709999999999994</v>
      </c>
      <c r="F46" s="124">
        <f>SUM(E46*2/100)</f>
        <v>1.6341999999999999</v>
      </c>
      <c r="G46" s="37">
        <v>108.55</v>
      </c>
      <c r="H46" s="95">
        <f t="shared" si="8"/>
        <v>0.17739240999999997</v>
      </c>
      <c r="I46" s="13">
        <f>F46/2*G46</f>
        <v>88.696204999999992</v>
      </c>
      <c r="J46" s="25"/>
    </row>
    <row r="47" spans="1:13" ht="15.75" customHeight="1">
      <c r="A47" s="41">
        <v>14</v>
      </c>
      <c r="B47" s="34" t="s">
        <v>56</v>
      </c>
      <c r="C47" s="40" t="s">
        <v>100</v>
      </c>
      <c r="D47" s="34" t="s">
        <v>165</v>
      </c>
      <c r="E47" s="123">
        <v>1711.8</v>
      </c>
      <c r="F47" s="124">
        <f>SUM(E47*5/1000)</f>
        <v>8.5589999999999993</v>
      </c>
      <c r="G47" s="37">
        <v>1809.27</v>
      </c>
      <c r="H47" s="95">
        <f t="shared" si="8"/>
        <v>15.48554193</v>
      </c>
      <c r="I47" s="13">
        <f>F47/5*G47</f>
        <v>3097.1083859999994</v>
      </c>
      <c r="J47" s="25"/>
    </row>
    <row r="48" spans="1:13" ht="31.5" customHeight="1">
      <c r="A48" s="41">
        <v>15</v>
      </c>
      <c r="B48" s="34" t="s">
        <v>107</v>
      </c>
      <c r="C48" s="40" t="s">
        <v>100</v>
      </c>
      <c r="D48" s="34" t="s">
        <v>165</v>
      </c>
      <c r="E48" s="123">
        <v>1711.8</v>
      </c>
      <c r="F48" s="124">
        <f>SUM(E48*2/1000)</f>
        <v>3.4236</v>
      </c>
      <c r="G48" s="37">
        <v>1809.27</v>
      </c>
      <c r="H48" s="95">
        <f t="shared" si="8"/>
        <v>6.1942167719999999</v>
      </c>
      <c r="I48" s="13">
        <f>F48/2*G48</f>
        <v>3097.1083859999999</v>
      </c>
      <c r="J48" s="25"/>
    </row>
    <row r="49" spans="1:14" ht="31.5" customHeight="1">
      <c r="A49" s="41">
        <v>16</v>
      </c>
      <c r="B49" s="34" t="s">
        <v>108</v>
      </c>
      <c r="C49" s="40" t="s">
        <v>38</v>
      </c>
      <c r="D49" s="34" t="s">
        <v>165</v>
      </c>
      <c r="E49" s="123">
        <v>15</v>
      </c>
      <c r="F49" s="124">
        <f>SUM(E49*2/100)</f>
        <v>0.3</v>
      </c>
      <c r="G49" s="37">
        <v>4070.89</v>
      </c>
      <c r="H49" s="95">
        <f t="shared" si="8"/>
        <v>1.2212669999999999</v>
      </c>
      <c r="I49" s="13">
        <f t="shared" ref="I49:I50" si="10">F49/2*G49</f>
        <v>610.63349999999991</v>
      </c>
      <c r="J49" s="25"/>
    </row>
    <row r="50" spans="1:14" ht="15.75" customHeight="1">
      <c r="A50" s="41">
        <v>17</v>
      </c>
      <c r="B50" s="34" t="s">
        <v>39</v>
      </c>
      <c r="C50" s="40" t="s">
        <v>40</v>
      </c>
      <c r="D50" s="34" t="s">
        <v>165</v>
      </c>
      <c r="E50" s="123">
        <v>1</v>
      </c>
      <c r="F50" s="124">
        <v>0.02</v>
      </c>
      <c r="G50" s="37">
        <v>8426.7199999999993</v>
      </c>
      <c r="H50" s="95">
        <f t="shared" si="8"/>
        <v>0.16853439999999997</v>
      </c>
      <c r="I50" s="13">
        <f t="shared" si="10"/>
        <v>84.267199999999988</v>
      </c>
      <c r="J50" s="25"/>
      <c r="L50" s="21"/>
      <c r="M50" s="22"/>
      <c r="N50" s="23"/>
    </row>
    <row r="51" spans="1:14" ht="15.75" hidden="1" customHeight="1">
      <c r="A51" s="41">
        <v>11</v>
      </c>
      <c r="B51" s="34" t="s">
        <v>41</v>
      </c>
      <c r="C51" s="40" t="s">
        <v>85</v>
      </c>
      <c r="D51" s="34" t="s">
        <v>71</v>
      </c>
      <c r="E51" s="123">
        <v>90</v>
      </c>
      <c r="F51" s="124">
        <f>E51*3</f>
        <v>270</v>
      </c>
      <c r="G51" s="173">
        <v>97.93</v>
      </c>
      <c r="H51" s="95">
        <f t="shared" si="8"/>
        <v>26.441100000000002</v>
      </c>
      <c r="I51" s="13">
        <f>E51*G51</f>
        <v>8813.7000000000007</v>
      </c>
      <c r="J51" s="25"/>
      <c r="L51" s="21"/>
      <c r="M51" s="22"/>
      <c r="N51" s="23"/>
    </row>
    <row r="52" spans="1:14" ht="15.75" customHeight="1">
      <c r="A52" s="201" t="s">
        <v>132</v>
      </c>
      <c r="B52" s="202"/>
      <c r="C52" s="202"/>
      <c r="D52" s="202"/>
      <c r="E52" s="202"/>
      <c r="F52" s="202"/>
      <c r="G52" s="202"/>
      <c r="H52" s="202"/>
      <c r="I52" s="203"/>
      <c r="J52" s="25"/>
      <c r="L52" s="21"/>
      <c r="M52" s="22"/>
      <c r="N52" s="23"/>
    </row>
    <row r="53" spans="1:14" ht="15.75" hidden="1" customHeight="1">
      <c r="A53" s="90"/>
      <c r="B53" s="48" t="s">
        <v>43</v>
      </c>
      <c r="C53" s="17"/>
      <c r="D53" s="16"/>
      <c r="E53" s="16"/>
      <c r="F53" s="16"/>
      <c r="G53" s="31"/>
      <c r="H53" s="31"/>
      <c r="I53" s="19"/>
      <c r="J53" s="25"/>
      <c r="L53" s="21"/>
      <c r="M53" s="22"/>
      <c r="N53" s="23"/>
    </row>
    <row r="54" spans="1:14" ht="31.5" hidden="1" customHeight="1">
      <c r="A54" s="41">
        <v>14</v>
      </c>
      <c r="B54" s="91" t="s">
        <v>109</v>
      </c>
      <c r="C54" s="92" t="s">
        <v>88</v>
      </c>
      <c r="D54" s="91" t="s">
        <v>110</v>
      </c>
      <c r="E54" s="93">
        <v>96.58</v>
      </c>
      <c r="F54" s="94">
        <f>SUM(E54*6/100)</f>
        <v>5.7948000000000004</v>
      </c>
      <c r="G54" s="13">
        <v>1547.28</v>
      </c>
      <c r="H54" s="95">
        <f>SUM(F54*G54/1000)</f>
        <v>8.9661781440000006</v>
      </c>
      <c r="I54" s="13">
        <f>F54/6*G54</f>
        <v>1494.3630240000002</v>
      </c>
      <c r="J54" s="25"/>
      <c r="L54" s="21"/>
      <c r="M54" s="22"/>
      <c r="N54" s="23"/>
    </row>
    <row r="55" spans="1:14" ht="15.75" customHeight="1">
      <c r="A55" s="41"/>
      <c r="B55" s="67" t="s">
        <v>44</v>
      </c>
      <c r="C55" s="40"/>
      <c r="D55" s="34"/>
      <c r="E55" s="19"/>
      <c r="F55" s="85"/>
      <c r="G55" s="37"/>
      <c r="H55" s="68"/>
      <c r="I55" s="20"/>
      <c r="J55" s="25"/>
      <c r="L55" s="21"/>
      <c r="M55" s="22"/>
      <c r="N55" s="23"/>
    </row>
    <row r="56" spans="1:14" ht="15.75" hidden="1" customHeight="1">
      <c r="A56" s="41"/>
      <c r="B56" s="91" t="s">
        <v>45</v>
      </c>
      <c r="C56" s="92" t="s">
        <v>88</v>
      </c>
      <c r="D56" s="91" t="s">
        <v>54</v>
      </c>
      <c r="E56" s="93">
        <v>855.9</v>
      </c>
      <c r="F56" s="95">
        <v>8.6</v>
      </c>
      <c r="G56" s="13">
        <v>747.3</v>
      </c>
      <c r="H56" s="99">
        <v>6.4</v>
      </c>
      <c r="I56" s="13">
        <v>0</v>
      </c>
      <c r="J56" s="25"/>
      <c r="L56" s="21"/>
      <c r="M56" s="22"/>
      <c r="N56" s="23"/>
    </row>
    <row r="57" spans="1:14" ht="15.75" customHeight="1">
      <c r="A57" s="41">
        <v>18</v>
      </c>
      <c r="B57" s="91" t="s">
        <v>86</v>
      </c>
      <c r="C57" s="92" t="s">
        <v>25</v>
      </c>
      <c r="D57" s="91" t="s">
        <v>165</v>
      </c>
      <c r="E57" s="93">
        <v>256</v>
      </c>
      <c r="F57" s="95">
        <f>E57*12</f>
        <v>3072</v>
      </c>
      <c r="G57" s="13">
        <v>1.4</v>
      </c>
      <c r="H57" s="99">
        <f>F57*G57/1000</f>
        <v>4.3007999999999988</v>
      </c>
      <c r="I57" s="13">
        <f>1560/12*G57</f>
        <v>182</v>
      </c>
      <c r="J57" s="25"/>
      <c r="L57" s="21"/>
      <c r="M57" s="22"/>
      <c r="N57" s="23"/>
    </row>
    <row r="58" spans="1:14" ht="15.75" hidden="1" customHeight="1">
      <c r="A58" s="41"/>
      <c r="B58" s="67" t="s">
        <v>126</v>
      </c>
      <c r="C58" s="40"/>
      <c r="D58" s="34"/>
      <c r="E58" s="19"/>
      <c r="F58" s="85"/>
      <c r="G58" s="69"/>
      <c r="H58" s="68"/>
      <c r="I58" s="20"/>
      <c r="J58" s="25"/>
      <c r="L58" s="21"/>
      <c r="M58" s="22"/>
      <c r="N58" s="23"/>
    </row>
    <row r="59" spans="1:14" ht="15.75" hidden="1" customHeight="1">
      <c r="A59" s="41"/>
      <c r="B59" s="91" t="s">
        <v>127</v>
      </c>
      <c r="C59" s="92" t="s">
        <v>85</v>
      </c>
      <c r="D59" s="91" t="s">
        <v>65</v>
      </c>
      <c r="E59" s="93">
        <v>2</v>
      </c>
      <c r="F59" s="94">
        <f>SUM(E59)</f>
        <v>2</v>
      </c>
      <c r="G59" s="100">
        <v>237.75</v>
      </c>
      <c r="H59" s="95">
        <f t="shared" ref="H59" si="11">SUM(F59*G59/1000)</f>
        <v>0.47549999999999998</v>
      </c>
      <c r="I59" s="13">
        <v>0</v>
      </c>
      <c r="J59" s="25"/>
      <c r="L59" s="21"/>
      <c r="M59" s="22"/>
      <c r="N59" s="23"/>
    </row>
    <row r="60" spans="1:14" ht="15.75" customHeight="1">
      <c r="A60" s="41"/>
      <c r="B60" s="81" t="s">
        <v>46</v>
      </c>
      <c r="C60" s="17"/>
      <c r="D60" s="16"/>
      <c r="E60" s="16"/>
      <c r="F60" s="86"/>
      <c r="G60" s="65"/>
      <c r="H60" s="68"/>
      <c r="I60" s="19"/>
      <c r="J60" s="25"/>
      <c r="L60" s="21"/>
      <c r="M60" s="22"/>
      <c r="N60" s="23"/>
    </row>
    <row r="61" spans="1:14" ht="15" customHeight="1">
      <c r="A61" s="41">
        <v>19</v>
      </c>
      <c r="B61" s="15" t="s">
        <v>47</v>
      </c>
      <c r="C61" s="17" t="s">
        <v>85</v>
      </c>
      <c r="D61" s="91" t="s">
        <v>205</v>
      </c>
      <c r="E61" s="19">
        <v>10</v>
      </c>
      <c r="F61" s="94">
        <v>10</v>
      </c>
      <c r="G61" s="135">
        <v>331.57</v>
      </c>
      <c r="H61" s="101">
        <f t="shared" ref="H61:H68" si="12">SUM(F61*G61/1000)</f>
        <v>3.3156999999999996</v>
      </c>
      <c r="I61" s="13">
        <f>G61*4</f>
        <v>1326.28</v>
      </c>
      <c r="J61" s="25"/>
      <c r="L61" s="21"/>
      <c r="M61" s="22"/>
      <c r="N61" s="23"/>
    </row>
    <row r="62" spans="1:14" ht="19.5" hidden="1" customHeight="1">
      <c r="A62" s="31">
        <v>29</v>
      </c>
      <c r="B62" s="15" t="s">
        <v>48</v>
      </c>
      <c r="C62" s="17" t="s">
        <v>85</v>
      </c>
      <c r="D62" s="91" t="s">
        <v>65</v>
      </c>
      <c r="E62" s="19">
        <v>5</v>
      </c>
      <c r="F62" s="94">
        <v>5</v>
      </c>
      <c r="G62" s="13">
        <v>75.25</v>
      </c>
      <c r="H62" s="101">
        <f t="shared" si="12"/>
        <v>0.37624999999999997</v>
      </c>
      <c r="I62" s="13">
        <v>0</v>
      </c>
      <c r="J62" s="25"/>
      <c r="L62" s="21"/>
      <c r="M62" s="22"/>
      <c r="N62" s="23"/>
    </row>
    <row r="63" spans="1:14" ht="22.5" hidden="1" customHeight="1">
      <c r="A63" s="31">
        <v>25</v>
      </c>
      <c r="B63" s="15" t="s">
        <v>49</v>
      </c>
      <c r="C63" s="17" t="s">
        <v>111</v>
      </c>
      <c r="D63" s="15" t="s">
        <v>54</v>
      </c>
      <c r="E63" s="93">
        <v>13018</v>
      </c>
      <c r="F63" s="13">
        <f>SUM(E63/100)</f>
        <v>130.18</v>
      </c>
      <c r="G63" s="13">
        <v>212.15</v>
      </c>
      <c r="H63" s="101">
        <f t="shared" si="12"/>
        <v>27.617687</v>
      </c>
      <c r="I63" s="13">
        <f>F63*G63</f>
        <v>27617.687000000002</v>
      </c>
      <c r="J63" s="25"/>
      <c r="L63" s="21"/>
      <c r="M63" s="22"/>
      <c r="N63" s="23"/>
    </row>
    <row r="64" spans="1:14" ht="15.75" hidden="1" customHeight="1">
      <c r="A64" s="31">
        <v>26</v>
      </c>
      <c r="B64" s="15" t="s">
        <v>50</v>
      </c>
      <c r="C64" s="17" t="s">
        <v>112</v>
      </c>
      <c r="D64" s="15"/>
      <c r="E64" s="93">
        <v>13018</v>
      </c>
      <c r="F64" s="13">
        <f>SUM(E64/1000)</f>
        <v>13.018000000000001</v>
      </c>
      <c r="G64" s="13">
        <v>165.21</v>
      </c>
      <c r="H64" s="101">
        <f t="shared" si="12"/>
        <v>2.1507037800000002</v>
      </c>
      <c r="I64" s="13">
        <f t="shared" ref="I64:I67" si="13">F64*G64</f>
        <v>2150.7037800000003</v>
      </c>
      <c r="J64" s="25"/>
      <c r="L64" s="21"/>
      <c r="M64" s="22"/>
      <c r="N64" s="23"/>
    </row>
    <row r="65" spans="1:14" ht="15.75" hidden="1" customHeight="1">
      <c r="A65" s="31">
        <v>27</v>
      </c>
      <c r="B65" s="15" t="s">
        <v>51</v>
      </c>
      <c r="C65" s="17" t="s">
        <v>76</v>
      </c>
      <c r="D65" s="15" t="s">
        <v>54</v>
      </c>
      <c r="E65" s="93">
        <v>1279</v>
      </c>
      <c r="F65" s="13">
        <f>SUM(E65/100)</f>
        <v>12.79</v>
      </c>
      <c r="G65" s="13">
        <v>2074.63</v>
      </c>
      <c r="H65" s="101">
        <f t="shared" si="12"/>
        <v>26.534517700000002</v>
      </c>
      <c r="I65" s="13">
        <f t="shared" si="13"/>
        <v>26534.5177</v>
      </c>
      <c r="J65" s="25"/>
      <c r="L65" s="21"/>
      <c r="M65" s="22"/>
      <c r="N65" s="23"/>
    </row>
    <row r="66" spans="1:14" ht="17.25" hidden="1" customHeight="1">
      <c r="A66" s="31">
        <v>28</v>
      </c>
      <c r="B66" s="102" t="s">
        <v>113</v>
      </c>
      <c r="C66" s="17" t="s">
        <v>32</v>
      </c>
      <c r="D66" s="15"/>
      <c r="E66" s="93">
        <v>12</v>
      </c>
      <c r="F66" s="13">
        <f>SUM(E66)</f>
        <v>12</v>
      </c>
      <c r="G66" s="13">
        <v>45.32</v>
      </c>
      <c r="H66" s="101">
        <f t="shared" si="12"/>
        <v>0.54383999999999999</v>
      </c>
      <c r="I66" s="13">
        <f t="shared" si="13"/>
        <v>543.84</v>
      </c>
      <c r="J66" s="25"/>
      <c r="L66" s="21"/>
      <c r="M66" s="22"/>
      <c r="N66" s="23"/>
    </row>
    <row r="67" spans="1:14" ht="18" hidden="1" customHeight="1">
      <c r="A67" s="31">
        <v>29</v>
      </c>
      <c r="B67" s="102" t="s">
        <v>114</v>
      </c>
      <c r="C67" s="17" t="s">
        <v>32</v>
      </c>
      <c r="D67" s="15"/>
      <c r="E67" s="93">
        <v>12</v>
      </c>
      <c r="F67" s="13">
        <f>SUM(E67)</f>
        <v>12</v>
      </c>
      <c r="G67" s="13">
        <v>42.28</v>
      </c>
      <c r="H67" s="101">
        <f t="shared" si="12"/>
        <v>0.50736000000000003</v>
      </c>
      <c r="I67" s="13">
        <f t="shared" si="13"/>
        <v>507.36</v>
      </c>
      <c r="J67" s="25"/>
      <c r="L67" s="21"/>
      <c r="M67" s="22"/>
      <c r="N67" s="23"/>
    </row>
    <row r="68" spans="1:14" ht="15.75" customHeight="1">
      <c r="A68" s="31">
        <v>20</v>
      </c>
      <c r="B68" s="15" t="s">
        <v>57</v>
      </c>
      <c r="C68" s="17" t="s">
        <v>58</v>
      </c>
      <c r="D68" s="15" t="s">
        <v>164</v>
      </c>
      <c r="E68" s="19">
        <v>1</v>
      </c>
      <c r="F68" s="94">
        <f>SUM(E68)</f>
        <v>1</v>
      </c>
      <c r="G68" s="135">
        <v>74.37</v>
      </c>
      <c r="H68" s="101">
        <f t="shared" si="12"/>
        <v>7.4370000000000006E-2</v>
      </c>
      <c r="I68" s="13">
        <f>G68*1</f>
        <v>74.37</v>
      </c>
      <c r="J68" s="25"/>
      <c r="L68" s="21"/>
      <c r="M68" s="22"/>
      <c r="N68" s="23"/>
    </row>
    <row r="69" spans="1:14" ht="15.75" customHeight="1">
      <c r="A69" s="31"/>
      <c r="B69" s="144" t="s">
        <v>174</v>
      </c>
      <c r="C69" s="38"/>
      <c r="D69" s="121"/>
      <c r="E69" s="18"/>
      <c r="F69" s="68"/>
      <c r="G69" s="37"/>
      <c r="H69" s="137"/>
      <c r="I69" s="138"/>
      <c r="J69" s="25"/>
      <c r="L69" s="21"/>
      <c r="M69" s="22"/>
      <c r="N69" s="23"/>
    </row>
    <row r="70" spans="1:14" ht="28.5" customHeight="1">
      <c r="A70" s="31">
        <v>21</v>
      </c>
      <c r="B70" s="121" t="s">
        <v>175</v>
      </c>
      <c r="C70" s="41" t="s">
        <v>176</v>
      </c>
      <c r="D70" s="121"/>
      <c r="E70" s="18">
        <v>2581.1999999999998</v>
      </c>
      <c r="F70" s="37">
        <f>E70*12</f>
        <v>30974.399999999998</v>
      </c>
      <c r="G70" s="37">
        <v>2.6</v>
      </c>
      <c r="H70" s="137"/>
      <c r="I70" s="138">
        <f>G70*F70/12</f>
        <v>6711.12</v>
      </c>
      <c r="J70" s="25"/>
      <c r="L70" s="21"/>
      <c r="M70" s="22"/>
      <c r="N70" s="23"/>
    </row>
    <row r="71" spans="1:14" ht="15.75" hidden="1" customHeight="1">
      <c r="A71" s="90"/>
      <c r="B71" s="81" t="s">
        <v>115</v>
      </c>
      <c r="C71" s="81"/>
      <c r="D71" s="81"/>
      <c r="E71" s="81"/>
      <c r="F71" s="81"/>
      <c r="G71" s="81"/>
      <c r="H71" s="81"/>
      <c r="I71" s="19"/>
      <c r="J71" s="25"/>
      <c r="L71" s="21"/>
      <c r="M71" s="22"/>
      <c r="N71" s="23"/>
    </row>
    <row r="72" spans="1:14" ht="15.75" hidden="1" customHeight="1">
      <c r="A72" s="31">
        <v>16</v>
      </c>
      <c r="B72" s="91" t="s">
        <v>116</v>
      </c>
      <c r="C72" s="17"/>
      <c r="D72" s="15"/>
      <c r="E72" s="85"/>
      <c r="F72" s="13">
        <v>1</v>
      </c>
      <c r="G72" s="13">
        <v>10041.700000000001</v>
      </c>
      <c r="H72" s="101">
        <f>G72*F72/1000</f>
        <v>10.041700000000001</v>
      </c>
      <c r="I72" s="13">
        <f>G72</f>
        <v>10041.700000000001</v>
      </c>
      <c r="J72" s="25"/>
      <c r="L72" s="21"/>
      <c r="M72" s="22"/>
      <c r="N72" s="23"/>
    </row>
    <row r="73" spans="1:14" ht="15.75" customHeight="1">
      <c r="A73" s="31"/>
      <c r="B73" s="49" t="s">
        <v>72</v>
      </c>
      <c r="C73" s="49"/>
      <c r="D73" s="49"/>
      <c r="E73" s="19"/>
      <c r="F73" s="19"/>
      <c r="G73" s="31"/>
      <c r="H73" s="31"/>
      <c r="I73" s="19"/>
      <c r="J73" s="25"/>
      <c r="L73" s="21"/>
      <c r="M73" s="22"/>
      <c r="N73" s="23"/>
    </row>
    <row r="74" spans="1:14" ht="15.75" hidden="1" customHeight="1">
      <c r="A74" s="31">
        <v>23</v>
      </c>
      <c r="B74" s="15" t="s">
        <v>73</v>
      </c>
      <c r="C74" s="17" t="s">
        <v>74</v>
      </c>
      <c r="D74" s="15" t="s">
        <v>65</v>
      </c>
      <c r="E74" s="19">
        <v>5</v>
      </c>
      <c r="F74" s="13">
        <v>0.5</v>
      </c>
      <c r="G74" s="13">
        <v>501.62</v>
      </c>
      <c r="H74" s="101">
        <f t="shared" ref="H74:H76" si="14">SUM(F74*G74/1000)</f>
        <v>0.25080999999999998</v>
      </c>
      <c r="I74" s="13">
        <f>G74*0.2</f>
        <v>100.32400000000001</v>
      </c>
      <c r="J74" s="25"/>
      <c r="L74" s="21"/>
      <c r="M74" s="22"/>
      <c r="N74" s="23"/>
    </row>
    <row r="75" spans="1:14" ht="15.75" hidden="1" customHeight="1">
      <c r="A75" s="31"/>
      <c r="B75" s="15" t="s">
        <v>128</v>
      </c>
      <c r="C75" s="17" t="s">
        <v>85</v>
      </c>
      <c r="D75" s="15"/>
      <c r="E75" s="19">
        <v>1</v>
      </c>
      <c r="F75" s="84">
        <f>E75</f>
        <v>1</v>
      </c>
      <c r="G75" s="13">
        <v>852.99</v>
      </c>
      <c r="H75" s="101">
        <f t="shared" si="14"/>
        <v>0.85299000000000003</v>
      </c>
      <c r="I75" s="13">
        <v>0</v>
      </c>
      <c r="J75" s="25"/>
      <c r="L75" s="21"/>
      <c r="M75" s="22"/>
      <c r="N75" s="23"/>
    </row>
    <row r="76" spans="1:14" ht="15.75" hidden="1" customHeight="1">
      <c r="A76" s="31"/>
      <c r="B76" s="15" t="s">
        <v>129</v>
      </c>
      <c r="C76" s="17" t="s">
        <v>85</v>
      </c>
      <c r="D76" s="15"/>
      <c r="E76" s="19">
        <v>1</v>
      </c>
      <c r="F76" s="94">
        <f>SUM(E76)</f>
        <v>1</v>
      </c>
      <c r="G76" s="13">
        <v>358.51</v>
      </c>
      <c r="H76" s="101">
        <f t="shared" si="14"/>
        <v>0.35851</v>
      </c>
      <c r="I76" s="13">
        <v>0</v>
      </c>
      <c r="J76" s="25"/>
      <c r="L76" s="21"/>
      <c r="M76" s="22"/>
      <c r="N76" s="23"/>
    </row>
    <row r="77" spans="1:14" ht="15.75" customHeight="1">
      <c r="A77" s="31">
        <v>22</v>
      </c>
      <c r="B77" s="121" t="s">
        <v>194</v>
      </c>
      <c r="C77" s="38" t="s">
        <v>85</v>
      </c>
      <c r="D77" s="121" t="s">
        <v>164</v>
      </c>
      <c r="E77" s="18">
        <v>2</v>
      </c>
      <c r="F77" s="68">
        <f>E77*12</f>
        <v>24</v>
      </c>
      <c r="G77" s="37">
        <v>420</v>
      </c>
      <c r="H77" s="101"/>
      <c r="I77" s="13">
        <f>G77*2</f>
        <v>840</v>
      </c>
      <c r="J77" s="25"/>
      <c r="L77" s="21"/>
      <c r="M77" s="22"/>
      <c r="N77" s="23"/>
    </row>
    <row r="78" spans="1:14" ht="15.75" hidden="1" customHeight="1">
      <c r="A78" s="31"/>
      <c r="B78" s="50" t="s">
        <v>75</v>
      </c>
      <c r="C78" s="38"/>
      <c r="D78" s="31"/>
      <c r="E78" s="19"/>
      <c r="F78" s="19"/>
      <c r="G78" s="37" t="s">
        <v>117</v>
      </c>
      <c r="H78" s="37"/>
      <c r="I78" s="19"/>
      <c r="J78" s="25"/>
      <c r="L78" s="21"/>
      <c r="M78" s="22"/>
      <c r="N78" s="23"/>
    </row>
    <row r="79" spans="1:14" ht="15.75" hidden="1" customHeight="1">
      <c r="A79" s="31">
        <v>12</v>
      </c>
      <c r="B79" s="52" t="s">
        <v>118</v>
      </c>
      <c r="C79" s="17" t="s">
        <v>76</v>
      </c>
      <c r="D79" s="15"/>
      <c r="E79" s="19"/>
      <c r="F79" s="13">
        <v>0.3</v>
      </c>
      <c r="G79" s="13">
        <v>2759.44</v>
      </c>
      <c r="H79" s="101">
        <f t="shared" ref="H79" si="15">SUM(F79*G79/1000)</f>
        <v>0.82783200000000001</v>
      </c>
      <c r="I79" s="13">
        <v>0</v>
      </c>
      <c r="J79" s="25"/>
      <c r="L79" s="21"/>
      <c r="M79" s="22"/>
      <c r="N79" s="23"/>
    </row>
    <row r="80" spans="1:14" ht="15.75" customHeight="1">
      <c r="A80" s="205" t="s">
        <v>133</v>
      </c>
      <c r="B80" s="206"/>
      <c r="C80" s="206"/>
      <c r="D80" s="206"/>
      <c r="E80" s="206"/>
      <c r="F80" s="206"/>
      <c r="G80" s="206"/>
      <c r="H80" s="206"/>
      <c r="I80" s="207"/>
      <c r="J80" s="25"/>
      <c r="L80" s="21"/>
      <c r="M80" s="22"/>
      <c r="N80" s="23"/>
    </row>
    <row r="81" spans="1:22" ht="15.75" customHeight="1">
      <c r="A81" s="31">
        <v>23</v>
      </c>
      <c r="B81" s="121" t="s">
        <v>119</v>
      </c>
      <c r="C81" s="38" t="s">
        <v>55</v>
      </c>
      <c r="D81" s="169"/>
      <c r="E81" s="37">
        <v>2581.1999999999998</v>
      </c>
      <c r="F81" s="37">
        <f>SUM(E81*12)</f>
        <v>30974.399999999998</v>
      </c>
      <c r="G81" s="37">
        <v>3.5</v>
      </c>
      <c r="H81" s="164">
        <f>SUM(F81*G81/1000)</f>
        <v>108.4104</v>
      </c>
      <c r="I81" s="13">
        <f>F81/12*G81</f>
        <v>9034.1999999999989</v>
      </c>
      <c r="J81" s="25"/>
      <c r="L81" s="21"/>
    </row>
    <row r="82" spans="1:22" ht="31.5" customHeight="1">
      <c r="A82" s="31">
        <v>24</v>
      </c>
      <c r="B82" s="166" t="s">
        <v>195</v>
      </c>
      <c r="C82" s="159" t="s">
        <v>55</v>
      </c>
      <c r="D82" s="167"/>
      <c r="E82" s="168">
        <f>E81</f>
        <v>2581.1999999999998</v>
      </c>
      <c r="F82" s="161">
        <f>E82*12</f>
        <v>30974.399999999998</v>
      </c>
      <c r="G82" s="161">
        <v>3.2</v>
      </c>
      <c r="H82" s="101">
        <f>F82*G82/1000</f>
        <v>99.118080000000006</v>
      </c>
      <c r="I82" s="13">
        <f>F82/12*G82</f>
        <v>8259.84</v>
      </c>
    </row>
    <row r="83" spans="1:22" ht="15.75" customHeight="1">
      <c r="A83" s="90"/>
      <c r="B83" s="39" t="s">
        <v>79</v>
      </c>
      <c r="C83" s="41"/>
      <c r="D83" s="16"/>
      <c r="E83" s="16"/>
      <c r="F83" s="16"/>
      <c r="G83" s="19"/>
      <c r="H83" s="19"/>
      <c r="I83" s="33">
        <f>I82+I81+I77+I70+I68+I61+I57+I50+I49+I48+I47+I46+I45+I44+I43+I42+I31+I30+I27+I21+I20+I18+I17+I16</f>
        <v>48781.049905000007</v>
      </c>
    </row>
    <row r="84" spans="1:22" ht="15.75" customHeight="1">
      <c r="A84" s="208" t="s">
        <v>60</v>
      </c>
      <c r="B84" s="209"/>
      <c r="C84" s="209"/>
      <c r="D84" s="209"/>
      <c r="E84" s="209"/>
      <c r="F84" s="209"/>
      <c r="G84" s="209"/>
      <c r="H84" s="209"/>
      <c r="I84" s="210"/>
    </row>
    <row r="85" spans="1:22" ht="28.5" customHeight="1">
      <c r="A85" s="31">
        <v>26</v>
      </c>
      <c r="B85" s="119" t="s">
        <v>178</v>
      </c>
      <c r="C85" s="120" t="s">
        <v>94</v>
      </c>
      <c r="D85" s="66" t="s">
        <v>239</v>
      </c>
      <c r="E85" s="37"/>
      <c r="F85" s="37">
        <v>3</v>
      </c>
      <c r="G85" s="37">
        <v>670.51</v>
      </c>
      <c r="H85" s="101"/>
      <c r="I85" s="13">
        <f>G85*2</f>
        <v>1341.02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9"/>
    </row>
    <row r="86" spans="1:22" ht="15.75" customHeight="1">
      <c r="A86" s="31">
        <v>28</v>
      </c>
      <c r="B86" s="119" t="s">
        <v>236</v>
      </c>
      <c r="C86" s="120" t="s">
        <v>94</v>
      </c>
      <c r="D86" s="66" t="s">
        <v>240</v>
      </c>
      <c r="E86" s="37"/>
      <c r="F86" s="37">
        <v>2</v>
      </c>
      <c r="G86" s="37">
        <v>587.65</v>
      </c>
      <c r="H86" s="101"/>
      <c r="I86" s="13">
        <f>G86*2</f>
        <v>1175.3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9"/>
    </row>
    <row r="87" spans="1:22" ht="15.75" customHeight="1">
      <c r="A87" s="31">
        <v>29</v>
      </c>
      <c r="B87" s="177" t="s">
        <v>237</v>
      </c>
      <c r="C87" s="178" t="s">
        <v>238</v>
      </c>
      <c r="D87" s="66"/>
      <c r="E87" s="37"/>
      <c r="F87" s="37">
        <f>0.5/3</f>
        <v>0.16666666666666666</v>
      </c>
      <c r="G87" s="37">
        <v>1274.19</v>
      </c>
      <c r="H87" s="101"/>
      <c r="I87" s="13">
        <f>G87*0.5/3</f>
        <v>212.36500000000001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9"/>
    </row>
    <row r="88" spans="1:22" ht="15.75" customHeight="1">
      <c r="A88" s="31">
        <v>30</v>
      </c>
      <c r="B88" s="119" t="s">
        <v>284</v>
      </c>
      <c r="C88" s="120" t="s">
        <v>282</v>
      </c>
      <c r="D88" s="66" t="s">
        <v>288</v>
      </c>
      <c r="E88" s="37"/>
      <c r="F88" s="37">
        <v>4</v>
      </c>
      <c r="G88" s="37">
        <v>222.63</v>
      </c>
      <c r="H88" s="101"/>
      <c r="I88" s="13">
        <v>0</v>
      </c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9"/>
    </row>
    <row r="89" spans="1:22" ht="15.75" customHeight="1">
      <c r="A89" s="31">
        <v>31</v>
      </c>
      <c r="B89" s="175" t="s">
        <v>287</v>
      </c>
      <c r="C89" s="176" t="s">
        <v>159</v>
      </c>
      <c r="D89" s="66" t="s">
        <v>289</v>
      </c>
      <c r="E89" s="37"/>
      <c r="F89" s="37">
        <v>7</v>
      </c>
      <c r="G89" s="37">
        <v>284</v>
      </c>
      <c r="H89" s="101"/>
      <c r="I89" s="13">
        <v>0</v>
      </c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9"/>
    </row>
    <row r="90" spans="1:22" ht="15.75" customHeight="1">
      <c r="A90" s="31"/>
      <c r="B90" s="46" t="s">
        <v>52</v>
      </c>
      <c r="C90" s="42"/>
      <c r="D90" s="54"/>
      <c r="E90" s="42">
        <v>1</v>
      </c>
      <c r="F90" s="42"/>
      <c r="G90" s="42"/>
      <c r="H90" s="42"/>
      <c r="I90" s="33">
        <f>SUM(I85:I87)</f>
        <v>2728.6849999999995</v>
      </c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</row>
    <row r="91" spans="1:22" ht="15.75" customHeight="1">
      <c r="A91" s="31"/>
      <c r="B91" s="52" t="s">
        <v>78</v>
      </c>
      <c r="C91" s="16"/>
      <c r="D91" s="16"/>
      <c r="E91" s="43"/>
      <c r="F91" s="43"/>
      <c r="G91" s="44"/>
      <c r="H91" s="44"/>
      <c r="I91" s="18">
        <v>0</v>
      </c>
    </row>
    <row r="92" spans="1:22" ht="15.75" customHeight="1">
      <c r="A92" s="55"/>
      <c r="B92" s="47" t="s">
        <v>136</v>
      </c>
      <c r="C92" s="36"/>
      <c r="D92" s="36"/>
      <c r="E92" s="36"/>
      <c r="F92" s="36"/>
      <c r="G92" s="36"/>
      <c r="H92" s="36"/>
      <c r="I92" s="45">
        <f>I83+I90</f>
        <v>51509.734905000005</v>
      </c>
    </row>
    <row r="93" spans="1:22" ht="15.75" customHeight="1">
      <c r="A93" s="204" t="s">
        <v>277</v>
      </c>
      <c r="B93" s="204"/>
      <c r="C93" s="204"/>
      <c r="D93" s="204"/>
      <c r="E93" s="204"/>
      <c r="F93" s="204"/>
      <c r="G93" s="204"/>
      <c r="H93" s="204"/>
      <c r="I93" s="204"/>
    </row>
    <row r="94" spans="1:22" ht="15.75" customHeight="1">
      <c r="A94" s="77"/>
      <c r="B94" s="185" t="s">
        <v>278</v>
      </c>
      <c r="C94" s="185"/>
      <c r="D94" s="185"/>
      <c r="E94" s="185"/>
      <c r="F94" s="185"/>
      <c r="G94" s="185"/>
      <c r="H94" s="89"/>
      <c r="I94" s="3"/>
    </row>
    <row r="95" spans="1:22" ht="15.75" customHeight="1">
      <c r="A95" s="80"/>
      <c r="B95" s="186" t="s">
        <v>6</v>
      </c>
      <c r="C95" s="186"/>
      <c r="D95" s="186"/>
      <c r="E95" s="186"/>
      <c r="F95" s="186"/>
      <c r="G95" s="186"/>
      <c r="H95" s="26"/>
      <c r="I95" s="5"/>
    </row>
    <row r="96" spans="1:22" ht="15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 customHeight="1">
      <c r="A97" s="187" t="s">
        <v>7</v>
      </c>
      <c r="B97" s="187"/>
      <c r="C97" s="187"/>
      <c r="D97" s="187"/>
      <c r="E97" s="187"/>
      <c r="F97" s="187"/>
      <c r="G97" s="187"/>
      <c r="H97" s="187"/>
      <c r="I97" s="187"/>
    </row>
    <row r="98" spans="1:9" ht="15.75" customHeight="1">
      <c r="A98" s="187" t="s">
        <v>8</v>
      </c>
      <c r="B98" s="187"/>
      <c r="C98" s="187"/>
      <c r="D98" s="187"/>
      <c r="E98" s="187"/>
      <c r="F98" s="187"/>
      <c r="G98" s="187"/>
      <c r="H98" s="187"/>
      <c r="I98" s="187"/>
    </row>
    <row r="99" spans="1:9" ht="15.75" customHeight="1">
      <c r="A99" s="190" t="s">
        <v>61</v>
      </c>
      <c r="B99" s="190"/>
      <c r="C99" s="190"/>
      <c r="D99" s="190"/>
      <c r="E99" s="190"/>
      <c r="F99" s="190"/>
      <c r="G99" s="190"/>
      <c r="H99" s="190"/>
      <c r="I99" s="190"/>
    </row>
    <row r="100" spans="1:9" ht="15.75" customHeight="1">
      <c r="A100" s="11"/>
    </row>
    <row r="101" spans="1:9" ht="15.75" customHeight="1">
      <c r="A101" s="191" t="s">
        <v>9</v>
      </c>
      <c r="B101" s="191"/>
      <c r="C101" s="191"/>
      <c r="D101" s="191"/>
      <c r="E101" s="191"/>
      <c r="F101" s="191"/>
      <c r="G101" s="191"/>
      <c r="H101" s="191"/>
      <c r="I101" s="191"/>
    </row>
    <row r="102" spans="1:9" ht="15.75" customHeight="1">
      <c r="A102" s="4"/>
    </row>
    <row r="103" spans="1:9" ht="15.75" customHeight="1">
      <c r="B103" s="83" t="s">
        <v>10</v>
      </c>
      <c r="C103" s="192" t="s">
        <v>84</v>
      </c>
      <c r="D103" s="192"/>
      <c r="E103" s="192"/>
      <c r="F103" s="87"/>
      <c r="I103" s="79"/>
    </row>
    <row r="104" spans="1:9" ht="15.75" customHeight="1">
      <c r="A104" s="80"/>
      <c r="C104" s="186" t="s">
        <v>11</v>
      </c>
      <c r="D104" s="186"/>
      <c r="E104" s="186"/>
      <c r="F104" s="26"/>
      <c r="I104" s="78" t="s">
        <v>12</v>
      </c>
    </row>
    <row r="105" spans="1:9" ht="15.75" customHeight="1">
      <c r="A105" s="27"/>
      <c r="C105" s="12"/>
      <c r="D105" s="12"/>
      <c r="G105" s="12"/>
      <c r="H105" s="12"/>
    </row>
    <row r="106" spans="1:9" ht="15.75" customHeight="1">
      <c r="B106" s="83" t="s">
        <v>13</v>
      </c>
      <c r="C106" s="193"/>
      <c r="D106" s="193"/>
      <c r="E106" s="193"/>
      <c r="F106" s="88"/>
      <c r="I106" s="79"/>
    </row>
    <row r="107" spans="1:9" ht="15.75" customHeight="1">
      <c r="A107" s="80"/>
      <c r="C107" s="189" t="s">
        <v>11</v>
      </c>
      <c r="D107" s="189"/>
      <c r="E107" s="189"/>
      <c r="F107" s="80"/>
      <c r="I107" s="78" t="s">
        <v>12</v>
      </c>
    </row>
    <row r="108" spans="1:9" ht="15.75" customHeight="1">
      <c r="A108" s="4" t="s">
        <v>14</v>
      </c>
    </row>
    <row r="109" spans="1:9">
      <c r="A109" s="188" t="s">
        <v>15</v>
      </c>
      <c r="B109" s="188"/>
      <c r="C109" s="188"/>
      <c r="D109" s="188"/>
      <c r="E109" s="188"/>
      <c r="F109" s="188"/>
      <c r="G109" s="188"/>
      <c r="H109" s="188"/>
      <c r="I109" s="188"/>
    </row>
    <row r="110" spans="1:9" ht="45" customHeight="1">
      <c r="A110" s="184" t="s">
        <v>16</v>
      </c>
      <c r="B110" s="184"/>
      <c r="C110" s="184"/>
      <c r="D110" s="184"/>
      <c r="E110" s="184"/>
      <c r="F110" s="184"/>
      <c r="G110" s="184"/>
      <c r="H110" s="184"/>
      <c r="I110" s="184"/>
    </row>
    <row r="111" spans="1:9" ht="30" customHeight="1">
      <c r="A111" s="184" t="s">
        <v>17</v>
      </c>
      <c r="B111" s="184"/>
      <c r="C111" s="184"/>
      <c r="D111" s="184"/>
      <c r="E111" s="184"/>
      <c r="F111" s="184"/>
      <c r="G111" s="184"/>
      <c r="H111" s="184"/>
      <c r="I111" s="184"/>
    </row>
    <row r="112" spans="1:9" ht="30" customHeight="1">
      <c r="A112" s="184" t="s">
        <v>21</v>
      </c>
      <c r="B112" s="184"/>
      <c r="C112" s="184"/>
      <c r="D112" s="184"/>
      <c r="E112" s="184"/>
      <c r="F112" s="184"/>
      <c r="G112" s="184"/>
      <c r="H112" s="184"/>
      <c r="I112" s="184"/>
    </row>
    <row r="113" spans="1:9" ht="15" customHeight="1">
      <c r="A113" s="184" t="s">
        <v>20</v>
      </c>
      <c r="B113" s="184"/>
      <c r="C113" s="184"/>
      <c r="D113" s="184"/>
      <c r="E113" s="184"/>
      <c r="F113" s="184"/>
      <c r="G113" s="184"/>
      <c r="H113" s="184"/>
      <c r="I113" s="184"/>
    </row>
  </sheetData>
  <autoFilter ref="I12:I83"/>
  <mergeCells count="28"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  <mergeCell ref="A99:I99"/>
    <mergeCell ref="A15:I15"/>
    <mergeCell ref="A28:I28"/>
    <mergeCell ref="A41:I41"/>
    <mergeCell ref="A52:I52"/>
    <mergeCell ref="A80:I80"/>
    <mergeCell ref="A84:I84"/>
    <mergeCell ref="A93:I93"/>
    <mergeCell ref="B94:G94"/>
    <mergeCell ref="B95:G95"/>
    <mergeCell ref="A97:I97"/>
    <mergeCell ref="A98:I98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rowBreaks count="1" manualBreakCount="1">
    <brk id="100" max="8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01.20</vt:lpstr>
      <vt:lpstr>02.20</vt:lpstr>
      <vt:lpstr>03.20</vt:lpstr>
      <vt:lpstr>04.20</vt:lpstr>
      <vt:lpstr>05.20</vt:lpstr>
      <vt:lpstr>06.20</vt:lpstr>
      <vt:lpstr>07.20</vt:lpstr>
      <vt:lpstr>08.20</vt:lpstr>
      <vt:lpstr>09.20</vt:lpstr>
      <vt:lpstr>10.20</vt:lpstr>
      <vt:lpstr>11.20</vt:lpstr>
      <vt:lpstr>12.20</vt:lpstr>
      <vt:lpstr>'01.20'!Область_печати</vt:lpstr>
      <vt:lpstr>'02.20'!Область_печати</vt:lpstr>
      <vt:lpstr>'03.20'!Область_печати</vt:lpstr>
      <vt:lpstr>'04.20'!Область_печати</vt:lpstr>
      <vt:lpstr>'05.20'!Область_печати</vt:lpstr>
      <vt:lpstr>'06.20'!Область_печати</vt:lpstr>
      <vt:lpstr>'07.20'!Область_печати</vt:lpstr>
      <vt:lpstr>'08.20'!Область_печати</vt:lpstr>
      <vt:lpstr>'09.20'!Область_печати</vt:lpstr>
      <vt:lpstr>'10.20'!Область_печати</vt:lpstr>
      <vt:lpstr>'11.20'!Область_печати</vt:lpstr>
      <vt:lpstr>'12.20'!Область_печати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2021-02-03T12:16:41Z</cp:lastPrinted>
  <dcterms:created xsi:type="dcterms:W3CDTF">2016-03-25T08:33:47Z</dcterms:created>
  <dcterms:modified xsi:type="dcterms:W3CDTF">2021-02-03T12:28:53Z</dcterms:modified>
</cp:coreProperties>
</file>