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15480" windowHeight="8145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'01.21'!$I$12:$I$57</definedName>
    <definedName name="_xlnm._FilterDatabase" localSheetId="1" hidden="1">'02.21'!$I$12:$I$59</definedName>
    <definedName name="_xlnm._FilterDatabase" localSheetId="2" hidden="1">'03.21'!$I$12:$I$59</definedName>
    <definedName name="_xlnm._FilterDatabase" localSheetId="3" hidden="1">'04.21'!$I$12:$I$58</definedName>
    <definedName name="_xlnm._FilterDatabase" localSheetId="4" hidden="1">'05.21'!$I$12:$I$56</definedName>
    <definedName name="_xlnm._FilterDatabase" localSheetId="5" hidden="1">'06.21'!$I$12:$I$56</definedName>
    <definedName name="_xlnm._FilterDatabase" localSheetId="6" hidden="1">'07.21'!$I$12:$I$56</definedName>
    <definedName name="_xlnm._FilterDatabase" localSheetId="7" hidden="1">'08.21'!$I$12:$I$56</definedName>
    <definedName name="_xlnm._FilterDatabase" localSheetId="8" hidden="1">'09.21'!$I$12:$I$56</definedName>
    <definedName name="_xlnm._FilterDatabase" localSheetId="9" hidden="1">'10.21'!$I$12:$I$56</definedName>
    <definedName name="_xlnm._FilterDatabase" localSheetId="10" hidden="1">'11.21'!$I$12:$I$59</definedName>
    <definedName name="_xlnm._FilterDatabase" localSheetId="11" hidden="1">'12.21'!$I$12:$I$59</definedName>
    <definedName name="_xlnm.Print_Area" localSheetId="0">'01.21'!$A$1:$I$115</definedName>
    <definedName name="_xlnm.Print_Area" localSheetId="1">'02.21'!$A$1:$I$113</definedName>
    <definedName name="_xlnm.Print_Area" localSheetId="2">'03.21'!$A$1:$I$117</definedName>
    <definedName name="_xlnm.Print_Area" localSheetId="3">'04.21'!$A$1:$I$112</definedName>
    <definedName name="_xlnm.Print_Area" localSheetId="4">'05.21'!$A$1:$I$118</definedName>
    <definedName name="_xlnm.Print_Area" localSheetId="5">'06.21'!$A$1:$I$116</definedName>
    <definedName name="_xlnm.Print_Area" localSheetId="6">'07.21'!$A$1:$I$119</definedName>
    <definedName name="_xlnm.Print_Area" localSheetId="7">'08.21'!$A$1:$I$111</definedName>
    <definedName name="_xlnm.Print_Area" localSheetId="9">'10.21'!$A$1:$I$113</definedName>
    <definedName name="_xlnm.Print_Area" localSheetId="10">'11.21'!$A$1:$I$119</definedName>
    <definedName name="_xlnm.Print_Area" localSheetId="11">'12.21'!$A$1:$I$124</definedName>
  </definedNames>
  <calcPr calcId="125725"/>
</workbook>
</file>

<file path=xl/calcChain.xml><?xml version="1.0" encoding="utf-8"?>
<calcChain xmlns="http://schemas.openxmlformats.org/spreadsheetml/2006/main">
  <c r="I85" i="28"/>
  <c r="I101"/>
  <c r="I99"/>
  <c r="I98"/>
  <c r="I97"/>
  <c r="I96"/>
  <c r="I95"/>
  <c r="I94"/>
  <c r="I93"/>
  <c r="I92"/>
  <c r="I91"/>
  <c r="I90"/>
  <c r="I89"/>
  <c r="I88"/>
  <c r="I87"/>
  <c r="I63"/>
  <c r="I37"/>
  <c r="I86" i="27" l="1"/>
  <c r="I96"/>
  <c r="I95"/>
  <c r="I74"/>
  <c r="I93"/>
  <c r="I92"/>
  <c r="I91"/>
  <c r="I90"/>
  <c r="I88"/>
  <c r="F88"/>
  <c r="I57"/>
  <c r="I82" i="26" l="1"/>
  <c r="I60"/>
  <c r="I90"/>
  <c r="I87"/>
  <c r="I86"/>
  <c r="I85"/>
  <c r="E81"/>
  <c r="F81" s="1"/>
  <c r="I80"/>
  <c r="F80"/>
  <c r="H80" s="1"/>
  <c r="F68"/>
  <c r="I68" s="1"/>
  <c r="I74"/>
  <c r="F57"/>
  <c r="H57" s="1"/>
  <c r="I31"/>
  <c r="H31"/>
  <c r="I30"/>
  <c r="F30"/>
  <c r="H30" s="1"/>
  <c r="F29"/>
  <c r="H29" s="1"/>
  <c r="I28"/>
  <c r="H28"/>
  <c r="F28"/>
  <c r="F21"/>
  <c r="H21" s="1"/>
  <c r="F20"/>
  <c r="I20" s="1"/>
  <c r="F19"/>
  <c r="H19" s="1"/>
  <c r="I18"/>
  <c r="H18"/>
  <c r="F18"/>
  <c r="E18"/>
  <c r="I17"/>
  <c r="F17"/>
  <c r="H17" s="1"/>
  <c r="I16"/>
  <c r="H16"/>
  <c r="F16"/>
  <c r="I82" i="25"/>
  <c r="F68"/>
  <c r="I68" s="1"/>
  <c r="I74"/>
  <c r="I66"/>
  <c r="I88"/>
  <c r="I86"/>
  <c r="I85"/>
  <c r="I84"/>
  <c r="F84"/>
  <c r="F81"/>
  <c r="H81" s="1"/>
  <c r="E81"/>
  <c r="I80"/>
  <c r="F80"/>
  <c r="H80" s="1"/>
  <c r="I71"/>
  <c r="I60"/>
  <c r="I51"/>
  <c r="F51"/>
  <c r="H51" s="1"/>
  <c r="I50"/>
  <c r="H50"/>
  <c r="F49"/>
  <c r="H49" s="1"/>
  <c r="I48"/>
  <c r="H48"/>
  <c r="F48"/>
  <c r="H47"/>
  <c r="F47"/>
  <c r="I47" s="1"/>
  <c r="F46"/>
  <c r="H46" s="1"/>
  <c r="H45"/>
  <c r="F45"/>
  <c r="I45" s="1"/>
  <c r="F44"/>
  <c r="H44" s="1"/>
  <c r="H43"/>
  <c r="F43"/>
  <c r="I43" s="1"/>
  <c r="I31"/>
  <c r="H31"/>
  <c r="I30"/>
  <c r="H30"/>
  <c r="F30"/>
  <c r="F29"/>
  <c r="H29" s="1"/>
  <c r="I28"/>
  <c r="H28"/>
  <c r="F28"/>
  <c r="I21"/>
  <c r="H21"/>
  <c r="F21"/>
  <c r="F20"/>
  <c r="H20" s="1"/>
  <c r="F19"/>
  <c r="H19" s="1"/>
  <c r="I18"/>
  <c r="F18"/>
  <c r="H18" s="1"/>
  <c r="E18"/>
  <c r="I17"/>
  <c r="H17"/>
  <c r="F17"/>
  <c r="F16"/>
  <c r="I16" s="1"/>
  <c r="I82" i="24"/>
  <c r="I88"/>
  <c r="I86"/>
  <c r="I84"/>
  <c r="E81"/>
  <c r="F81" s="1"/>
  <c r="F80"/>
  <c r="H80" s="1"/>
  <c r="I71"/>
  <c r="F68"/>
  <c r="I68" s="1"/>
  <c r="I74"/>
  <c r="F57"/>
  <c r="I57" s="1"/>
  <c r="I31"/>
  <c r="H31"/>
  <c r="H30"/>
  <c r="F30"/>
  <c r="I30" s="1"/>
  <c r="F29"/>
  <c r="H29" s="1"/>
  <c r="H28"/>
  <c r="F28"/>
  <c r="I28" s="1"/>
  <c r="F18"/>
  <c r="H18" s="1"/>
  <c r="E18"/>
  <c r="I17"/>
  <c r="F17"/>
  <c r="H17" s="1"/>
  <c r="F16"/>
  <c r="I16" s="1"/>
  <c r="I96" i="23"/>
  <c r="I82"/>
  <c r="I71"/>
  <c r="I93"/>
  <c r="I92"/>
  <c r="I91"/>
  <c r="I90"/>
  <c r="I89"/>
  <c r="I87"/>
  <c r="I86"/>
  <c r="F86"/>
  <c r="I84"/>
  <c r="I81"/>
  <c r="H81"/>
  <c r="F81"/>
  <c r="E81"/>
  <c r="F80"/>
  <c r="H80" s="1"/>
  <c r="I78"/>
  <c r="I74"/>
  <c r="F68"/>
  <c r="I68" s="1"/>
  <c r="F57"/>
  <c r="I57" s="1"/>
  <c r="I31"/>
  <c r="H31"/>
  <c r="H30"/>
  <c r="F30"/>
  <c r="I30" s="1"/>
  <c r="I29"/>
  <c r="F29"/>
  <c r="H29" s="1"/>
  <c r="I28"/>
  <c r="H28"/>
  <c r="F28"/>
  <c r="I23"/>
  <c r="I22"/>
  <c r="I21"/>
  <c r="F24"/>
  <c r="I24" s="1"/>
  <c r="F23"/>
  <c r="F22"/>
  <c r="F21"/>
  <c r="F20"/>
  <c r="I20" s="1"/>
  <c r="I19"/>
  <c r="F19"/>
  <c r="H19" s="1"/>
  <c r="E18"/>
  <c r="F18" s="1"/>
  <c r="F17"/>
  <c r="I17" s="1"/>
  <c r="F16"/>
  <c r="H16" s="1"/>
  <c r="I65" i="22"/>
  <c r="I91"/>
  <c r="I90"/>
  <c r="I89"/>
  <c r="I87"/>
  <c r="I86"/>
  <c r="I93" s="1"/>
  <c r="F86"/>
  <c r="E82"/>
  <c r="F82" s="1"/>
  <c r="F81"/>
  <c r="H81" s="1"/>
  <c r="I79"/>
  <c r="I71"/>
  <c r="I74"/>
  <c r="H73"/>
  <c r="H72"/>
  <c r="H71"/>
  <c r="F68"/>
  <c r="I68" s="1"/>
  <c r="F66"/>
  <c r="F65"/>
  <c r="F64"/>
  <c r="I64" s="1"/>
  <c r="F63"/>
  <c r="I63" s="1"/>
  <c r="F62"/>
  <c r="I62" s="1"/>
  <c r="F61"/>
  <c r="I61" s="1"/>
  <c r="F60"/>
  <c r="F59"/>
  <c r="I31"/>
  <c r="H31"/>
  <c r="F30"/>
  <c r="H30" s="1"/>
  <c r="F29"/>
  <c r="I29" s="1"/>
  <c r="F28"/>
  <c r="H28" s="1"/>
  <c r="F19"/>
  <c r="E18"/>
  <c r="F18" s="1"/>
  <c r="H18" s="1"/>
  <c r="F17"/>
  <c r="H17" s="1"/>
  <c r="F16"/>
  <c r="I16" s="1"/>
  <c r="I51" i="21"/>
  <c r="I95"/>
  <c r="I92"/>
  <c r="I91"/>
  <c r="I90"/>
  <c r="I89"/>
  <c r="I88"/>
  <c r="I87"/>
  <c r="I86"/>
  <c r="I84"/>
  <c r="E81"/>
  <c r="F81" s="1"/>
  <c r="F80"/>
  <c r="H80" s="1"/>
  <c r="I71"/>
  <c r="I74"/>
  <c r="H73"/>
  <c r="H72"/>
  <c r="H71"/>
  <c r="F68"/>
  <c r="I68" s="1"/>
  <c r="F57"/>
  <c r="H57" s="1"/>
  <c r="F51"/>
  <c r="F49"/>
  <c r="F48"/>
  <c r="F47"/>
  <c r="F46"/>
  <c r="F45"/>
  <c r="F44"/>
  <c r="F43"/>
  <c r="F30"/>
  <c r="F29"/>
  <c r="F28"/>
  <c r="E18"/>
  <c r="F18" s="1"/>
  <c r="I18" s="1"/>
  <c r="H17"/>
  <c r="F17"/>
  <c r="I17" s="1"/>
  <c r="F16"/>
  <c r="I16" s="1"/>
  <c r="H20" i="26" l="1"/>
  <c r="I21"/>
  <c r="H81"/>
  <c r="I81"/>
  <c r="I57"/>
  <c r="I29"/>
  <c r="I19"/>
  <c r="I44" i="25"/>
  <c r="H16"/>
  <c r="I81"/>
  <c r="I49"/>
  <c r="I46"/>
  <c r="I29"/>
  <c r="I20"/>
  <c r="I19"/>
  <c r="I18" i="24"/>
  <c r="I80"/>
  <c r="H81"/>
  <c r="I81"/>
  <c r="H57"/>
  <c r="I29"/>
  <c r="H16"/>
  <c r="I80" i="23"/>
  <c r="H57"/>
  <c r="H18"/>
  <c r="I18"/>
  <c r="H17"/>
  <c r="I16"/>
  <c r="H29" i="22"/>
  <c r="H16"/>
  <c r="H82"/>
  <c r="I82"/>
  <c r="I81"/>
  <c r="I28"/>
  <c r="I30"/>
  <c r="I17"/>
  <c r="I18"/>
  <c r="H81" i="21"/>
  <c r="I81"/>
  <c r="I80"/>
  <c r="I57"/>
  <c r="H18"/>
  <c r="H16"/>
  <c r="E18" i="20" l="1"/>
  <c r="F18" s="1"/>
  <c r="H17"/>
  <c r="F17"/>
  <c r="I17" s="1"/>
  <c r="F16"/>
  <c r="I16" s="1"/>
  <c r="I89"/>
  <c r="I88"/>
  <c r="I87"/>
  <c r="E83"/>
  <c r="F83" s="1"/>
  <c r="F82"/>
  <c r="H82" s="1"/>
  <c r="I80"/>
  <c r="I76"/>
  <c r="I73"/>
  <c r="F70"/>
  <c r="I70" s="1"/>
  <c r="I38"/>
  <c r="I36"/>
  <c r="F43"/>
  <c r="I43" s="1"/>
  <c r="I42"/>
  <c r="H42"/>
  <c r="F41"/>
  <c r="I41" s="1"/>
  <c r="F40"/>
  <c r="I40" s="1"/>
  <c r="F39"/>
  <c r="I39" s="1"/>
  <c r="H38"/>
  <c r="F37"/>
  <c r="I37" s="1"/>
  <c r="I54" i="19"/>
  <c r="I59"/>
  <c r="F59"/>
  <c r="I93"/>
  <c r="I94" s="1"/>
  <c r="I92"/>
  <c r="I90"/>
  <c r="I88"/>
  <c r="I87"/>
  <c r="E84"/>
  <c r="F84" s="1"/>
  <c r="F83"/>
  <c r="H83" s="1"/>
  <c r="I77"/>
  <c r="I73"/>
  <c r="I74"/>
  <c r="F71"/>
  <c r="I71" s="1"/>
  <c r="I57"/>
  <c r="F54"/>
  <c r="H54" s="1"/>
  <c r="I43"/>
  <c r="I37"/>
  <c r="F44"/>
  <c r="I44" s="1"/>
  <c r="H43"/>
  <c r="F42"/>
  <c r="I42" s="1"/>
  <c r="F41"/>
  <c r="I41" s="1"/>
  <c r="F40"/>
  <c r="I40" s="1"/>
  <c r="H39"/>
  <c r="F38"/>
  <c r="I38" s="1"/>
  <c r="H37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71" i="18"/>
  <c r="I71" s="1"/>
  <c r="I37"/>
  <c r="I90"/>
  <c r="I89"/>
  <c r="E84"/>
  <c r="F84" s="1"/>
  <c r="F83"/>
  <c r="H83" s="1"/>
  <c r="I77"/>
  <c r="I74"/>
  <c r="H74"/>
  <c r="I57"/>
  <c r="F50"/>
  <c r="I50" s="1"/>
  <c r="F44"/>
  <c r="I44" s="1"/>
  <c r="I43"/>
  <c r="H43"/>
  <c r="F42"/>
  <c r="I42" s="1"/>
  <c r="F41"/>
  <c r="I41" s="1"/>
  <c r="F40"/>
  <c r="I40" s="1"/>
  <c r="H39"/>
  <c r="F38"/>
  <c r="I38" s="1"/>
  <c r="H37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9" i="17"/>
  <c r="I91"/>
  <c r="I90"/>
  <c r="I89"/>
  <c r="I88"/>
  <c r="I86"/>
  <c r="I85"/>
  <c r="I92" s="1"/>
  <c r="I55"/>
  <c r="E82"/>
  <c r="F82" s="1"/>
  <c r="F81"/>
  <c r="H81" s="1"/>
  <c r="I72"/>
  <c r="I75"/>
  <c r="F69"/>
  <c r="I69" s="1"/>
  <c r="F49"/>
  <c r="H49" s="1"/>
  <c r="I36"/>
  <c r="F43"/>
  <c r="I43" s="1"/>
  <c r="I42"/>
  <c r="H42"/>
  <c r="F41"/>
  <c r="I41" s="1"/>
  <c r="F40"/>
  <c r="I40" s="1"/>
  <c r="F39"/>
  <c r="I39" s="1"/>
  <c r="H38"/>
  <c r="F37"/>
  <c r="I37" s="1"/>
  <c r="H3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40" i="19" l="1"/>
  <c r="H18" i="20"/>
  <c r="I18"/>
  <c r="H16"/>
  <c r="H37"/>
  <c r="H39"/>
  <c r="H83"/>
  <c r="I83"/>
  <c r="I82"/>
  <c r="H41"/>
  <c r="H40"/>
  <c r="H38" i="19"/>
  <c r="H42"/>
  <c r="H84"/>
  <c r="I84"/>
  <c r="I83"/>
  <c r="H41"/>
  <c r="I18"/>
  <c r="H18"/>
  <c r="I16"/>
  <c r="I25"/>
  <c r="H17" i="18"/>
  <c r="H38"/>
  <c r="H42"/>
  <c r="H40"/>
  <c r="H50"/>
  <c r="H84"/>
  <c r="I84"/>
  <c r="I83"/>
  <c r="H41"/>
  <c r="I18"/>
  <c r="H18"/>
  <c r="I16"/>
  <c r="I25"/>
  <c r="H37" i="17"/>
  <c r="H82"/>
  <c r="I82"/>
  <c r="I81"/>
  <c r="H17"/>
  <c r="H39"/>
  <c r="I49"/>
  <c r="H41"/>
  <c r="H40"/>
  <c r="I18"/>
  <c r="H18"/>
  <c r="I25"/>
  <c r="I16"/>
  <c r="I54" i="28"/>
  <c r="E84"/>
  <c r="F84" s="1"/>
  <c r="F83"/>
  <c r="H83" s="1"/>
  <c r="I77"/>
  <c r="I74"/>
  <c r="I57"/>
  <c r="F71"/>
  <c r="I71" s="1"/>
  <c r="F44"/>
  <c r="I44" s="1"/>
  <c r="I43"/>
  <c r="H43"/>
  <c r="F42"/>
  <c r="I42" s="1"/>
  <c r="F41"/>
  <c r="I41" s="1"/>
  <c r="F40"/>
  <c r="I40" s="1"/>
  <c r="H39"/>
  <c r="F38"/>
  <c r="I38" s="1"/>
  <c r="H37"/>
  <c r="F25"/>
  <c r="H25" s="1"/>
  <c r="F24"/>
  <c r="H24" s="1"/>
  <c r="H23"/>
  <c r="F23"/>
  <c r="H22"/>
  <c r="F22"/>
  <c r="F21"/>
  <c r="H21" s="1"/>
  <c r="H20"/>
  <c r="F20"/>
  <c r="H19"/>
  <c r="F19"/>
  <c r="F18"/>
  <c r="I18" s="1"/>
  <c r="E18"/>
  <c r="F17"/>
  <c r="I17" s="1"/>
  <c r="F16"/>
  <c r="I16" s="1"/>
  <c r="H38" l="1"/>
  <c r="H16"/>
  <c r="H40"/>
  <c r="H84"/>
  <c r="I84"/>
  <c r="I83"/>
  <c r="H42"/>
  <c r="H41"/>
  <c r="H17"/>
  <c r="H18"/>
  <c r="I25"/>
  <c r="F85" i="27" l="1"/>
  <c r="I85" s="1"/>
  <c r="E84"/>
  <c r="F84" s="1"/>
  <c r="F83"/>
  <c r="I71"/>
  <c r="F71"/>
  <c r="I77"/>
  <c r="F44"/>
  <c r="I44" s="1"/>
  <c r="F42"/>
  <c r="F41"/>
  <c r="F40"/>
  <c r="F38"/>
  <c r="F25"/>
  <c r="I25" s="1"/>
  <c r="E18"/>
  <c r="F18" s="1"/>
  <c r="I18" s="1"/>
  <c r="F17"/>
  <c r="F16"/>
  <c r="I71" i="26"/>
  <c r="I59"/>
  <c r="I59" i="25" l="1"/>
  <c r="I56" i="20" l="1"/>
  <c r="I60" i="17" l="1"/>
  <c r="I37" i="27"/>
  <c r="H25"/>
  <c r="F24"/>
  <c r="H24" s="1"/>
  <c r="F23"/>
  <c r="H23" s="1"/>
  <c r="F22"/>
  <c r="H22" s="1"/>
  <c r="F21"/>
  <c r="H21" s="1"/>
  <c r="F20"/>
  <c r="H20" s="1"/>
  <c r="F19"/>
  <c r="H19" s="1"/>
  <c r="I17"/>
  <c r="H16"/>
  <c r="H17" l="1"/>
  <c r="H18"/>
  <c r="I16"/>
  <c r="F25" i="26" l="1"/>
  <c r="H25" s="1"/>
  <c r="F24"/>
  <c r="H24" s="1"/>
  <c r="F23"/>
  <c r="H23" s="1"/>
  <c r="F22"/>
  <c r="H22" s="1"/>
  <c r="F25" i="25"/>
  <c r="H25" s="1"/>
  <c r="F25" i="24"/>
  <c r="H25" s="1"/>
  <c r="F24"/>
  <c r="H24" s="1"/>
  <c r="F23"/>
  <c r="H23" s="1"/>
  <c r="F22"/>
  <c r="H22" s="1"/>
  <c r="F21"/>
  <c r="H21" s="1"/>
  <c r="F20"/>
  <c r="H20" s="1"/>
  <c r="F19"/>
  <c r="H19" s="1"/>
  <c r="F25" i="23"/>
  <c r="H25" s="1"/>
  <c r="H24"/>
  <c r="H23"/>
  <c r="H22"/>
  <c r="H21"/>
  <c r="H20"/>
  <c r="F25" i="22"/>
  <c r="H25" s="1"/>
  <c r="F24"/>
  <c r="F23"/>
  <c r="F22"/>
  <c r="F21"/>
  <c r="F20"/>
  <c r="F25" i="21"/>
  <c r="H25" s="1"/>
  <c r="F25" i="20"/>
  <c r="H25" s="1"/>
  <c r="F24"/>
  <c r="H24" s="1"/>
  <c r="F23"/>
  <c r="H23" s="1"/>
  <c r="F22"/>
  <c r="H22" s="1"/>
  <c r="F21"/>
  <c r="H21" s="1"/>
  <c r="F20"/>
  <c r="H20" s="1"/>
  <c r="F19"/>
  <c r="H19" s="1"/>
  <c r="H20" i="22" l="1"/>
  <c r="I20"/>
  <c r="H22"/>
  <c r="I22"/>
  <c r="H24"/>
  <c r="I24"/>
  <c r="H19"/>
  <c r="I19"/>
  <c r="H21"/>
  <c r="I21"/>
  <c r="H23"/>
  <c r="I23"/>
  <c r="I25" i="26"/>
  <c r="I25" i="25"/>
  <c r="I25" i="24"/>
  <c r="I25" i="23"/>
  <c r="I25" i="22"/>
  <c r="I25" i="21"/>
  <c r="I25" i="20"/>
  <c r="I50" i="21" l="1"/>
  <c r="I81" i="19"/>
  <c r="I62"/>
  <c r="I76"/>
  <c r="I74" i="17" l="1"/>
  <c r="I43" i="27" l="1"/>
  <c r="I62"/>
  <c r="I54" i="26" l="1"/>
  <c r="I50"/>
  <c r="I52" i="20" l="1"/>
  <c r="F56"/>
  <c r="H56" s="1"/>
  <c r="F60" i="19"/>
  <c r="F60" i="18" l="1"/>
  <c r="H60" s="1"/>
  <c r="F58" i="17"/>
  <c r="H58" s="1"/>
  <c r="I60" i="18" l="1"/>
  <c r="I85" s="1"/>
  <c r="I81" i="28" l="1"/>
  <c r="H81"/>
  <c r="H79"/>
  <c r="H76"/>
  <c r="H75"/>
  <c r="H74"/>
  <c r="H73"/>
  <c r="F73"/>
  <c r="H69"/>
  <c r="F68"/>
  <c r="H68" s="1"/>
  <c r="F67"/>
  <c r="H67" s="1"/>
  <c r="F66"/>
  <c r="H66" s="1"/>
  <c r="F65"/>
  <c r="H65" s="1"/>
  <c r="F64"/>
  <c r="H64" s="1"/>
  <c r="H63"/>
  <c r="I62"/>
  <c r="H62"/>
  <c r="F60"/>
  <c r="H60" s="1"/>
  <c r="H59"/>
  <c r="F57"/>
  <c r="H57" s="1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5"/>
  <c r="H34"/>
  <c r="H33"/>
  <c r="F33"/>
  <c r="I33" s="1"/>
  <c r="I32"/>
  <c r="H32"/>
  <c r="F31"/>
  <c r="H31" s="1"/>
  <c r="F30"/>
  <c r="I30" s="1"/>
  <c r="F29"/>
  <c r="H29" s="1"/>
  <c r="F26"/>
  <c r="I26" s="1"/>
  <c r="H83" i="27"/>
  <c r="H81"/>
  <c r="H79"/>
  <c r="H76"/>
  <c r="H75"/>
  <c r="H74"/>
  <c r="F73"/>
  <c r="H73" s="1"/>
  <c r="H69"/>
  <c r="F68"/>
  <c r="H68" s="1"/>
  <c r="F67"/>
  <c r="H67" s="1"/>
  <c r="F66"/>
  <c r="H66" s="1"/>
  <c r="F65"/>
  <c r="H65" s="1"/>
  <c r="F64"/>
  <c r="H64" s="1"/>
  <c r="H63"/>
  <c r="H62"/>
  <c r="F60"/>
  <c r="H60" s="1"/>
  <c r="H59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43"/>
  <c r="I41"/>
  <c r="H40"/>
  <c r="H39"/>
  <c r="H38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H42" l="1"/>
  <c r="I42"/>
  <c r="H80" i="28"/>
  <c r="H85"/>
  <c r="H26"/>
  <c r="I29"/>
  <c r="H30"/>
  <c r="I31"/>
  <c r="H50"/>
  <c r="I60"/>
  <c r="H84" i="27"/>
  <c r="H86" s="1"/>
  <c r="I84"/>
  <c r="H80"/>
  <c r="H26"/>
  <c r="I29"/>
  <c r="H30"/>
  <c r="I31"/>
  <c r="I38"/>
  <c r="I40"/>
  <c r="H41"/>
  <c r="H50"/>
  <c r="I60"/>
  <c r="I83"/>
  <c r="I98" l="1"/>
  <c r="I103" i="28"/>
  <c r="I62" i="18" l="1"/>
  <c r="H78" i="26" l="1"/>
  <c r="H76"/>
  <c r="H73"/>
  <c r="H72"/>
  <c r="H71"/>
  <c r="F70"/>
  <c r="H70" s="1"/>
  <c r="H66"/>
  <c r="F65"/>
  <c r="H65" s="1"/>
  <c r="F64"/>
  <c r="H64" s="1"/>
  <c r="F63"/>
  <c r="H63" s="1"/>
  <c r="F62"/>
  <c r="H62" s="1"/>
  <c r="F61"/>
  <c r="H61" s="1"/>
  <c r="H60"/>
  <c r="H59"/>
  <c r="H56"/>
  <c r="F54"/>
  <c r="I51"/>
  <c r="F51"/>
  <c r="H51" s="1"/>
  <c r="H50"/>
  <c r="F49"/>
  <c r="F48"/>
  <c r="F47"/>
  <c r="H47" s="1"/>
  <c r="F46"/>
  <c r="H46" s="1"/>
  <c r="F45"/>
  <c r="H45" s="1"/>
  <c r="F44"/>
  <c r="H44" s="1"/>
  <c r="F43"/>
  <c r="H43" s="1"/>
  <c r="I41"/>
  <c r="H41"/>
  <c r="F40"/>
  <c r="I40" s="1"/>
  <c r="F39"/>
  <c r="I39" s="1"/>
  <c r="F38"/>
  <c r="I38" s="1"/>
  <c r="H37"/>
  <c r="F36"/>
  <c r="I36" s="1"/>
  <c r="I35"/>
  <c r="H35"/>
  <c r="H33"/>
  <c r="H32"/>
  <c r="H78" i="25"/>
  <c r="H76"/>
  <c r="H73"/>
  <c r="H72"/>
  <c r="H71"/>
  <c r="F70"/>
  <c r="H70" s="1"/>
  <c r="H66"/>
  <c r="F65"/>
  <c r="H65" s="1"/>
  <c r="F64"/>
  <c r="H64" s="1"/>
  <c r="F63"/>
  <c r="H63" s="1"/>
  <c r="F62"/>
  <c r="H62" s="1"/>
  <c r="F61"/>
  <c r="H61" s="1"/>
  <c r="H60"/>
  <c r="H59"/>
  <c r="F57"/>
  <c r="H57" s="1"/>
  <c r="H56"/>
  <c r="F54"/>
  <c r="H54" s="1"/>
  <c r="I41"/>
  <c r="H41"/>
  <c r="F40"/>
  <c r="H40" s="1"/>
  <c r="F39"/>
  <c r="I39" s="1"/>
  <c r="F38"/>
  <c r="H38" s="1"/>
  <c r="H37"/>
  <c r="F36"/>
  <c r="H36" s="1"/>
  <c r="I35"/>
  <c r="H35"/>
  <c r="H33"/>
  <c r="H32"/>
  <c r="F24"/>
  <c r="H24" s="1"/>
  <c r="F23"/>
  <c r="H23" s="1"/>
  <c r="F22"/>
  <c r="H22" s="1"/>
  <c r="H78" i="24"/>
  <c r="H76"/>
  <c r="H73"/>
  <c r="H72"/>
  <c r="H71"/>
  <c r="F70"/>
  <c r="H70" s="1"/>
  <c r="H66"/>
  <c r="F65"/>
  <c r="H65" s="1"/>
  <c r="F64"/>
  <c r="H64" s="1"/>
  <c r="F63"/>
  <c r="H63" s="1"/>
  <c r="F62"/>
  <c r="H62" s="1"/>
  <c r="F61"/>
  <c r="H61" s="1"/>
  <c r="H60"/>
  <c r="H59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H78" i="23"/>
  <c r="H76"/>
  <c r="H73"/>
  <c r="H72"/>
  <c r="H71"/>
  <c r="F70"/>
  <c r="H70" s="1"/>
  <c r="H66"/>
  <c r="F65"/>
  <c r="F64"/>
  <c r="F63"/>
  <c r="F62"/>
  <c r="F61"/>
  <c r="H60"/>
  <c r="H59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H79" i="22"/>
  <c r="H77"/>
  <c r="F70"/>
  <c r="H70" s="1"/>
  <c r="H66"/>
  <c r="H65"/>
  <c r="H64"/>
  <c r="H63"/>
  <c r="H62"/>
  <c r="H61"/>
  <c r="H60"/>
  <c r="H59"/>
  <c r="F57"/>
  <c r="H57" s="1"/>
  <c r="H56"/>
  <c r="F54"/>
  <c r="H54" s="1"/>
  <c r="I51"/>
  <c r="F51"/>
  <c r="H51" s="1"/>
  <c r="H50"/>
  <c r="F49"/>
  <c r="H49" s="1"/>
  <c r="F48"/>
  <c r="H48" s="1"/>
  <c r="F47"/>
  <c r="I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H37"/>
  <c r="F36"/>
  <c r="H36" s="1"/>
  <c r="I35"/>
  <c r="H35"/>
  <c r="H33"/>
  <c r="H32"/>
  <c r="H78" i="21"/>
  <c r="H76"/>
  <c r="F70"/>
  <c r="H70" s="1"/>
  <c r="H66"/>
  <c r="F65"/>
  <c r="H65" s="1"/>
  <c r="F64"/>
  <c r="H64" s="1"/>
  <c r="F63"/>
  <c r="H63" s="1"/>
  <c r="F62"/>
  <c r="H62" s="1"/>
  <c r="F61"/>
  <c r="H61" s="1"/>
  <c r="H60"/>
  <c r="H59"/>
  <c r="H56"/>
  <c r="F54"/>
  <c r="I54" s="1"/>
  <c r="H51"/>
  <c r="H50"/>
  <c r="I47"/>
  <c r="H46"/>
  <c r="H45"/>
  <c r="H44"/>
  <c r="H43"/>
  <c r="I41"/>
  <c r="H41"/>
  <c r="F40"/>
  <c r="H40" s="1"/>
  <c r="F39"/>
  <c r="I39" s="1"/>
  <c r="F38"/>
  <c r="H38" s="1"/>
  <c r="H37"/>
  <c r="F36"/>
  <c r="H36" s="1"/>
  <c r="I35"/>
  <c r="H35"/>
  <c r="H33"/>
  <c r="H32"/>
  <c r="I31"/>
  <c r="H31"/>
  <c r="H30"/>
  <c r="I29"/>
  <c r="H28"/>
  <c r="F24"/>
  <c r="H24" s="1"/>
  <c r="F23"/>
  <c r="H23" s="1"/>
  <c r="F22"/>
  <c r="H22" s="1"/>
  <c r="F21"/>
  <c r="H21" s="1"/>
  <c r="F20"/>
  <c r="H20" s="1"/>
  <c r="F19"/>
  <c r="H62" i="23" l="1"/>
  <c r="I62"/>
  <c r="H64"/>
  <c r="I64"/>
  <c r="H61"/>
  <c r="I61"/>
  <c r="H63"/>
  <c r="H77" s="1"/>
  <c r="I63"/>
  <c r="H65"/>
  <c r="I65"/>
  <c r="H49" i="26"/>
  <c r="I49"/>
  <c r="H48"/>
  <c r="I48"/>
  <c r="H77" i="25"/>
  <c r="H49" i="21"/>
  <c r="I49"/>
  <c r="H48"/>
  <c r="I48"/>
  <c r="H78" i="22"/>
  <c r="H19" i="21"/>
  <c r="I19"/>
  <c r="H77" i="24"/>
  <c r="H38" i="26"/>
  <c r="H54"/>
  <c r="H36"/>
  <c r="H40"/>
  <c r="I47"/>
  <c r="H39"/>
  <c r="H82"/>
  <c r="I36" i="25"/>
  <c r="I38"/>
  <c r="H39"/>
  <c r="I40"/>
  <c r="I54"/>
  <c r="I57"/>
  <c r="H82"/>
  <c r="I36" i="24"/>
  <c r="I38"/>
  <c r="H39"/>
  <c r="I40"/>
  <c r="H47"/>
  <c r="I54"/>
  <c r="H82"/>
  <c r="I36" i="23"/>
  <c r="I38"/>
  <c r="H39"/>
  <c r="I40"/>
  <c r="H47"/>
  <c r="I54"/>
  <c r="H82"/>
  <c r="I36" i="22"/>
  <c r="I38"/>
  <c r="H39"/>
  <c r="I40"/>
  <c r="H47"/>
  <c r="I54"/>
  <c r="I57"/>
  <c r="I83" s="1"/>
  <c r="H83"/>
  <c r="I21" i="21"/>
  <c r="I24"/>
  <c r="I45"/>
  <c r="I43"/>
  <c r="I61"/>
  <c r="I64"/>
  <c r="I62"/>
  <c r="I20"/>
  <c r="I22"/>
  <c r="I23"/>
  <c r="I46"/>
  <c r="I44"/>
  <c r="I65"/>
  <c r="I63"/>
  <c r="H54"/>
  <c r="I28"/>
  <c r="H29"/>
  <c r="I30"/>
  <c r="I36"/>
  <c r="I38"/>
  <c r="H39"/>
  <c r="I40"/>
  <c r="H47"/>
  <c r="H82"/>
  <c r="H80" i="20"/>
  <c r="H78"/>
  <c r="H75"/>
  <c r="H74"/>
  <c r="H73"/>
  <c r="F72"/>
  <c r="H72" s="1"/>
  <c r="H68"/>
  <c r="F67"/>
  <c r="H67" s="1"/>
  <c r="F66"/>
  <c r="H66" s="1"/>
  <c r="F65"/>
  <c r="H65" s="1"/>
  <c r="F64"/>
  <c r="H64" s="1"/>
  <c r="F63"/>
  <c r="H63" s="1"/>
  <c r="H62"/>
  <c r="H61"/>
  <c r="F59"/>
  <c r="H59" s="1"/>
  <c r="H58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H36"/>
  <c r="H34"/>
  <c r="H33"/>
  <c r="H32"/>
  <c r="F32"/>
  <c r="I32" s="1"/>
  <c r="I31"/>
  <c r="H31"/>
  <c r="F30"/>
  <c r="H30" s="1"/>
  <c r="F29"/>
  <c r="I29" s="1"/>
  <c r="F28"/>
  <c r="H28" s="1"/>
  <c r="I53" i="19"/>
  <c r="H81"/>
  <c r="H79"/>
  <c r="H76"/>
  <c r="H75"/>
  <c r="H74"/>
  <c r="F73"/>
  <c r="H73" s="1"/>
  <c r="H69"/>
  <c r="F68"/>
  <c r="H68" s="1"/>
  <c r="F67"/>
  <c r="H67" s="1"/>
  <c r="F66"/>
  <c r="H66" s="1"/>
  <c r="F65"/>
  <c r="H65" s="1"/>
  <c r="F64"/>
  <c r="H64" s="1"/>
  <c r="H63"/>
  <c r="H62"/>
  <c r="H60"/>
  <c r="H59"/>
  <c r="F57"/>
  <c r="H57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5"/>
  <c r="H34"/>
  <c r="H33"/>
  <c r="F33"/>
  <c r="I33" s="1"/>
  <c r="I32"/>
  <c r="H32"/>
  <c r="F31"/>
  <c r="H31" s="1"/>
  <c r="F30"/>
  <c r="I30" s="1"/>
  <c r="F29"/>
  <c r="H29" s="1"/>
  <c r="F26"/>
  <c r="I26" s="1"/>
  <c r="I63" i="18"/>
  <c r="H81"/>
  <c r="H79"/>
  <c r="H76"/>
  <c r="H75"/>
  <c r="F73"/>
  <c r="H73" s="1"/>
  <c r="H69"/>
  <c r="F68"/>
  <c r="H68" s="1"/>
  <c r="F67"/>
  <c r="H67" s="1"/>
  <c r="F66"/>
  <c r="H66" s="1"/>
  <c r="F65"/>
  <c r="H65" s="1"/>
  <c r="F64"/>
  <c r="H64" s="1"/>
  <c r="H63"/>
  <c r="H62"/>
  <c r="H59"/>
  <c r="F57"/>
  <c r="H57" s="1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H35"/>
  <c r="H34"/>
  <c r="H33"/>
  <c r="F33"/>
  <c r="I33" s="1"/>
  <c r="I32"/>
  <c r="H32"/>
  <c r="F31"/>
  <c r="H31" s="1"/>
  <c r="F30"/>
  <c r="I30" s="1"/>
  <c r="F29"/>
  <c r="H29" s="1"/>
  <c r="F26"/>
  <c r="I26" s="1"/>
  <c r="I98" i="23" l="1"/>
  <c r="I82" i="21"/>
  <c r="I97" s="1"/>
  <c r="I90" i="25"/>
  <c r="H77" i="26"/>
  <c r="I90" i="24"/>
  <c r="H80" i="19"/>
  <c r="I92" i="26"/>
  <c r="I95" i="22"/>
  <c r="H77" i="21"/>
  <c r="I51" i="20"/>
  <c r="H79"/>
  <c r="I50"/>
  <c r="I28"/>
  <c r="H29"/>
  <c r="I30"/>
  <c r="H49"/>
  <c r="I59"/>
  <c r="I84" s="1"/>
  <c r="H84"/>
  <c r="H26" i="19"/>
  <c r="I29"/>
  <c r="H30"/>
  <c r="I31"/>
  <c r="H50"/>
  <c r="I60"/>
  <c r="I85" s="1"/>
  <c r="H85"/>
  <c r="H80" i="18"/>
  <c r="H26"/>
  <c r="I29"/>
  <c r="H30"/>
  <c r="I31"/>
  <c r="H85"/>
  <c r="I31" i="17"/>
  <c r="H79"/>
  <c r="H77"/>
  <c r="H74"/>
  <c r="H73"/>
  <c r="H72"/>
  <c r="F71"/>
  <c r="H71" s="1"/>
  <c r="H67"/>
  <c r="F66"/>
  <c r="H66" s="1"/>
  <c r="F65"/>
  <c r="H65" s="1"/>
  <c r="F64"/>
  <c r="H64" s="1"/>
  <c r="F63"/>
  <c r="H63" s="1"/>
  <c r="F62"/>
  <c r="H62" s="1"/>
  <c r="H61"/>
  <c r="H60"/>
  <c r="H57"/>
  <c r="F55"/>
  <c r="H55" s="1"/>
  <c r="H52"/>
  <c r="F51"/>
  <c r="H51" s="1"/>
  <c r="F50"/>
  <c r="H50" s="1"/>
  <c r="F48"/>
  <c r="H48" s="1"/>
  <c r="F47"/>
  <c r="H47" s="1"/>
  <c r="F46"/>
  <c r="H46" s="1"/>
  <c r="F45"/>
  <c r="H45" s="1"/>
  <c r="H34"/>
  <c r="H33"/>
  <c r="H32"/>
  <c r="F32"/>
  <c r="I32" s="1"/>
  <c r="H31"/>
  <c r="F30"/>
  <c r="H30" s="1"/>
  <c r="F29"/>
  <c r="H29" s="1"/>
  <c r="F28"/>
  <c r="H28" s="1"/>
  <c r="I91" i="20" l="1"/>
  <c r="I92" i="18"/>
  <c r="I96" i="19"/>
  <c r="I28" i="17"/>
  <c r="I29"/>
  <c r="I30"/>
  <c r="H78"/>
  <c r="H83"/>
  <c r="I58"/>
  <c r="I83" s="1"/>
  <c r="I94" l="1"/>
</calcChain>
</file>

<file path=xl/sharedStrings.xml><?xml version="1.0" encoding="utf-8"?>
<sst xmlns="http://schemas.openxmlformats.org/spreadsheetml/2006/main" count="2718" uniqueCount="334">
  <si>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</si>
  <si>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</si>
  <si>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</si>
  <si>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</si>
  <si>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</si>
  <si>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</si>
  <si>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</si>
  <si>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</si>
  <si>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</si>
  <si>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</si>
  <si>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</si>
  <si>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</si>
  <si>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</si>
  <si>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</si>
  <si>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</si>
  <si>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</si>
  <si>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</si>
  <si>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</si>
  <si>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</si>
  <si>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</si>
  <si>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</si>
  <si>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</si>
  <si>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</si>
  <si>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</si>
  <si>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</si>
  <si>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</si>
  <si>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</si>
  <si>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</si>
  <si>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</si>
  <si>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</si>
  <si>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</si>
  <si>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</si>
  <si>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</si>
  <si>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</si>
  <si>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</si>
  <si>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</si>
  <si>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</si>
  <si>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</si>
  <si>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</si>
  <si>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</si>
  <si>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</si>
  <si>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</si>
  <si>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</si>
  <si>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</si>
  <si>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</si>
  <si>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</si>
  <si>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</si>
  <si>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</si>
  <si>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</si>
  <si>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</si>
  <si>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</si>
  <si>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</si>
  <si>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</si>
  <si>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</si>
  <si>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</si>
  <si>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</si>
  <si>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</si>
  <si>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</si>
  <si>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</si>
  <si>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</si>
  <si>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</si>
  <si>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</si>
  <si>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</si>
  <si>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</si>
  <si>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</si>
  <si>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</si>
  <si>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</si>
  <si>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</si>
  <si>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</si>
  <si>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</si>
  <si>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</si>
  <si>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</si>
  <si>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</si>
  <si>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</si>
  <si>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</si>
  <si>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</si>
  <si>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</si>
  <si>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</si>
  <si>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</si>
  <si>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</si>
  <si>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</si>
  <si>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</si>
  <si>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Дератизация</t>
  </si>
  <si>
    <t>Смена патронов</t>
  </si>
  <si>
    <t>Влажное подметание лестничных клеток 2-5 этажа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</si>
  <si>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</si>
  <si>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</si>
  <si>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</si>
  <si>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</si>
  <si>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</si>
  <si>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</si>
  <si>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</si>
  <si>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</si>
  <si>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</si>
  <si>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</si>
  <si>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</si>
  <si>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</si>
  <si>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</si>
  <si>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</si>
  <si>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</si>
  <si>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Сдвигание снега в дни снегопада (проезд)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</si>
  <si>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</si>
  <si>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</si>
  <si>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</si>
  <si>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</si>
  <si>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</si>
  <si>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</si>
  <si>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</si>
  <si>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</si>
  <si>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</si>
  <si>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</si>
  <si>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</si>
  <si>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</si>
  <si>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</si>
  <si>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</si>
  <si>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</si>
  <si>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</si>
  <si>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</si>
  <si>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</si>
  <si>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</si>
  <si>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ул.Космонавтов пгт.Ярега
</t>
  </si>
  <si>
    <t>Смена выключателей</t>
  </si>
  <si>
    <t>1 шт</t>
  </si>
  <si>
    <t>АКТ №1</t>
  </si>
  <si>
    <t>1000-м2</t>
  </si>
  <si>
    <t>2 раза в неделю 52 раза в сезон</t>
  </si>
  <si>
    <t>3 раза в неделю 78 раз за сезон</t>
  </si>
  <si>
    <t>по мере необходимости</t>
  </si>
  <si>
    <t xml:space="preserve"> </t>
  </si>
  <si>
    <t>30 раз за сезон</t>
  </si>
  <si>
    <t>Очистка  от мусора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</si>
  <si>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</si>
  <si>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</si>
  <si>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</si>
  <si>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</si>
  <si>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1 раз в месяц (5 раз в год)</t>
  </si>
  <si>
    <t>АКТ №2</t>
  </si>
  <si>
    <t>АКТ №3</t>
  </si>
  <si>
    <t>АКТ №4</t>
  </si>
  <si>
    <t>АКТ №5</t>
  </si>
  <si>
    <t>АКТ №6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</si>
  <si>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</si>
  <si>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</si>
  <si>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</si>
  <si>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</si>
  <si>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</si>
  <si>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</si>
  <si>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Итого затраты за месяц</t>
  </si>
  <si>
    <t>АКТ №11</t>
  </si>
  <si>
    <t>м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</si>
  <si>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</si>
  <si>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д.10</t>
    </r>
  </si>
  <si>
    <t>II. Уборка земельного участка</t>
  </si>
  <si>
    <t>Очистка канализационной сети внутренней</t>
  </si>
  <si>
    <t>ООО «Движение»</t>
  </si>
  <si>
    <t xml:space="preserve">Осмотр водопроводов, канализации, отопления </t>
  </si>
  <si>
    <t>Осмотр электросетей, армазуры и электрооборудования на лестничных клетках</t>
  </si>
  <si>
    <t>Смена автомата на ток до 25А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</si>
  <si>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</si>
  <si>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</si>
  <si>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</si>
  <si>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</si>
  <si>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</si>
  <si>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</si>
  <si>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</si>
  <si>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</si>
  <si>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1 раз</t>
  </si>
  <si>
    <t xml:space="preserve">1 раз </t>
  </si>
  <si>
    <t xml:space="preserve">1 раз    </t>
  </si>
  <si>
    <t xml:space="preserve">1 раз   </t>
  </si>
  <si>
    <t>10 м2</t>
  </si>
  <si>
    <t>заглушка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</si>
  <si>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</si>
  <si>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</si>
  <si>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</si>
  <si>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</si>
  <si>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под.№1</t>
  </si>
  <si>
    <t>Установка хомута диаметром до 50 мм</t>
  </si>
  <si>
    <t>место</t>
  </si>
  <si>
    <t>под.№2</t>
  </si>
  <si>
    <t>Смена полипропиленовых канализационных труб ПП 100*1000</t>
  </si>
  <si>
    <t>Работа ротенбергера</t>
  </si>
  <si>
    <t>час</t>
  </si>
  <si>
    <t>генеральный директор Кочанова И.Л.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</si>
  <si>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21.10.2020г. стороны,  и ООО «Движение», именуемое в дальнейшем "Исполнитель",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</si>
  <si>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Мытье лестничных  площадок и маршей 1-5 этаж.</t>
  </si>
  <si>
    <t>Очистка вручную от снега и наледи люков  канализационых и водопроводных колодцев</t>
  </si>
  <si>
    <t>Снятие показаний с общедомовых приборов учета холодной воды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</si>
  <si>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</si>
  <si>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</si>
  <si>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мес.</t>
  </si>
  <si>
    <t>Работы по ведению технической  и отчетной кокументации, сбору и начислению платежей</t>
  </si>
  <si>
    <t>Работы по проведению одного общего собрания собственников МКД</t>
  </si>
  <si>
    <t>Установка заглушек диаметром трубопроводов до 100 мм</t>
  </si>
  <si>
    <t>1 м</t>
  </si>
  <si>
    <t>Смена радиаторов отопительных (без стоимости радиаторов)</t>
  </si>
  <si>
    <t xml:space="preserve">2 раза </t>
  </si>
  <si>
    <t>11  шт.</t>
  </si>
  <si>
    <t>Патрубок компенсационный 110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</si>
  <si>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21.10.2020г.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</si>
  <si>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2 ч (21,25,28 янв)</t>
  </si>
  <si>
    <t>Смена внутренних трубопроводов на полипропиленовые PN 20 Dу 25</t>
  </si>
  <si>
    <t>ХВС 3 м с кв.31 до ниж.эт.</t>
  </si>
  <si>
    <t>с/о подвал 1 шт</t>
  </si>
  <si>
    <t>1,7 шт.</t>
  </si>
  <si>
    <t>2. Всего за период с 01.01.2021 по 31.01.2021 выполнено работ (оказано услуг) на общую сумму: 57248,29 руб.</t>
  </si>
  <si>
    <t>(пятьдесят семь тысяч двести сорок восемь рублей 29 копеек)</t>
  </si>
  <si>
    <t>за период с 01.02.2021 г. по 29.02.2021 г.</t>
  </si>
  <si>
    <t>29.02.2021</t>
  </si>
  <si>
    <t>1 ч (1 февр)</t>
  </si>
  <si>
    <t>6 м</t>
  </si>
  <si>
    <t>2. Всего за период с 01.02.2021 по 29.02.2021 выполнено работ (оказано услуг) на общую сумму: 44050,31 руб.</t>
  </si>
  <si>
    <t>(сорок четыре тысячи пятьдесят рублей 31 копейка)</t>
  </si>
  <si>
    <t>за период с 01.03.2021 г. по 31.03.2021 г.</t>
  </si>
  <si>
    <t>2,5,16,19,25,31 марта</t>
  </si>
  <si>
    <t>41 шт.</t>
  </si>
  <si>
    <t>11 марта</t>
  </si>
  <si>
    <t>14м</t>
  </si>
  <si>
    <t>2. Всего за период с 01.03.2021 по 31.03.2021 выполнено работ (оказано услуг) на общую сумму: 69614,16 руб.</t>
  </si>
  <si>
    <t>(шестьдесят девять тысяч шестьсот четырнадцать рублей 16 копеек)</t>
  </si>
  <si>
    <t>за период с 01.04.2021 г. по 30.04.2021 г.</t>
  </si>
  <si>
    <t>1 апр.</t>
  </si>
  <si>
    <t>39 м3 ( 7 апр)</t>
  </si>
  <si>
    <t>16 шт.</t>
  </si>
  <si>
    <t>Укрепление потолка тамбура</t>
  </si>
  <si>
    <t>2. Всего за период с 01.04.2021 по 30.04.2021 выполнено работ (оказано услуг) на общую сумму: 54629,70 руб.</t>
  </si>
  <si>
    <t>(пятьдесят четыре тысячи шестьсот двадцать девять рублей 70 копеек)</t>
  </si>
  <si>
    <t>за период с 01.05.2021 г. по 31.05.2021 г.</t>
  </si>
  <si>
    <t>12 раз</t>
  </si>
  <si>
    <t>9 шт.</t>
  </si>
  <si>
    <t>Подборка мусора, налетевшего с контейнерной площадки</t>
  </si>
  <si>
    <t xml:space="preserve">Смена внутренних трубопроводов из стальных труб диаметром до 40 мм </t>
  </si>
  <si>
    <t>Смена внутренних трубопроводов из стальных труб диаметром до 25 мм</t>
  </si>
  <si>
    <t>Сварочные работы</t>
  </si>
  <si>
    <t>Смена внутренних трубопроводов на полипропиленовые PN 20 Dу 20</t>
  </si>
  <si>
    <t>Остановка/запуск стояка</t>
  </si>
  <si>
    <t>4 м ХВС с кв.41 до кв.49</t>
  </si>
  <si>
    <t>1 шт. ХВС подвал</t>
  </si>
  <si>
    <t>3 м ХВС подвал</t>
  </si>
  <si>
    <t>2 м ХВС подвал</t>
  </si>
  <si>
    <t>1 шт. ХВС кв.41; 1 шт. ХВС подвал</t>
  </si>
  <si>
    <t>12 м</t>
  </si>
  <si>
    <t>2. Всего за период с 01.05.2021 по 31.05.2021 выполнено работ (оказано услуг) на общую сумму: 70996,72 руб.</t>
  </si>
  <si>
    <t>(семьдесят тысяч девятьсот девяносто шесть рублей 72 копейка)</t>
  </si>
  <si>
    <t>за период с 01.06.2021 г. по 30.06.2021 г.</t>
  </si>
  <si>
    <t>26 шт</t>
  </si>
  <si>
    <t>Демонтаж проводов из труб суммарным сечением до 6 мм2</t>
  </si>
  <si>
    <t>10 м.</t>
  </si>
  <si>
    <t>Ремонт входной двери под №2 ( обивка оцинкованным железом)</t>
  </si>
  <si>
    <t>Лист оцинкованный (2000*70)</t>
  </si>
  <si>
    <t>откл. Домофона</t>
  </si>
  <si>
    <t>2 шт.</t>
  </si>
  <si>
    <t>3 м</t>
  </si>
  <si>
    <t>2. Всего за период с 01.06.2021 по 30.06.2021 выполнено работ (оказано услуг) на общую сумму: 107104,37 руб.</t>
  </si>
  <si>
    <t>(сто семь тысяч сто четыре рубля 37 копеек)</t>
  </si>
  <si>
    <t>за период с 01.07.2021 г. по 30.07.2021 г.</t>
  </si>
  <si>
    <t>Смена арматуры - вентилей и клапанов обратных муфтовых диаметром до 20 мм ( без материалов)</t>
  </si>
  <si>
    <t>Смена внутренних трубопроводов на полипропиленовые PN 25 Dу 25</t>
  </si>
  <si>
    <t>Смена внутренних трубопроводов на полипропиленовые PN 25 Dу 20</t>
  </si>
  <si>
    <t>Смена внутренних трубопроводов на м/п трубы Ду 20 мм</t>
  </si>
  <si>
    <t>Радиатор 7 секций</t>
  </si>
  <si>
    <t>5 шт</t>
  </si>
  <si>
    <t>8 м с/о кв.61</t>
  </si>
  <si>
    <t>7 м</t>
  </si>
  <si>
    <t>кв.53</t>
  </si>
  <si>
    <t>кв.54</t>
  </si>
  <si>
    <t xml:space="preserve">1 м </t>
  </si>
  <si>
    <t>2 м ХВС с кв.54 до 70 кв.</t>
  </si>
  <si>
    <t>4 м ХВС с кв.54 до 62</t>
  </si>
  <si>
    <t>100шт</t>
  </si>
  <si>
    <t>2. Всего за период с 01.07.2021 по 31.07.2021 выполнено работ (оказано услуг) на общую сумму: 88332,19 руб.</t>
  </si>
  <si>
    <t>(восемьдесят восемь тысяч триста тридцать два рубля 19 копеек)</t>
  </si>
  <si>
    <t>за период с 01.08.2021 г. по 31.08.2021 г.</t>
  </si>
  <si>
    <t>Утепление тамбура под.№2</t>
  </si>
  <si>
    <t>руб</t>
  </si>
  <si>
    <t>1 шт. под.№2</t>
  </si>
  <si>
    <t>Внеплановая проверка вентканалов</t>
  </si>
  <si>
    <t>кв.28</t>
  </si>
  <si>
    <t>18 м</t>
  </si>
  <si>
    <t>2. Всего за период с 01.08.2021 по 31.08.2021 выполнено работ (оказано услуг) на общую сумму: 42510,49 руб.</t>
  </si>
  <si>
    <t>(сорок две тысячи пятьсот десять рублей 49 копеек  )</t>
  </si>
  <si>
    <t>за период с 01.09.2021 г. по 30.09.2021 г.</t>
  </si>
  <si>
    <t>13 шт</t>
  </si>
  <si>
    <t>2. Всего за период с 01.09.2021 по 30.09.2021 выполнено работ (оказано услуг) на общую сумму: 56772,40 руб.</t>
  </si>
  <si>
    <t>(пятьдесят шесть тысяч семьсот семьдесят два рубля 40 копеек)</t>
  </si>
  <si>
    <t>под.№1-2 шт</t>
  </si>
  <si>
    <t>кв.4 с/о-1 шт.</t>
  </si>
  <si>
    <t>Осмотр рулонных кровель</t>
  </si>
  <si>
    <t>3 раза</t>
  </si>
  <si>
    <t>за период с 01.10.2021 г. по 31.10.2021 г.</t>
  </si>
  <si>
    <r>
      <t xml:space="preserve">    Собственники   помещений   в многоквартирном доме, расположенном по адресу: пгт.Ярега, ул.Космонавтов, д.10,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 действующего на основании решения от 21.10.2020г.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</si>
  <si>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Смена светодиодного светильника н.о.</t>
  </si>
  <si>
    <t>Ремонт канализационного стояка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</si>
  <si>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</si>
  <si>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</si>
  <si>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 шт. с/о кв.67</t>
  </si>
  <si>
    <t>кв.18</t>
  </si>
  <si>
    <t>2. Всего за период с 01.10.2021 по 31.10.2021 выполнено работ (оказано услуг) на общую сумму: 42551,64 руб.</t>
  </si>
  <si>
    <t>(сорок две тысячи пятьсот пятьдесят один рубль 64 копейки)</t>
  </si>
  <si>
    <t>за период с 01.11.2021 г. по 30.11.2021 г.</t>
  </si>
  <si>
    <t>Заделка окон ДВП</t>
  </si>
  <si>
    <t>Смена дверных приборов - петли</t>
  </si>
  <si>
    <t>Смена дверных приборов /замки навесные)</t>
  </si>
  <si>
    <t>Герметизация стыков трубопроводов</t>
  </si>
  <si>
    <t>1 место</t>
  </si>
  <si>
    <t>Подключение и отключение сварочного аппарата/электрооборудования</t>
  </si>
  <si>
    <t>14 шт.</t>
  </si>
  <si>
    <t>кв.18 кан-ция</t>
  </si>
  <si>
    <t>под.№1 эт.3 хоз.пом</t>
  </si>
  <si>
    <t>2. Всего за период с 01.11.2021 по 30.11.2021 выполнено работ (оказано услуг) на общую сумму: 41128,32 руб.</t>
  </si>
  <si>
    <t>(сорок одна тысяча сто двадцать восемь рублей 32 копейки)</t>
  </si>
  <si>
    <t>за период с 01.12.2021 г. по 31.12.2021 г.</t>
  </si>
  <si>
    <t>16,30 декабря</t>
  </si>
  <si>
    <t>Смена арматуры - вентилей и клапанов обратных муфтовых диаметром до 32 мм</t>
  </si>
  <si>
    <t>Демонтаж секции радиатора</t>
  </si>
  <si>
    <t>радиатор</t>
  </si>
  <si>
    <t>Смена отдельных участков наружной проводки</t>
  </si>
  <si>
    <t>Замена муфты</t>
  </si>
  <si>
    <t>Переход чугун- пластик 110</t>
  </si>
  <si>
    <t>Муфта 110</t>
  </si>
  <si>
    <t>Смена внутренних трубопроводов на полипропиленовые PN 25 Dу 32</t>
  </si>
  <si>
    <t xml:space="preserve">Смена внутренних трубопроводов из стальных труб диаметром до 32 мм </t>
  </si>
  <si>
    <t>6 шт. под.№2</t>
  </si>
  <si>
    <t>под. №2 с/о 1 шт. 3 эт.</t>
  </si>
  <si>
    <t>0,5 м кв.18</t>
  </si>
  <si>
    <t>0,5 м с/о подвал</t>
  </si>
  <si>
    <t>1 м с/о подвал</t>
  </si>
  <si>
    <t>1 шт. с /о подвал</t>
  </si>
  <si>
    <t>20 м</t>
  </si>
  <si>
    <t>2 шт. кв.71 с/о</t>
  </si>
  <si>
    <t>1 шт. ХВС кв.16</t>
  </si>
  <si>
    <t>2. Всего за период с 01.12.2021 по 31.12.2021 выполнено работ (оказано услуг) на общую сумму: 53050,44 руб.</t>
  </si>
  <si>
    <t>(пятьдесят три тысячи пятьдесят рублей 44 копейки)</t>
  </si>
  <si>
    <t>за период с 01.01.2021 г. по 31.01.2021 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</si>
</sst>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2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9" fillId="0" borderId="1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K8" sqref="K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123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333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44227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10.81</v>
      </c>
      <c r="H25" s="65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customHeight="1">
      <c r="A26" s="148" t="s">
        <v>152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hidden="1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1" t="s">
        <v>94</v>
      </c>
      <c r="C28" s="62" t="s">
        <v>124</v>
      </c>
      <c r="D28" s="61" t="s">
        <v>125</v>
      </c>
      <c r="E28" s="64">
        <v>2497.6999999999998</v>
      </c>
      <c r="F28" s="64">
        <f>SUM(E28*52/1000)</f>
        <v>129.88039999999998</v>
      </c>
      <c r="G28" s="64">
        <v>177.3</v>
      </c>
      <c r="H28" s="65">
        <f t="shared" ref="H28:H34" si="1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1" t="s">
        <v>134</v>
      </c>
      <c r="C29" s="62" t="s">
        <v>95</v>
      </c>
      <c r="D29" s="61" t="s">
        <v>126</v>
      </c>
      <c r="E29" s="64">
        <v>266.37</v>
      </c>
      <c r="F29" s="64">
        <f>SUM(E29*78/1000)</f>
        <v>20.776859999999999</v>
      </c>
      <c r="G29" s="64">
        <v>297.17</v>
      </c>
      <c r="H29" s="65">
        <f t="shared" si="1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1" t="s">
        <v>27</v>
      </c>
      <c r="C30" s="62" t="s">
        <v>95</v>
      </c>
      <c r="D30" s="61" t="s">
        <v>51</v>
      </c>
      <c r="E30" s="64">
        <v>2497.6999999999998</v>
      </c>
      <c r="F30" s="64">
        <f>SUM(E30/1000)</f>
        <v>2.4977</v>
      </c>
      <c r="G30" s="64">
        <v>3435.36</v>
      </c>
      <c r="H30" s="65">
        <f t="shared" si="1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98</v>
      </c>
      <c r="C31" s="62" t="s">
        <v>38</v>
      </c>
      <c r="D31" s="61" t="s">
        <v>60</v>
      </c>
      <c r="E31" s="64">
        <v>2</v>
      </c>
      <c r="F31" s="64">
        <v>3.1</v>
      </c>
      <c r="G31" s="64">
        <v>1480.94</v>
      </c>
      <c r="H31" s="65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1" t="s">
        <v>99</v>
      </c>
      <c r="C32" s="62" t="s">
        <v>30</v>
      </c>
      <c r="D32" s="61" t="s">
        <v>60</v>
      </c>
      <c r="E32" s="68">
        <v>0.33333333333333331</v>
      </c>
      <c r="F32" s="64">
        <f>155/3</f>
        <v>51.666666666666664</v>
      </c>
      <c r="G32" s="64">
        <v>64.48</v>
      </c>
      <c r="H32" s="65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1" t="s">
        <v>61</v>
      </c>
      <c r="C33" s="62" t="s">
        <v>32</v>
      </c>
      <c r="D33" s="61" t="s">
        <v>127</v>
      </c>
      <c r="E33" s="63"/>
      <c r="F33" s="64">
        <v>2</v>
      </c>
      <c r="G33" s="64">
        <v>217.61</v>
      </c>
      <c r="H33" s="65">
        <f t="shared" si="1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1" t="s">
        <v>62</v>
      </c>
      <c r="C34" s="62" t="s">
        <v>31</v>
      </c>
      <c r="D34" s="61" t="s">
        <v>127</v>
      </c>
      <c r="E34" s="63"/>
      <c r="F34" s="64">
        <v>1</v>
      </c>
      <c r="G34" s="64">
        <v>1292.47</v>
      </c>
      <c r="H34" s="65">
        <f t="shared" si="1"/>
        <v>1.29247</v>
      </c>
      <c r="I34" s="13">
        <v>0</v>
      </c>
      <c r="J34" s="23"/>
    </row>
    <row r="35" spans="1:14" ht="15.75" customHeight="1">
      <c r="A35" s="70"/>
      <c r="B35" s="83" t="s">
        <v>5</v>
      </c>
      <c r="C35" s="62"/>
      <c r="D35" s="61"/>
      <c r="E35" s="63"/>
      <c r="F35" s="64"/>
      <c r="G35" s="64"/>
      <c r="H35" s="65" t="s">
        <v>128</v>
      </c>
      <c r="I35" s="13"/>
      <c r="J35" s="23"/>
    </row>
    <row r="36" spans="1:14" ht="15.75" customHeight="1">
      <c r="A36" s="70">
        <v>5</v>
      </c>
      <c r="B36" s="61" t="s">
        <v>26</v>
      </c>
      <c r="C36" s="62" t="s">
        <v>31</v>
      </c>
      <c r="D36" s="61" t="s">
        <v>200</v>
      </c>
      <c r="E36" s="63"/>
      <c r="F36" s="64">
        <v>6</v>
      </c>
      <c r="G36" s="125">
        <v>1930</v>
      </c>
      <c r="H36" s="65">
        <f>SUM(F36*G36/1000)</f>
        <v>11.58</v>
      </c>
      <c r="I36" s="13">
        <f>G36*2</f>
        <v>3860</v>
      </c>
      <c r="J36" s="23"/>
    </row>
    <row r="37" spans="1:14" ht="15.75" customHeight="1">
      <c r="A37" s="70">
        <v>6</v>
      </c>
      <c r="B37" s="116" t="s">
        <v>100</v>
      </c>
      <c r="C37" s="117" t="s">
        <v>29</v>
      </c>
      <c r="D37" s="105" t="s">
        <v>163</v>
      </c>
      <c r="E37" s="115">
        <v>48.36</v>
      </c>
      <c r="F37" s="118">
        <f>E37*30/1000</f>
        <v>1.4507999999999999</v>
      </c>
      <c r="G37" s="108">
        <v>3134.93</v>
      </c>
      <c r="H37" s="65">
        <f>G37*F37/1000</f>
        <v>4.5481564439999991</v>
      </c>
      <c r="I37" s="13">
        <f>F37/6*G37</f>
        <v>758.02607399999988</v>
      </c>
      <c r="J37" s="23"/>
    </row>
    <row r="38" spans="1:14" ht="15.75" hidden="1" customHeight="1">
      <c r="A38" s="70">
        <v>8</v>
      </c>
      <c r="B38" s="105" t="s">
        <v>101</v>
      </c>
      <c r="C38" s="106" t="s">
        <v>102</v>
      </c>
      <c r="D38" s="105" t="s">
        <v>127</v>
      </c>
      <c r="E38" s="115"/>
      <c r="F38" s="118">
        <v>39</v>
      </c>
      <c r="G38" s="108">
        <v>330</v>
      </c>
      <c r="H38" s="65">
        <f>G38*F38/1000</f>
        <v>12.87</v>
      </c>
      <c r="I38" s="13">
        <v>0</v>
      </c>
      <c r="J38" s="23"/>
      <c r="L38" s="19"/>
      <c r="M38" s="20"/>
      <c r="N38" s="21"/>
    </row>
    <row r="39" spans="1:14" ht="15.75" customHeight="1">
      <c r="A39" s="70">
        <v>7</v>
      </c>
      <c r="B39" s="105" t="s">
        <v>64</v>
      </c>
      <c r="C39" s="106" t="s">
        <v>29</v>
      </c>
      <c r="D39" s="105" t="s">
        <v>164</v>
      </c>
      <c r="E39" s="108">
        <v>53.69</v>
      </c>
      <c r="F39" s="118">
        <f>SUM(E39*155/1000)</f>
        <v>8.3219499999999993</v>
      </c>
      <c r="G39" s="108">
        <v>522.92999999999995</v>
      </c>
      <c r="H39" s="65">
        <f t="shared" ref="H39:H42" si="2">SUM(F39*G39/1000)</f>
        <v>4.3517973134999997</v>
      </c>
      <c r="I39" s="13">
        <f>F39/6*G39</f>
        <v>725.29955224999992</v>
      </c>
      <c r="J39" s="23"/>
      <c r="L39" s="19"/>
      <c r="M39" s="20"/>
      <c r="N39" s="21"/>
    </row>
    <row r="40" spans="1:14" ht="47.25" customHeight="1">
      <c r="A40" s="70">
        <v>8</v>
      </c>
      <c r="B40" s="105" t="s">
        <v>77</v>
      </c>
      <c r="C40" s="106" t="s">
        <v>95</v>
      </c>
      <c r="D40" s="105" t="s">
        <v>165</v>
      </c>
      <c r="E40" s="108">
        <v>23.93</v>
      </c>
      <c r="F40" s="118">
        <f>SUM(E40*24/1000)</f>
        <v>0.57431999999999994</v>
      </c>
      <c r="G40" s="108">
        <v>8652.07</v>
      </c>
      <c r="H40" s="65">
        <f t="shared" si="2"/>
        <v>4.9690568423999997</v>
      </c>
      <c r="I40" s="13">
        <f>F40/6*G40</f>
        <v>828.17614039999989</v>
      </c>
      <c r="J40" s="23"/>
      <c r="L40" s="19"/>
      <c r="M40" s="20"/>
      <c r="N40" s="21"/>
    </row>
    <row r="41" spans="1:14" ht="15.75" hidden="1" customHeight="1">
      <c r="A41" s="29">
        <v>9</v>
      </c>
      <c r="B41" s="105" t="s">
        <v>105</v>
      </c>
      <c r="C41" s="106" t="s">
        <v>95</v>
      </c>
      <c r="D41" s="105" t="s">
        <v>65</v>
      </c>
      <c r="E41" s="108">
        <v>48.36</v>
      </c>
      <c r="F41" s="118">
        <f>SUM(E41*45/1000)</f>
        <v>2.1761999999999997</v>
      </c>
      <c r="G41" s="108">
        <v>639.14</v>
      </c>
      <c r="H41" s="65">
        <f t="shared" si="2"/>
        <v>1.3908964679999998</v>
      </c>
      <c r="I41" s="13">
        <f>F41/7.5*G41</f>
        <v>185.45286239999999</v>
      </c>
      <c r="J41" s="23"/>
      <c r="L41" s="19"/>
      <c r="M41" s="20"/>
      <c r="N41" s="21"/>
    </row>
    <row r="42" spans="1:14" ht="15.75" hidden="1" customHeight="1">
      <c r="A42" s="29">
        <v>10</v>
      </c>
      <c r="B42" s="116" t="s">
        <v>66</v>
      </c>
      <c r="C42" s="117" t="s">
        <v>32</v>
      </c>
      <c r="D42" s="116"/>
      <c r="E42" s="119"/>
      <c r="F42" s="118">
        <v>0.9</v>
      </c>
      <c r="G42" s="118">
        <v>900</v>
      </c>
      <c r="H42" s="65">
        <f t="shared" si="2"/>
        <v>0.81</v>
      </c>
      <c r="I42" s="13">
        <f>F42/7.5*G42</f>
        <v>108.00000000000001</v>
      </c>
      <c r="J42" s="23"/>
      <c r="L42" s="19"/>
      <c r="M42" s="20"/>
      <c r="N42" s="21"/>
    </row>
    <row r="43" spans="1:14" ht="33" customHeight="1">
      <c r="A43" s="29">
        <v>9</v>
      </c>
      <c r="B43" s="120" t="s">
        <v>186</v>
      </c>
      <c r="C43" s="117" t="s">
        <v>29</v>
      </c>
      <c r="D43" s="116" t="s">
        <v>196</v>
      </c>
      <c r="E43" s="119">
        <v>0.6</v>
      </c>
      <c r="F43" s="118">
        <f>E43*12/1000</f>
        <v>7.1999999999999989E-3</v>
      </c>
      <c r="G43" s="118">
        <v>20547.34</v>
      </c>
      <c r="H43" s="56"/>
      <c r="I43" s="13">
        <f>G43*F43/6</f>
        <v>24.656807999999998</v>
      </c>
      <c r="J43" s="23"/>
      <c r="L43" s="19"/>
      <c r="M43" s="20"/>
      <c r="N43" s="21"/>
    </row>
    <row r="44" spans="1:14" ht="15.75" customHeight="1">
      <c r="A44" s="148" t="s">
        <v>131</v>
      </c>
      <c r="B44" s="149"/>
      <c r="C44" s="149"/>
      <c r="D44" s="149"/>
      <c r="E44" s="149"/>
      <c r="F44" s="149"/>
      <c r="G44" s="149"/>
      <c r="H44" s="149"/>
      <c r="I44" s="150"/>
      <c r="J44" s="23"/>
      <c r="L44" s="19"/>
      <c r="M44" s="20"/>
      <c r="N44" s="21"/>
    </row>
    <row r="45" spans="1:14" ht="15.75" hidden="1" customHeight="1">
      <c r="A45" s="29"/>
      <c r="B45" s="61" t="s">
        <v>106</v>
      </c>
      <c r="C45" s="62" t="s">
        <v>95</v>
      </c>
      <c r="D45" s="61" t="s">
        <v>40</v>
      </c>
      <c r="E45" s="63">
        <v>614.29999999999995</v>
      </c>
      <c r="F45" s="64">
        <f>SUM(E45*2/1000)</f>
        <v>1.2285999999999999</v>
      </c>
      <c r="G45" s="13">
        <v>1094.96</v>
      </c>
      <c r="H45" s="65">
        <f t="shared" ref="H45:H52" si="3">SUM(F45*G45/1000)</f>
        <v>1.345267856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1" t="s">
        <v>33</v>
      </c>
      <c r="C46" s="62" t="s">
        <v>95</v>
      </c>
      <c r="D46" s="61" t="s">
        <v>40</v>
      </c>
      <c r="E46" s="63">
        <v>61</v>
      </c>
      <c r="F46" s="64">
        <f>E46*2/1000</f>
        <v>0.122</v>
      </c>
      <c r="G46" s="13">
        <v>3832.4</v>
      </c>
      <c r="H46" s="65">
        <f t="shared" si="3"/>
        <v>0.46755279999999999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34</v>
      </c>
      <c r="C47" s="62" t="s">
        <v>95</v>
      </c>
      <c r="D47" s="61" t="s">
        <v>40</v>
      </c>
      <c r="E47" s="63">
        <v>3135.64</v>
      </c>
      <c r="F47" s="64">
        <f>SUM(E47*2/1000)</f>
        <v>6.27128</v>
      </c>
      <c r="G47" s="13">
        <v>1564.24</v>
      </c>
      <c r="H47" s="65">
        <f t="shared" si="3"/>
        <v>9.8097870272000005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35</v>
      </c>
      <c r="C48" s="62" t="s">
        <v>95</v>
      </c>
      <c r="D48" s="61" t="s">
        <v>40</v>
      </c>
      <c r="E48" s="63">
        <v>1678.47</v>
      </c>
      <c r="F48" s="64">
        <f>SUM(E48*2/1000)</f>
        <v>3.3569400000000003</v>
      </c>
      <c r="G48" s="13">
        <v>1078.3599999999999</v>
      </c>
      <c r="H48" s="65">
        <f t="shared" si="3"/>
        <v>3.6199898183999997</v>
      </c>
      <c r="I48" s="13">
        <v>0</v>
      </c>
      <c r="J48" s="23"/>
      <c r="L48" s="19"/>
      <c r="M48" s="20"/>
      <c r="N48" s="21"/>
    </row>
    <row r="49" spans="1:22" ht="15.75" customHeight="1">
      <c r="A49" s="29">
        <v>10</v>
      </c>
      <c r="B49" s="61" t="s">
        <v>53</v>
      </c>
      <c r="C49" s="62" t="s">
        <v>95</v>
      </c>
      <c r="D49" s="61" t="s">
        <v>166</v>
      </c>
      <c r="E49" s="63">
        <v>614.29999999999995</v>
      </c>
      <c r="F49" s="64">
        <f>SUM(E49*5/1000)</f>
        <v>3.0714999999999999</v>
      </c>
      <c r="G49" s="126">
        <v>1809.27</v>
      </c>
      <c r="H49" s="65">
        <f t="shared" si="3"/>
        <v>5.5571728050000004</v>
      </c>
      <c r="I49" s="13">
        <f>F49/5*G49</f>
        <v>1111.4345609999998</v>
      </c>
      <c r="J49" s="23"/>
      <c r="L49" s="19"/>
      <c r="M49" s="20"/>
      <c r="N49" s="21"/>
    </row>
    <row r="50" spans="1:22" ht="31.5" hidden="1" customHeight="1">
      <c r="A50" s="29"/>
      <c r="B50" s="61" t="s">
        <v>107</v>
      </c>
      <c r="C50" s="62" t="s">
        <v>95</v>
      </c>
      <c r="D50" s="61" t="s">
        <v>40</v>
      </c>
      <c r="E50" s="63">
        <v>614.29999999999995</v>
      </c>
      <c r="F50" s="64">
        <f>SUM(E50*2/1000)</f>
        <v>1.2285999999999999</v>
      </c>
      <c r="G50" s="13">
        <v>1380.31</v>
      </c>
      <c r="H50" s="65">
        <f t="shared" si="3"/>
        <v>1.6958488659999997</v>
      </c>
      <c r="I50" s="13">
        <v>0</v>
      </c>
      <c r="J50" s="23"/>
      <c r="L50" s="19"/>
      <c r="M50" s="20"/>
      <c r="N50" s="21"/>
    </row>
    <row r="51" spans="1:22" ht="31.5" hidden="1" customHeight="1">
      <c r="A51" s="44"/>
      <c r="B51" s="61" t="s">
        <v>108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3519.56</v>
      </c>
      <c r="H51" s="65">
        <f t="shared" si="3"/>
        <v>1.407824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6428.82</v>
      </c>
      <c r="H52" s="65">
        <f t="shared" si="3"/>
        <v>0.12857640000000001</v>
      </c>
      <c r="I52" s="13">
        <v>0</v>
      </c>
      <c r="J52" s="23"/>
      <c r="L52" s="19"/>
      <c r="M52" s="20"/>
      <c r="N52" s="21"/>
    </row>
    <row r="53" spans="1:22" ht="15.75" customHeight="1">
      <c r="A53" s="148" t="s">
        <v>132</v>
      </c>
      <c r="B53" s="149"/>
      <c r="C53" s="149"/>
      <c r="D53" s="149"/>
      <c r="E53" s="149"/>
      <c r="F53" s="149"/>
      <c r="G53" s="149"/>
      <c r="H53" s="149"/>
      <c r="I53" s="150"/>
      <c r="J53" s="23"/>
      <c r="L53" s="19"/>
      <c r="M53" s="20"/>
      <c r="N53" s="21"/>
    </row>
    <row r="54" spans="1:22" ht="15.75" customHeight="1">
      <c r="A54" s="29"/>
      <c r="B54" s="83" t="s">
        <v>41</v>
      </c>
      <c r="C54" s="62"/>
      <c r="D54" s="61"/>
      <c r="E54" s="63"/>
      <c r="F54" s="64"/>
      <c r="G54" s="64"/>
      <c r="H54" s="65"/>
      <c r="I54" s="13"/>
      <c r="J54" s="23"/>
      <c r="L54" s="19"/>
      <c r="M54" s="20"/>
      <c r="N54" s="21"/>
    </row>
    <row r="55" spans="1:22" ht="31.5" customHeight="1">
      <c r="A55" s="29">
        <v>11</v>
      </c>
      <c r="B55" s="61" t="s">
        <v>110</v>
      </c>
      <c r="C55" s="62" t="s">
        <v>85</v>
      </c>
      <c r="D55" s="61"/>
      <c r="E55" s="63">
        <v>63.07</v>
      </c>
      <c r="F55" s="64">
        <f>SUM(E55*6/100)</f>
        <v>3.7842000000000002</v>
      </c>
      <c r="G55" s="126">
        <v>2306.83</v>
      </c>
      <c r="H55" s="65">
        <f>SUM(F55*G55/1000)</f>
        <v>8.7295060859999989</v>
      </c>
      <c r="I55" s="13">
        <f>G55*0.16</f>
        <v>369.09280000000001</v>
      </c>
      <c r="J55" s="23"/>
      <c r="L55" s="19"/>
    </row>
    <row r="56" spans="1:22" ht="15.75" customHeight="1">
      <c r="A56" s="29"/>
      <c r="B56" s="84" t="s">
        <v>42</v>
      </c>
      <c r="C56" s="71"/>
      <c r="D56" s="72"/>
      <c r="E56" s="73"/>
      <c r="F56" s="74"/>
      <c r="G56" s="13"/>
      <c r="H56" s="75"/>
      <c r="I56" s="13"/>
    </row>
    <row r="57" spans="1:22" ht="15.75" hidden="1" customHeight="1">
      <c r="A57" s="29"/>
      <c r="B57" s="72" t="s">
        <v>130</v>
      </c>
      <c r="C57" s="71" t="s">
        <v>50</v>
      </c>
      <c r="D57" s="72" t="s">
        <v>51</v>
      </c>
      <c r="E57" s="73">
        <v>614.29999999999995</v>
      </c>
      <c r="F57" s="74">
        <v>6.1429999999999998</v>
      </c>
      <c r="G57" s="13">
        <v>902.66</v>
      </c>
      <c r="H57" s="75">
        <f>F57*G57/1000</f>
        <v>5.5450403799999997</v>
      </c>
      <c r="I57" s="13">
        <v>0</v>
      </c>
    </row>
    <row r="58" spans="1:22" ht="15.75" customHeight="1">
      <c r="A58" s="29">
        <v>12</v>
      </c>
      <c r="B58" s="97" t="s">
        <v>82</v>
      </c>
      <c r="C58" s="98" t="s">
        <v>25</v>
      </c>
      <c r="D58" s="97" t="s">
        <v>167</v>
      </c>
      <c r="E58" s="99">
        <v>100</v>
      </c>
      <c r="F58" s="100">
        <f>E58*12</f>
        <v>1200</v>
      </c>
      <c r="G58" s="101">
        <v>1.4</v>
      </c>
      <c r="H58" s="102">
        <f>F58*G58/1000</f>
        <v>1.68</v>
      </c>
      <c r="I58" s="13">
        <f>F58/12*G58</f>
        <v>140</v>
      </c>
    </row>
    <row r="59" spans="1:22" ht="15.75" hidden="1" customHeight="1">
      <c r="A59" s="29"/>
      <c r="B59" s="84" t="s">
        <v>43</v>
      </c>
      <c r="C59" s="71"/>
      <c r="D59" s="72"/>
      <c r="E59" s="73"/>
      <c r="F59" s="76"/>
      <c r="G59" s="76"/>
      <c r="H59" s="74" t="s">
        <v>128</v>
      </c>
      <c r="I59" s="1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20.25" hidden="1" customHeight="1">
      <c r="A60" s="29">
        <v>12</v>
      </c>
      <c r="B60" s="14" t="s">
        <v>44</v>
      </c>
      <c r="C60" s="16" t="s">
        <v>109</v>
      </c>
      <c r="D60" s="14" t="s">
        <v>161</v>
      </c>
      <c r="E60" s="18">
        <v>25</v>
      </c>
      <c r="F60" s="64">
        <v>25</v>
      </c>
      <c r="G60" s="13">
        <v>252.96</v>
      </c>
      <c r="H60" s="77">
        <f t="shared" ref="H60:H77" si="4">SUM(F60*G60/1000)</f>
        <v>6.3239999999999998</v>
      </c>
      <c r="I60" s="13">
        <f>G60*2</f>
        <v>505.92</v>
      </c>
      <c r="J60" s="25"/>
      <c r="K60" s="25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21" hidden="1" customHeight="1">
      <c r="A61" s="29"/>
      <c r="B61" s="14" t="s">
        <v>45</v>
      </c>
      <c r="C61" s="16" t="s">
        <v>109</v>
      </c>
      <c r="D61" s="14" t="s">
        <v>63</v>
      </c>
      <c r="E61" s="18">
        <v>2</v>
      </c>
      <c r="F61" s="64">
        <v>2</v>
      </c>
      <c r="G61" s="13">
        <v>86.74</v>
      </c>
      <c r="H61" s="77">
        <f t="shared" si="4"/>
        <v>0.17348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8.75" hidden="1" customHeight="1">
      <c r="A62" s="29"/>
      <c r="B62" s="14" t="s">
        <v>46</v>
      </c>
      <c r="C62" s="16" t="s">
        <v>112</v>
      </c>
      <c r="D62" s="14" t="s">
        <v>51</v>
      </c>
      <c r="E62" s="63">
        <v>8692</v>
      </c>
      <c r="F62" s="13">
        <f>SUM(E62/100)</f>
        <v>86.92</v>
      </c>
      <c r="G62" s="13">
        <v>241.31</v>
      </c>
      <c r="H62" s="77">
        <f t="shared" si="4"/>
        <v>20.9746652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46"/>
      <c r="S62" s="146"/>
      <c r="T62" s="146"/>
      <c r="U62" s="146"/>
    </row>
    <row r="63" spans="1:22" ht="19.5" hidden="1" customHeight="1">
      <c r="A63" s="29"/>
      <c r="B63" s="14" t="s">
        <v>47</v>
      </c>
      <c r="C63" s="16" t="s">
        <v>113</v>
      </c>
      <c r="D63" s="14"/>
      <c r="E63" s="63">
        <v>8692</v>
      </c>
      <c r="F63" s="13">
        <f>SUM(E63/1000)</f>
        <v>8.6920000000000002</v>
      </c>
      <c r="G63" s="13">
        <v>187.91</v>
      </c>
      <c r="H63" s="77">
        <f t="shared" si="4"/>
        <v>1.6333137200000001</v>
      </c>
      <c r="I63" s="13"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22.5" hidden="1" customHeight="1">
      <c r="A64" s="44"/>
      <c r="B64" s="14" t="s">
        <v>48</v>
      </c>
      <c r="C64" s="16" t="s">
        <v>73</v>
      </c>
      <c r="D64" s="14" t="s">
        <v>51</v>
      </c>
      <c r="E64" s="63">
        <v>855</v>
      </c>
      <c r="F64" s="13">
        <f>SUM(E64/100)</f>
        <v>8.5500000000000007</v>
      </c>
      <c r="G64" s="13">
        <v>2359.7199999999998</v>
      </c>
      <c r="H64" s="77">
        <f t="shared" si="4"/>
        <v>20.175605999999998</v>
      </c>
      <c r="I64" s="13">
        <v>0</v>
      </c>
    </row>
    <row r="65" spans="1:9" ht="21" hidden="1" customHeight="1">
      <c r="A65" s="29"/>
      <c r="B65" s="78" t="s">
        <v>114</v>
      </c>
      <c r="C65" s="16" t="s">
        <v>32</v>
      </c>
      <c r="D65" s="14"/>
      <c r="E65" s="63">
        <v>8.6</v>
      </c>
      <c r="F65" s="13">
        <f>SUM(E65)</f>
        <v>8.6</v>
      </c>
      <c r="G65" s="13">
        <v>42.67</v>
      </c>
      <c r="H65" s="77">
        <f t="shared" si="4"/>
        <v>0.36696200000000001</v>
      </c>
      <c r="I65" s="13">
        <v>0</v>
      </c>
    </row>
    <row r="66" spans="1:9" ht="18" hidden="1" customHeight="1">
      <c r="A66" s="29"/>
      <c r="B66" s="78" t="s">
        <v>115</v>
      </c>
      <c r="C66" s="16" t="s">
        <v>32</v>
      </c>
      <c r="D66" s="14"/>
      <c r="E66" s="63">
        <v>8.6</v>
      </c>
      <c r="F66" s="13">
        <f>SUM(E66)</f>
        <v>8.6</v>
      </c>
      <c r="G66" s="13">
        <v>39.81</v>
      </c>
      <c r="H66" s="77">
        <f t="shared" si="4"/>
        <v>0.342366</v>
      </c>
      <c r="I66" s="13">
        <v>0</v>
      </c>
    </row>
    <row r="67" spans="1:9" ht="18.75" hidden="1" customHeight="1">
      <c r="A67" s="29"/>
      <c r="B67" s="14" t="s">
        <v>54</v>
      </c>
      <c r="C67" s="16" t="s">
        <v>55</v>
      </c>
      <c r="D67" s="14" t="s">
        <v>51</v>
      </c>
      <c r="E67" s="18">
        <v>5</v>
      </c>
      <c r="F67" s="64">
        <v>5</v>
      </c>
      <c r="G67" s="13">
        <v>56.74</v>
      </c>
      <c r="H67" s="77">
        <f t="shared" si="4"/>
        <v>0.28370000000000001</v>
      </c>
      <c r="I67" s="13">
        <v>0</v>
      </c>
    </row>
    <row r="68" spans="1:9" ht="18.75" customHeight="1">
      <c r="A68" s="29"/>
      <c r="B68" s="121" t="s">
        <v>188</v>
      </c>
      <c r="C68" s="110"/>
      <c r="D68" s="35"/>
      <c r="E68" s="17"/>
      <c r="F68" s="101"/>
      <c r="G68" s="34"/>
      <c r="H68" s="77"/>
      <c r="I68" s="13"/>
    </row>
    <row r="69" spans="1:9" ht="34.5" customHeight="1">
      <c r="A69" s="29">
        <v>13</v>
      </c>
      <c r="B69" s="122" t="s">
        <v>189</v>
      </c>
      <c r="C69" s="104" t="s">
        <v>190</v>
      </c>
      <c r="D69" s="35"/>
      <c r="E69" s="17">
        <v>2177.1</v>
      </c>
      <c r="F69" s="34">
        <f>E69*12</f>
        <v>26125.199999999997</v>
      </c>
      <c r="G69" s="34">
        <v>2.6</v>
      </c>
      <c r="H69" s="77"/>
      <c r="I69" s="13">
        <f>G69*F69/12</f>
        <v>5660.4599999999991</v>
      </c>
    </row>
    <row r="70" spans="1:9" ht="15.75" customHeight="1">
      <c r="A70" s="29"/>
      <c r="B70" s="85" t="s">
        <v>68</v>
      </c>
      <c r="C70" s="16"/>
      <c r="D70" s="14"/>
      <c r="E70" s="18"/>
      <c r="F70" s="13"/>
      <c r="G70" s="13"/>
      <c r="H70" s="77" t="s">
        <v>128</v>
      </c>
      <c r="I70" s="13"/>
    </row>
    <row r="71" spans="1:9" ht="15.75" hidden="1" customHeight="1">
      <c r="A71" s="29"/>
      <c r="B71" s="14" t="s">
        <v>121</v>
      </c>
      <c r="C71" s="16" t="s">
        <v>122</v>
      </c>
      <c r="D71" s="14"/>
      <c r="E71" s="18">
        <v>4</v>
      </c>
      <c r="F71" s="13">
        <f>E71</f>
        <v>4</v>
      </c>
      <c r="G71" s="13">
        <v>113.57</v>
      </c>
      <c r="H71" s="77">
        <f t="shared" si="4"/>
        <v>0.45427999999999996</v>
      </c>
      <c r="I71" s="13">
        <v>0</v>
      </c>
    </row>
    <row r="72" spans="1:9" ht="15.75" customHeight="1">
      <c r="A72" s="29">
        <v>14</v>
      </c>
      <c r="B72" s="14" t="s">
        <v>69</v>
      </c>
      <c r="C72" s="16" t="s">
        <v>71</v>
      </c>
      <c r="D72" s="14" t="s">
        <v>204</v>
      </c>
      <c r="E72" s="18">
        <v>20</v>
      </c>
      <c r="F72" s="13">
        <v>2</v>
      </c>
      <c r="G72" s="126">
        <v>747.85</v>
      </c>
      <c r="H72" s="77">
        <f t="shared" si="4"/>
        <v>1.4957</v>
      </c>
      <c r="I72" s="13">
        <f>G72*1.7</f>
        <v>1271.345</v>
      </c>
    </row>
    <row r="73" spans="1:9" ht="15.75" hidden="1" customHeight="1">
      <c r="A73" s="29"/>
      <c r="B73" s="14" t="s">
        <v>70</v>
      </c>
      <c r="C73" s="16" t="s">
        <v>30</v>
      </c>
      <c r="D73" s="14"/>
      <c r="E73" s="18">
        <v>2</v>
      </c>
      <c r="F73" s="56">
        <v>2</v>
      </c>
      <c r="G73" s="13">
        <v>970.21</v>
      </c>
      <c r="H73" s="77">
        <f>F73*G73/1000</f>
        <v>1.94042</v>
      </c>
      <c r="I73" s="13">
        <v>0</v>
      </c>
    </row>
    <row r="74" spans="1:9" ht="14.25" hidden="1" customHeight="1">
      <c r="A74" s="29">
        <v>16</v>
      </c>
      <c r="B74" s="14" t="s">
        <v>80</v>
      </c>
      <c r="C74" s="16" t="s">
        <v>30</v>
      </c>
      <c r="D74" s="14"/>
      <c r="E74" s="18">
        <v>2</v>
      </c>
      <c r="F74" s="13">
        <v>2</v>
      </c>
      <c r="G74" s="13">
        <v>407.79</v>
      </c>
      <c r="H74" s="77">
        <f>G74*F74/1000</f>
        <v>0.81558000000000008</v>
      </c>
      <c r="I74" s="13">
        <f>G74*1</f>
        <v>407.79</v>
      </c>
    </row>
    <row r="75" spans="1:9" ht="30" customHeight="1">
      <c r="A75" s="29">
        <v>15</v>
      </c>
      <c r="B75" s="35" t="s">
        <v>187</v>
      </c>
      <c r="C75" s="110" t="s">
        <v>30</v>
      </c>
      <c r="D75" s="35" t="s">
        <v>166</v>
      </c>
      <c r="E75" s="17">
        <v>1</v>
      </c>
      <c r="F75" s="34">
        <v>1</v>
      </c>
      <c r="G75" s="34">
        <v>425</v>
      </c>
      <c r="H75" s="77"/>
      <c r="I75" s="13">
        <f>G75*1</f>
        <v>425</v>
      </c>
    </row>
    <row r="76" spans="1:9" ht="20.25" hidden="1" customHeight="1">
      <c r="A76" s="29"/>
      <c r="B76" s="80" t="s">
        <v>72</v>
      </c>
      <c r="C76" s="16"/>
      <c r="D76" s="14"/>
      <c r="E76" s="18"/>
      <c r="F76" s="13"/>
      <c r="G76" s="13" t="s">
        <v>128</v>
      </c>
      <c r="H76" s="77" t="s">
        <v>128</v>
      </c>
      <c r="I76" s="13"/>
    </row>
    <row r="77" spans="1:9" ht="20.25" hidden="1" customHeight="1">
      <c r="A77" s="29"/>
      <c r="B77" s="43" t="s">
        <v>118</v>
      </c>
      <c r="C77" s="16" t="s">
        <v>73</v>
      </c>
      <c r="D77" s="14"/>
      <c r="E77" s="18"/>
      <c r="F77" s="13">
        <v>1</v>
      </c>
      <c r="G77" s="13">
        <v>3138.63</v>
      </c>
      <c r="H77" s="77">
        <f t="shared" si="4"/>
        <v>3.13863</v>
      </c>
      <c r="I77" s="13">
        <v>0</v>
      </c>
    </row>
    <row r="78" spans="1:9" ht="15.75" customHeight="1">
      <c r="A78" s="29"/>
      <c r="B78" s="54" t="s">
        <v>116</v>
      </c>
      <c r="C78" s="80"/>
      <c r="D78" s="31"/>
      <c r="E78" s="32"/>
      <c r="F78" s="67"/>
      <c r="G78" s="67"/>
      <c r="H78" s="81">
        <f>SUM(H55:H77)</f>
        <v>74.073249385999986</v>
      </c>
      <c r="I78" s="67"/>
    </row>
    <row r="79" spans="1:9" ht="15.75" customHeight="1">
      <c r="A79" s="29">
        <v>16</v>
      </c>
      <c r="B79" s="61" t="s">
        <v>117</v>
      </c>
      <c r="C79" s="16"/>
      <c r="D79" s="14"/>
      <c r="E79" s="57"/>
      <c r="F79" s="13">
        <v>1</v>
      </c>
      <c r="G79" s="13">
        <v>3521</v>
      </c>
      <c r="H79" s="77">
        <f>G79*F79/1000</f>
        <v>3.5209999999999999</v>
      </c>
      <c r="I79" s="13">
        <f>G79*1</f>
        <v>3521</v>
      </c>
    </row>
    <row r="80" spans="1:9" ht="15.75" customHeight="1">
      <c r="A80" s="148" t="s">
        <v>133</v>
      </c>
      <c r="B80" s="149"/>
      <c r="C80" s="149"/>
      <c r="D80" s="149"/>
      <c r="E80" s="149"/>
      <c r="F80" s="149"/>
      <c r="G80" s="149"/>
      <c r="H80" s="149"/>
      <c r="I80" s="150"/>
    </row>
    <row r="81" spans="1:9" ht="15.75" customHeight="1">
      <c r="A81" s="29">
        <v>17</v>
      </c>
      <c r="B81" s="123" t="s">
        <v>119</v>
      </c>
      <c r="C81" s="110" t="s">
        <v>52</v>
      </c>
      <c r="D81" s="124"/>
      <c r="E81" s="34">
        <v>2177.1</v>
      </c>
      <c r="F81" s="34">
        <f>SUM(E81*12)</f>
        <v>26125.199999999997</v>
      </c>
      <c r="G81" s="34">
        <v>3.5</v>
      </c>
      <c r="H81" s="77">
        <f>SUM(F81*G81/1000)</f>
        <v>91.438199999999981</v>
      </c>
      <c r="I81" s="13">
        <f>F81/12*G81</f>
        <v>7619.8499999999995</v>
      </c>
    </row>
    <row r="82" spans="1:9" ht="31.5" customHeight="1">
      <c r="A82" s="29">
        <v>18</v>
      </c>
      <c r="B82" s="35" t="s">
        <v>191</v>
      </c>
      <c r="C82" s="110" t="s">
        <v>52</v>
      </c>
      <c r="D82" s="47"/>
      <c r="E82" s="99">
        <f>E81</f>
        <v>2177.1</v>
      </c>
      <c r="F82" s="34">
        <f>E82*12</f>
        <v>26125.199999999997</v>
      </c>
      <c r="G82" s="34">
        <v>3.24</v>
      </c>
      <c r="H82" s="77">
        <f>F82*G82/1000</f>
        <v>84.645647999999994</v>
      </c>
      <c r="I82" s="13">
        <f>F82/12*G82</f>
        <v>7053.8040000000001</v>
      </c>
    </row>
    <row r="83" spans="1:9" ht="15.75" customHeight="1">
      <c r="A83" s="29"/>
      <c r="B83" s="36" t="s">
        <v>75</v>
      </c>
      <c r="C83" s="80"/>
      <c r="D83" s="79"/>
      <c r="E83" s="67"/>
      <c r="F83" s="67"/>
      <c r="G83" s="67"/>
      <c r="H83" s="81">
        <f>H82</f>
        <v>84.645647999999994</v>
      </c>
      <c r="I83" s="67">
        <f>I82+I81++++I79+I75+I72+I69+I58+I55+I49+I43+I40+I39+I37+I36+I25+I18+I17+I16</f>
        <v>48628.116435649987</v>
      </c>
    </row>
    <row r="84" spans="1:9" ht="15.75" customHeight="1">
      <c r="A84" s="151" t="s">
        <v>57</v>
      </c>
      <c r="B84" s="152"/>
      <c r="C84" s="152"/>
      <c r="D84" s="152"/>
      <c r="E84" s="152"/>
      <c r="F84" s="152"/>
      <c r="G84" s="152"/>
      <c r="H84" s="152"/>
      <c r="I84" s="153"/>
    </row>
    <row r="85" spans="1:9" ht="34.5" customHeight="1">
      <c r="A85" s="29">
        <v>19</v>
      </c>
      <c r="B85" s="103" t="s">
        <v>172</v>
      </c>
      <c r="C85" s="104" t="s">
        <v>173</v>
      </c>
      <c r="D85" s="47"/>
      <c r="E85" s="34"/>
      <c r="F85" s="34">
        <v>0.4</v>
      </c>
      <c r="G85" s="34">
        <v>1948.52</v>
      </c>
      <c r="H85" s="77"/>
      <c r="I85" s="82">
        <f>G85*0.4</f>
        <v>779.40800000000002</v>
      </c>
    </row>
    <row r="86" spans="1:9" ht="21.75" customHeight="1">
      <c r="A86" s="29">
        <v>20</v>
      </c>
      <c r="B86" s="95" t="s">
        <v>174</v>
      </c>
      <c r="C86" s="48" t="s">
        <v>175</v>
      </c>
      <c r="D86" s="47"/>
      <c r="E86" s="34"/>
      <c r="F86" s="34">
        <v>2</v>
      </c>
      <c r="G86" s="34">
        <v>960.81</v>
      </c>
      <c r="H86" s="77"/>
      <c r="I86" s="13">
        <f>G86*2</f>
        <v>1921.62</v>
      </c>
    </row>
    <row r="87" spans="1:9" ht="40.5" customHeight="1">
      <c r="A87" s="29">
        <v>21</v>
      </c>
      <c r="B87" s="95" t="s">
        <v>156</v>
      </c>
      <c r="C87" s="48" t="s">
        <v>36</v>
      </c>
      <c r="D87" s="47" t="s">
        <v>166</v>
      </c>
      <c r="E87" s="34"/>
      <c r="F87" s="34">
        <v>0.01</v>
      </c>
      <c r="G87" s="34">
        <v>4233.72</v>
      </c>
      <c r="H87" s="77"/>
      <c r="I87" s="82">
        <v>0</v>
      </c>
    </row>
    <row r="88" spans="1:9" ht="15.75" customHeight="1">
      <c r="A88" s="29">
        <v>22</v>
      </c>
      <c r="B88" s="95" t="s">
        <v>157</v>
      </c>
      <c r="C88" s="48" t="s">
        <v>109</v>
      </c>
      <c r="D88" s="47"/>
      <c r="E88" s="34"/>
      <c r="F88" s="34">
        <v>1</v>
      </c>
      <c r="G88" s="34">
        <v>725.12</v>
      </c>
      <c r="H88" s="77"/>
      <c r="I88" s="82">
        <f>G88*1</f>
        <v>725.12</v>
      </c>
    </row>
    <row r="89" spans="1:9" ht="15.75" customHeight="1">
      <c r="A89" s="29">
        <v>23</v>
      </c>
      <c r="B89" s="95" t="s">
        <v>177</v>
      </c>
      <c r="C89" s="48" t="s">
        <v>178</v>
      </c>
      <c r="D89" s="47" t="s">
        <v>203</v>
      </c>
      <c r="E89" s="34"/>
      <c r="F89" s="34">
        <v>1</v>
      </c>
      <c r="G89" s="34">
        <v>231.54</v>
      </c>
      <c r="H89" s="77"/>
      <c r="I89" s="82">
        <f>G89*1</f>
        <v>231.54</v>
      </c>
    </row>
    <row r="90" spans="1:9" ht="34.5" customHeight="1">
      <c r="A90" s="29">
        <v>24</v>
      </c>
      <c r="B90" s="95" t="s">
        <v>201</v>
      </c>
      <c r="C90" s="48" t="s">
        <v>149</v>
      </c>
      <c r="D90" s="35" t="s">
        <v>202</v>
      </c>
      <c r="E90" s="34"/>
      <c r="F90" s="34">
        <v>3</v>
      </c>
      <c r="G90" s="34">
        <v>1504.51</v>
      </c>
      <c r="H90" s="77"/>
      <c r="I90" s="82">
        <f>G90*3</f>
        <v>4513.53</v>
      </c>
    </row>
    <row r="91" spans="1:9" ht="19.5" customHeight="1">
      <c r="A91" s="29">
        <v>25</v>
      </c>
      <c r="B91" s="95" t="s">
        <v>76</v>
      </c>
      <c r="C91" s="48" t="s">
        <v>109</v>
      </c>
      <c r="D91" s="47"/>
      <c r="E91" s="34"/>
      <c r="F91" s="34">
        <v>2</v>
      </c>
      <c r="G91" s="34">
        <v>224.48</v>
      </c>
      <c r="H91" s="77"/>
      <c r="I91" s="82">
        <f>G91*2</f>
        <v>448.96</v>
      </c>
    </row>
    <row r="92" spans="1:9" ht="15.75" customHeight="1">
      <c r="A92" s="29"/>
      <c r="B92" s="41" t="s">
        <v>49</v>
      </c>
      <c r="C92" s="37"/>
      <c r="D92" s="45"/>
      <c r="E92" s="37">
        <v>1</v>
      </c>
      <c r="F92" s="37"/>
      <c r="G92" s="37"/>
      <c r="H92" s="37"/>
      <c r="I92" s="32">
        <f>SUM(I85:I91)</f>
        <v>8620.1779999999981</v>
      </c>
    </row>
    <row r="93" spans="1:9" ht="15.75" customHeight="1">
      <c r="A93" s="29"/>
      <c r="B93" s="43" t="s">
        <v>74</v>
      </c>
      <c r="C93" s="15"/>
      <c r="D93" s="15"/>
      <c r="E93" s="38"/>
      <c r="F93" s="38"/>
      <c r="G93" s="39"/>
      <c r="H93" s="39"/>
      <c r="I93" s="17">
        <v>0</v>
      </c>
    </row>
    <row r="94" spans="1:9" ht="15.75" customHeight="1">
      <c r="A94" s="46"/>
      <c r="B94" s="42" t="s">
        <v>147</v>
      </c>
      <c r="C94" s="33"/>
      <c r="D94" s="33"/>
      <c r="E94" s="33"/>
      <c r="F94" s="33"/>
      <c r="G94" s="33"/>
      <c r="H94" s="33"/>
      <c r="I94" s="40">
        <f>I83+I92</f>
        <v>57248.294435649987</v>
      </c>
    </row>
    <row r="95" spans="1:9" ht="15.75">
      <c r="A95" s="147" t="s">
        <v>205</v>
      </c>
      <c r="B95" s="147"/>
      <c r="C95" s="147"/>
      <c r="D95" s="147"/>
      <c r="E95" s="147"/>
      <c r="F95" s="147"/>
      <c r="G95" s="147"/>
      <c r="H95" s="147"/>
      <c r="I95" s="147"/>
    </row>
    <row r="96" spans="1:9" ht="15.75">
      <c r="A96" s="55"/>
      <c r="B96" s="159" t="s">
        <v>206</v>
      </c>
      <c r="C96" s="159"/>
      <c r="D96" s="159"/>
      <c r="E96" s="159"/>
      <c r="F96" s="159"/>
      <c r="G96" s="159"/>
      <c r="H96" s="60"/>
      <c r="I96" s="3"/>
    </row>
    <row r="97" spans="1:9">
      <c r="A97" s="52"/>
      <c r="B97" s="156" t="s">
        <v>6</v>
      </c>
      <c r="C97" s="156"/>
      <c r="D97" s="156"/>
      <c r="E97" s="156"/>
      <c r="F97" s="156"/>
      <c r="G97" s="156"/>
      <c r="H97" s="24"/>
      <c r="I97" s="5"/>
    </row>
    <row r="98" spans="1:9" ht="8.2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0" t="s">
        <v>7</v>
      </c>
      <c r="B99" s="160"/>
      <c r="C99" s="160"/>
      <c r="D99" s="160"/>
      <c r="E99" s="160"/>
      <c r="F99" s="160"/>
      <c r="G99" s="160"/>
      <c r="H99" s="160"/>
      <c r="I99" s="160"/>
    </row>
    <row r="100" spans="1:9" ht="15.75">
      <c r="A100" s="160" t="s">
        <v>8</v>
      </c>
      <c r="B100" s="160"/>
      <c r="C100" s="160"/>
      <c r="D100" s="160"/>
      <c r="E100" s="160"/>
      <c r="F100" s="160"/>
      <c r="G100" s="160"/>
      <c r="H100" s="160"/>
      <c r="I100" s="160"/>
    </row>
    <row r="101" spans="1:9" ht="15.75">
      <c r="A101" s="143" t="s">
        <v>58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>
      <c r="A102" s="11"/>
    </row>
    <row r="103" spans="1:9" ht="15.75">
      <c r="A103" s="144" t="s">
        <v>9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4"/>
    </row>
    <row r="105" spans="1:9" ht="15.75">
      <c r="B105" s="50" t="s">
        <v>10</v>
      </c>
      <c r="C105" s="155" t="s">
        <v>183</v>
      </c>
      <c r="D105" s="155"/>
      <c r="E105" s="155"/>
      <c r="F105" s="58"/>
      <c r="I105" s="51"/>
    </row>
    <row r="106" spans="1:9">
      <c r="A106" s="52"/>
      <c r="C106" s="156" t="s">
        <v>11</v>
      </c>
      <c r="D106" s="156"/>
      <c r="E106" s="156"/>
      <c r="F106" s="24"/>
      <c r="I106" s="49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0" t="s">
        <v>13</v>
      </c>
      <c r="C108" s="157"/>
      <c r="D108" s="157"/>
      <c r="E108" s="157"/>
      <c r="F108" s="59"/>
      <c r="I108" s="51"/>
    </row>
    <row r="109" spans="1:9">
      <c r="A109" s="52"/>
      <c r="C109" s="146" t="s">
        <v>11</v>
      </c>
      <c r="D109" s="146"/>
      <c r="E109" s="146"/>
      <c r="F109" s="52"/>
      <c r="I109" s="49" t="s">
        <v>12</v>
      </c>
    </row>
    <row r="110" spans="1:9" ht="15.75">
      <c r="A110" s="4" t="s">
        <v>14</v>
      </c>
    </row>
    <row r="111" spans="1:9">
      <c r="A111" s="158" t="s">
        <v>15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45" customHeight="1">
      <c r="A112" s="154" t="s">
        <v>16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30" customHeight="1">
      <c r="A113" s="154" t="s">
        <v>17</v>
      </c>
      <c r="B113" s="154"/>
      <c r="C113" s="154"/>
      <c r="D113" s="154"/>
      <c r="E113" s="154"/>
      <c r="F113" s="154"/>
      <c r="G113" s="154"/>
      <c r="H113" s="154"/>
      <c r="I113" s="154"/>
    </row>
    <row r="114" spans="1:9" ht="30" customHeight="1">
      <c r="A114" s="154" t="s">
        <v>21</v>
      </c>
      <c r="B114" s="154"/>
      <c r="C114" s="154"/>
      <c r="D114" s="154"/>
      <c r="E114" s="154"/>
      <c r="F114" s="154"/>
      <c r="G114" s="154"/>
      <c r="H114" s="154"/>
      <c r="I114" s="154"/>
    </row>
    <row r="115" spans="1:9" ht="15" customHeight="1">
      <c r="A115" s="154" t="s">
        <v>20</v>
      </c>
      <c r="B115" s="154"/>
      <c r="C115" s="154"/>
      <c r="D115" s="154"/>
      <c r="E115" s="154"/>
      <c r="F115" s="154"/>
      <c r="G115" s="154"/>
      <c r="H115" s="154"/>
      <c r="I115" s="154"/>
    </row>
  </sheetData>
  <autoFilter ref="I12:I57"/>
  <mergeCells count="29">
    <mergeCell ref="A113:I113"/>
    <mergeCell ref="A114:I114"/>
    <mergeCell ref="A115:I115"/>
    <mergeCell ref="A26:I26"/>
    <mergeCell ref="A44:I44"/>
    <mergeCell ref="A53:I53"/>
    <mergeCell ref="C105:E105"/>
    <mergeCell ref="C106:E106"/>
    <mergeCell ref="C108:E108"/>
    <mergeCell ref="C109:E109"/>
    <mergeCell ref="A111:I111"/>
    <mergeCell ref="A112:I112"/>
    <mergeCell ref="B96:G96"/>
    <mergeCell ref="B97:G97"/>
    <mergeCell ref="A99:I99"/>
    <mergeCell ref="A100:I100"/>
    <mergeCell ref="A101:I101"/>
    <mergeCell ref="A103:I103"/>
    <mergeCell ref="A15:I15"/>
    <mergeCell ref="R62:U62"/>
    <mergeCell ref="A95:I95"/>
    <mergeCell ref="A80:I80"/>
    <mergeCell ref="A84:I8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70" zoomScale="60" zoomScaleNormal="100"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136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207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 t="s">
        <v>208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10.81</v>
      </c>
      <c r="H25" s="65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69" t="s">
        <v>23</v>
      </c>
      <c r="C26" s="62" t="s">
        <v>24</v>
      </c>
      <c r="D26" s="61"/>
      <c r="E26" s="63">
        <v>2177.1</v>
      </c>
      <c r="F26" s="64">
        <f>SUM(E26*12)</f>
        <v>26125.199999999997</v>
      </c>
      <c r="G26" s="64">
        <v>5.15</v>
      </c>
      <c r="H26" s="65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48" t="s">
        <v>78</v>
      </c>
      <c r="B27" s="149"/>
      <c r="C27" s="149"/>
      <c r="D27" s="149"/>
      <c r="E27" s="149"/>
      <c r="F27" s="149"/>
      <c r="G27" s="149"/>
      <c r="H27" s="149"/>
      <c r="I27" s="150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2"/>
      <c r="D28" s="61"/>
      <c r="E28" s="63"/>
      <c r="F28" s="64"/>
      <c r="G28" s="64"/>
      <c r="H28" s="65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1" t="s">
        <v>94</v>
      </c>
      <c r="C29" s="62" t="s">
        <v>124</v>
      </c>
      <c r="D29" s="61" t="s">
        <v>125</v>
      </c>
      <c r="E29" s="64">
        <v>2497.6999999999998</v>
      </c>
      <c r="F29" s="64">
        <f>SUM(E29*52/1000)</f>
        <v>129.88039999999998</v>
      </c>
      <c r="G29" s="64">
        <v>177.3</v>
      </c>
      <c r="H29" s="65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1" t="s">
        <v>134</v>
      </c>
      <c r="C30" s="62" t="s">
        <v>95</v>
      </c>
      <c r="D30" s="61" t="s">
        <v>126</v>
      </c>
      <c r="E30" s="64">
        <v>266.37</v>
      </c>
      <c r="F30" s="64">
        <f>SUM(E30*78/1000)</f>
        <v>20.776859999999999</v>
      </c>
      <c r="G30" s="64">
        <v>297.17</v>
      </c>
      <c r="H30" s="65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27</v>
      </c>
      <c r="C31" s="62" t="s">
        <v>95</v>
      </c>
      <c r="D31" s="61" t="s">
        <v>51</v>
      </c>
      <c r="E31" s="64">
        <v>2497.6999999999998</v>
      </c>
      <c r="F31" s="64">
        <f>SUM(E31/1000)</f>
        <v>2.4977</v>
      </c>
      <c r="G31" s="64">
        <v>3435.36</v>
      </c>
      <c r="H31" s="65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1" t="s">
        <v>98</v>
      </c>
      <c r="C32" s="62" t="s">
        <v>38</v>
      </c>
      <c r="D32" s="61" t="s">
        <v>60</v>
      </c>
      <c r="E32" s="64">
        <v>2</v>
      </c>
      <c r="F32" s="64">
        <v>3.1</v>
      </c>
      <c r="G32" s="64">
        <v>1480.94</v>
      </c>
      <c r="H32" s="65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1" t="s">
        <v>99</v>
      </c>
      <c r="C33" s="62" t="s">
        <v>30</v>
      </c>
      <c r="D33" s="61" t="s">
        <v>60</v>
      </c>
      <c r="E33" s="68">
        <v>0.33333333333333331</v>
      </c>
      <c r="F33" s="64">
        <f>155/3</f>
        <v>51.666666666666664</v>
      </c>
      <c r="G33" s="64">
        <v>64.48</v>
      </c>
      <c r="H33" s="65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1" t="s">
        <v>61</v>
      </c>
      <c r="C34" s="62" t="s">
        <v>32</v>
      </c>
      <c r="D34" s="61" t="s">
        <v>127</v>
      </c>
      <c r="E34" s="63"/>
      <c r="F34" s="64">
        <v>2</v>
      </c>
      <c r="G34" s="64">
        <v>217.61</v>
      </c>
      <c r="H34" s="65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1" t="s">
        <v>62</v>
      </c>
      <c r="C35" s="62" t="s">
        <v>31</v>
      </c>
      <c r="D35" s="61" t="s">
        <v>127</v>
      </c>
      <c r="E35" s="63"/>
      <c r="F35" s="64">
        <v>1</v>
      </c>
      <c r="G35" s="64">
        <v>1292.47</v>
      </c>
      <c r="H35" s="65">
        <f t="shared" si="1"/>
        <v>1.29247</v>
      </c>
      <c r="I35" s="13">
        <v>0</v>
      </c>
      <c r="J35" s="23"/>
    </row>
    <row r="36" spans="1:14" ht="15.75" customHeight="1">
      <c r="A36" s="70"/>
      <c r="B36" s="83" t="s">
        <v>5</v>
      </c>
      <c r="C36" s="62"/>
      <c r="D36" s="61"/>
      <c r="E36" s="63"/>
      <c r="F36" s="64"/>
      <c r="G36" s="64"/>
      <c r="H36" s="65" t="s">
        <v>128</v>
      </c>
      <c r="I36" s="13"/>
      <c r="J36" s="23"/>
    </row>
    <row r="37" spans="1:14" ht="15" customHeight="1">
      <c r="A37" s="70">
        <v>5</v>
      </c>
      <c r="B37" s="61" t="s">
        <v>26</v>
      </c>
      <c r="C37" s="62" t="s">
        <v>31</v>
      </c>
      <c r="D37" s="61" t="s">
        <v>209</v>
      </c>
      <c r="E37" s="63"/>
      <c r="F37" s="64">
        <v>6</v>
      </c>
      <c r="G37" s="125">
        <v>1930</v>
      </c>
      <c r="H37" s="65">
        <f>SUM(F37*G37/1000)</f>
        <v>11.58</v>
      </c>
      <c r="I37" s="13">
        <f>G37*1</f>
        <v>1930</v>
      </c>
      <c r="J37" s="23"/>
    </row>
    <row r="38" spans="1:14" ht="15.75" customHeight="1">
      <c r="A38" s="70">
        <v>6</v>
      </c>
      <c r="B38" s="116" t="s">
        <v>100</v>
      </c>
      <c r="C38" s="117" t="s">
        <v>29</v>
      </c>
      <c r="D38" s="105" t="s">
        <v>163</v>
      </c>
      <c r="E38" s="115">
        <v>48.36</v>
      </c>
      <c r="F38" s="118">
        <f>E38*30/1000</f>
        <v>1.4507999999999999</v>
      </c>
      <c r="G38" s="108">
        <v>3134.93</v>
      </c>
      <c r="H38" s="65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0">
        <v>8</v>
      </c>
      <c r="B39" s="105" t="s">
        <v>101</v>
      </c>
      <c r="C39" s="106" t="s">
        <v>102</v>
      </c>
      <c r="D39" s="105" t="s">
        <v>127</v>
      </c>
      <c r="E39" s="115"/>
      <c r="F39" s="118">
        <v>39</v>
      </c>
      <c r="G39" s="108">
        <v>330</v>
      </c>
      <c r="H39" s="65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0">
        <v>7</v>
      </c>
      <c r="B40" s="105" t="s">
        <v>64</v>
      </c>
      <c r="C40" s="106" t="s">
        <v>29</v>
      </c>
      <c r="D40" s="105" t="s">
        <v>164</v>
      </c>
      <c r="E40" s="108">
        <v>53.69</v>
      </c>
      <c r="F40" s="118">
        <f>SUM(E40*155/1000)</f>
        <v>8.3219499999999993</v>
      </c>
      <c r="G40" s="108">
        <v>522.92999999999995</v>
      </c>
      <c r="H40" s="65">
        <f t="shared" ref="H40:H43" si="2">SUM(F40*G40/1000)</f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47.25" customHeight="1">
      <c r="A41" s="70">
        <v>8</v>
      </c>
      <c r="B41" s="105" t="s">
        <v>77</v>
      </c>
      <c r="C41" s="106" t="s">
        <v>95</v>
      </c>
      <c r="D41" s="105" t="s">
        <v>165</v>
      </c>
      <c r="E41" s="108">
        <v>23.93</v>
      </c>
      <c r="F41" s="118">
        <f>SUM(E41*24/1000)</f>
        <v>0.57431999999999994</v>
      </c>
      <c r="G41" s="108">
        <v>8652.07</v>
      </c>
      <c r="H41" s="65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hidden="1" customHeight="1">
      <c r="A42" s="29">
        <v>8</v>
      </c>
      <c r="B42" s="105" t="s">
        <v>105</v>
      </c>
      <c r="C42" s="106" t="s">
        <v>95</v>
      </c>
      <c r="D42" s="105" t="s">
        <v>65</v>
      </c>
      <c r="E42" s="108">
        <v>48.36</v>
      </c>
      <c r="F42" s="118">
        <f>SUM(E42*45/1000)</f>
        <v>2.1761999999999997</v>
      </c>
      <c r="G42" s="108">
        <v>639.14</v>
      </c>
      <c r="H42" s="65">
        <f t="shared" si="2"/>
        <v>1.3908964679999998</v>
      </c>
      <c r="I42" s="13">
        <f>F42/7.5*G42</f>
        <v>185.45286239999999</v>
      </c>
      <c r="J42" s="23"/>
      <c r="L42" s="19"/>
      <c r="M42" s="20"/>
      <c r="N42" s="21"/>
    </row>
    <row r="43" spans="1:14" ht="15.75" hidden="1" customHeight="1">
      <c r="A43" s="29">
        <v>9</v>
      </c>
      <c r="B43" s="116" t="s">
        <v>66</v>
      </c>
      <c r="C43" s="117" t="s">
        <v>32</v>
      </c>
      <c r="D43" s="116"/>
      <c r="E43" s="119"/>
      <c r="F43" s="118">
        <v>0.9</v>
      </c>
      <c r="G43" s="118">
        <v>900</v>
      </c>
      <c r="H43" s="65">
        <f t="shared" si="2"/>
        <v>0.81</v>
      </c>
      <c r="I43" s="13">
        <f>F43/7.5*G43</f>
        <v>108.00000000000001</v>
      </c>
      <c r="J43" s="23"/>
      <c r="L43" s="19"/>
      <c r="M43" s="20"/>
      <c r="N43" s="21"/>
    </row>
    <row r="44" spans="1:14" ht="37.5" customHeight="1">
      <c r="A44" s="29">
        <v>9</v>
      </c>
      <c r="B44" s="120" t="s">
        <v>186</v>
      </c>
      <c r="C44" s="117" t="s">
        <v>29</v>
      </c>
      <c r="D44" s="116" t="s">
        <v>196</v>
      </c>
      <c r="E44" s="119">
        <v>0.6</v>
      </c>
      <c r="F44" s="118">
        <f>E44*12/1000</f>
        <v>7.1999999999999989E-3</v>
      </c>
      <c r="G44" s="118">
        <v>20547.34</v>
      </c>
      <c r="H44" s="56"/>
      <c r="I44" s="13">
        <f>G44*F44/6</f>
        <v>24.656807999999998</v>
      </c>
      <c r="J44" s="23"/>
      <c r="L44" s="19"/>
      <c r="M44" s="20"/>
      <c r="N44" s="21"/>
    </row>
    <row r="45" spans="1:14" ht="15.75" customHeight="1">
      <c r="A45" s="148" t="s">
        <v>131</v>
      </c>
      <c r="B45" s="149"/>
      <c r="C45" s="149"/>
      <c r="D45" s="149"/>
      <c r="E45" s="149"/>
      <c r="F45" s="149"/>
      <c r="G45" s="149"/>
      <c r="H45" s="149"/>
      <c r="I45" s="150"/>
      <c r="J45" s="23"/>
      <c r="L45" s="19"/>
      <c r="M45" s="20"/>
      <c r="N45" s="21"/>
    </row>
    <row r="46" spans="1:14" ht="15.75" hidden="1" customHeight="1">
      <c r="A46" s="29"/>
      <c r="B46" s="61" t="s">
        <v>106</v>
      </c>
      <c r="C46" s="62" t="s">
        <v>95</v>
      </c>
      <c r="D46" s="61" t="s">
        <v>40</v>
      </c>
      <c r="E46" s="63">
        <v>614.29999999999995</v>
      </c>
      <c r="F46" s="64">
        <f>SUM(E46*2/1000)</f>
        <v>1.2285999999999999</v>
      </c>
      <c r="G46" s="13">
        <v>1094.96</v>
      </c>
      <c r="H46" s="65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33</v>
      </c>
      <c r="C47" s="62" t="s">
        <v>95</v>
      </c>
      <c r="D47" s="61" t="s">
        <v>40</v>
      </c>
      <c r="E47" s="63">
        <v>61</v>
      </c>
      <c r="F47" s="64">
        <f>E47*2/1000</f>
        <v>0.122</v>
      </c>
      <c r="G47" s="13">
        <v>3832.4</v>
      </c>
      <c r="H47" s="65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34</v>
      </c>
      <c r="C48" s="62" t="s">
        <v>95</v>
      </c>
      <c r="D48" s="61" t="s">
        <v>40</v>
      </c>
      <c r="E48" s="63">
        <v>3135.64</v>
      </c>
      <c r="F48" s="64">
        <f>SUM(E48*2/1000)</f>
        <v>6.27128</v>
      </c>
      <c r="G48" s="13">
        <v>1564.24</v>
      </c>
      <c r="H48" s="65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35</v>
      </c>
      <c r="C49" s="62" t="s">
        <v>95</v>
      </c>
      <c r="D49" s="61" t="s">
        <v>40</v>
      </c>
      <c r="E49" s="63">
        <v>1678.47</v>
      </c>
      <c r="F49" s="64">
        <f>SUM(E49*2/1000)</f>
        <v>3.3569400000000003</v>
      </c>
      <c r="G49" s="13">
        <v>1078.3599999999999</v>
      </c>
      <c r="H49" s="65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15.75" customHeight="1">
      <c r="A50" s="29">
        <v>10</v>
      </c>
      <c r="B50" s="61" t="s">
        <v>53</v>
      </c>
      <c r="C50" s="62" t="s">
        <v>95</v>
      </c>
      <c r="D50" s="61" t="s">
        <v>166</v>
      </c>
      <c r="E50" s="63">
        <v>614.29999999999995</v>
      </c>
      <c r="F50" s="64">
        <f>SUM(E50*5/1000)</f>
        <v>3.0714999999999999</v>
      </c>
      <c r="G50" s="126">
        <v>1809.27</v>
      </c>
      <c r="H50" s="65">
        <f t="shared" si="3"/>
        <v>5.5571728050000004</v>
      </c>
      <c r="I50" s="13">
        <f>F50/5*G50</f>
        <v>1111.4345609999998</v>
      </c>
      <c r="J50" s="23"/>
      <c r="L50" s="19"/>
      <c r="M50" s="20"/>
      <c r="N50" s="21"/>
    </row>
    <row r="51" spans="1:22" ht="31.5" hidden="1" customHeight="1">
      <c r="A51" s="29"/>
      <c r="B51" s="61" t="s">
        <v>107</v>
      </c>
      <c r="C51" s="62" t="s">
        <v>95</v>
      </c>
      <c r="D51" s="61" t="s">
        <v>40</v>
      </c>
      <c r="E51" s="63">
        <v>614.29999999999995</v>
      </c>
      <c r="F51" s="64">
        <f>SUM(E51*2/1000)</f>
        <v>1.2285999999999999</v>
      </c>
      <c r="G51" s="13">
        <v>1380.31</v>
      </c>
      <c r="H51" s="65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44"/>
      <c r="B52" s="61" t="s">
        <v>108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13">
        <v>3519.56</v>
      </c>
      <c r="H52" s="65">
        <f t="shared" si="3"/>
        <v>1.407824</v>
      </c>
      <c r="I52" s="13">
        <v>0</v>
      </c>
      <c r="J52" s="23"/>
      <c r="L52" s="19"/>
      <c r="M52" s="20"/>
      <c r="N52" s="21"/>
    </row>
    <row r="53" spans="1:22" ht="21.75" hidden="1" customHeight="1">
      <c r="A53" s="29"/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13">
        <v>6428.82</v>
      </c>
      <c r="H53" s="65">
        <f t="shared" si="3"/>
        <v>0.12857640000000001</v>
      </c>
      <c r="I53" s="13">
        <v>0</v>
      </c>
      <c r="J53" s="23"/>
      <c r="L53" s="19"/>
      <c r="M53" s="20"/>
      <c r="N53" s="21"/>
    </row>
    <row r="54" spans="1:22" ht="19.5" hidden="1" customHeight="1">
      <c r="A54" s="29">
        <v>11</v>
      </c>
      <c r="B54" s="61" t="s">
        <v>39</v>
      </c>
      <c r="C54" s="62" t="s">
        <v>109</v>
      </c>
      <c r="D54" s="109">
        <v>43524</v>
      </c>
      <c r="E54" s="63">
        <v>170</v>
      </c>
      <c r="F54" s="64">
        <f>SUM(E54)*3</f>
        <v>510</v>
      </c>
      <c r="G54" s="13">
        <v>74.709999999999994</v>
      </c>
      <c r="H54" s="65">
        <f t="shared" si="3"/>
        <v>38.1021</v>
      </c>
      <c r="I54" s="13">
        <f>G54*E54</f>
        <v>12700.699999999999</v>
      </c>
      <c r="J54" s="23"/>
      <c r="L54" s="19"/>
      <c r="M54" s="20"/>
      <c r="N54" s="21"/>
    </row>
    <row r="55" spans="1:22" ht="15.75" customHeight="1">
      <c r="A55" s="148" t="s">
        <v>132</v>
      </c>
      <c r="B55" s="149"/>
      <c r="C55" s="149"/>
      <c r="D55" s="149"/>
      <c r="E55" s="149"/>
      <c r="F55" s="149"/>
      <c r="G55" s="149"/>
      <c r="H55" s="149"/>
      <c r="I55" s="150"/>
      <c r="J55" s="23"/>
      <c r="L55" s="19"/>
      <c r="M55" s="20"/>
      <c r="N55" s="21"/>
    </row>
    <row r="56" spans="1:22" ht="15.75" customHeight="1">
      <c r="A56" s="29"/>
      <c r="B56" s="83" t="s">
        <v>41</v>
      </c>
      <c r="C56" s="62"/>
      <c r="D56" s="61"/>
      <c r="E56" s="63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11</v>
      </c>
      <c r="B57" s="61" t="s">
        <v>110</v>
      </c>
      <c r="C57" s="62" t="s">
        <v>85</v>
      </c>
      <c r="D57" s="61"/>
      <c r="E57" s="63">
        <v>63.07</v>
      </c>
      <c r="F57" s="64">
        <f>SUM(E57*6/100)</f>
        <v>3.7842000000000002</v>
      </c>
      <c r="G57" s="126">
        <v>2306.83</v>
      </c>
      <c r="H57" s="65">
        <f>SUM(F57*G57/1000)</f>
        <v>8.7295060859999989</v>
      </c>
      <c r="I57" s="13">
        <f>G57*0.6307</f>
        <v>1454.9176810000001</v>
      </c>
      <c r="J57" s="23"/>
      <c r="L57" s="19"/>
    </row>
    <row r="58" spans="1:22" ht="15.75" customHeight="1">
      <c r="A58" s="29"/>
      <c r="B58" s="84" t="s">
        <v>42</v>
      </c>
      <c r="C58" s="71"/>
      <c r="D58" s="72"/>
      <c r="E58" s="73"/>
      <c r="F58" s="74"/>
      <c r="G58" s="13"/>
      <c r="H58" s="75"/>
      <c r="I58" s="13"/>
    </row>
    <row r="59" spans="1:22" ht="15.75" hidden="1" customHeight="1">
      <c r="A59" s="29"/>
      <c r="B59" s="72" t="s">
        <v>130</v>
      </c>
      <c r="C59" s="71" t="s">
        <v>50</v>
      </c>
      <c r="D59" s="72" t="s">
        <v>51</v>
      </c>
      <c r="E59" s="73">
        <v>614.29999999999995</v>
      </c>
      <c r="F59" s="74">
        <v>6.1429999999999998</v>
      </c>
      <c r="G59" s="13">
        <v>902.66</v>
      </c>
      <c r="H59" s="75">
        <f>F59*G59/1000</f>
        <v>5.5450403799999997</v>
      </c>
      <c r="I59" s="13">
        <v>0</v>
      </c>
    </row>
    <row r="60" spans="1:22" ht="15.75" customHeight="1">
      <c r="A60" s="29">
        <v>12</v>
      </c>
      <c r="B60" s="97" t="s">
        <v>82</v>
      </c>
      <c r="C60" s="98" t="s">
        <v>25</v>
      </c>
      <c r="D60" s="97" t="s">
        <v>167</v>
      </c>
      <c r="E60" s="99">
        <v>100</v>
      </c>
      <c r="F60" s="100">
        <f>E60*12</f>
        <v>1200</v>
      </c>
      <c r="G60" s="101">
        <v>1.4</v>
      </c>
      <c r="H60" s="102">
        <f>F60*G60/1000</f>
        <v>1.68</v>
      </c>
      <c r="I60" s="13">
        <f>F60/12*G60</f>
        <v>140</v>
      </c>
    </row>
    <row r="61" spans="1:22" ht="15.75" hidden="1" customHeight="1">
      <c r="A61" s="29"/>
      <c r="B61" s="84" t="s">
        <v>43</v>
      </c>
      <c r="C61" s="71"/>
      <c r="D61" s="72"/>
      <c r="E61" s="73"/>
      <c r="F61" s="76"/>
      <c r="G61" s="76"/>
      <c r="H61" s="74" t="s">
        <v>128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15</v>
      </c>
      <c r="B62" s="14" t="s">
        <v>44</v>
      </c>
      <c r="C62" s="16" t="s">
        <v>109</v>
      </c>
      <c r="D62" s="14" t="s">
        <v>63</v>
      </c>
      <c r="E62" s="18">
        <v>25</v>
      </c>
      <c r="F62" s="64">
        <v>25</v>
      </c>
      <c r="G62" s="13">
        <v>252.96</v>
      </c>
      <c r="H62" s="77">
        <f t="shared" ref="H62:H79" si="4">SUM(F62*G62/1000)</f>
        <v>6.3239999999999998</v>
      </c>
      <c r="I62" s="13">
        <f>G62</f>
        <v>252.96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>
        <v>15</v>
      </c>
      <c r="B63" s="14" t="s">
        <v>45</v>
      </c>
      <c r="C63" s="16" t="s">
        <v>109</v>
      </c>
      <c r="D63" s="14" t="s">
        <v>63</v>
      </c>
      <c r="E63" s="18">
        <v>2</v>
      </c>
      <c r="F63" s="64">
        <v>2</v>
      </c>
      <c r="G63" s="13">
        <v>86.74</v>
      </c>
      <c r="H63" s="77">
        <f t="shared" si="4"/>
        <v>0.17348</v>
      </c>
      <c r="I63" s="13">
        <f>G63</f>
        <v>86.74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46</v>
      </c>
      <c r="C64" s="16" t="s">
        <v>112</v>
      </c>
      <c r="D64" s="14" t="s">
        <v>51</v>
      </c>
      <c r="E64" s="63">
        <v>8692</v>
      </c>
      <c r="F64" s="13">
        <f>SUM(E64/100)</f>
        <v>86.92</v>
      </c>
      <c r="G64" s="13">
        <v>241.31</v>
      </c>
      <c r="H64" s="77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46"/>
      <c r="S64" s="146"/>
      <c r="T64" s="146"/>
      <c r="U64" s="146"/>
    </row>
    <row r="65" spans="1:21" ht="15.75" hidden="1" customHeight="1">
      <c r="A65" s="29"/>
      <c r="B65" s="14" t="s">
        <v>47</v>
      </c>
      <c r="C65" s="16" t="s">
        <v>113</v>
      </c>
      <c r="D65" s="14"/>
      <c r="E65" s="63">
        <v>8692</v>
      </c>
      <c r="F65" s="13">
        <f>SUM(E65/1000)</f>
        <v>8.6920000000000002</v>
      </c>
      <c r="G65" s="13">
        <v>187.91</v>
      </c>
      <c r="H65" s="77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44"/>
      <c r="B66" s="14" t="s">
        <v>48</v>
      </c>
      <c r="C66" s="16" t="s">
        <v>73</v>
      </c>
      <c r="D66" s="14" t="s">
        <v>51</v>
      </c>
      <c r="E66" s="63">
        <v>855</v>
      </c>
      <c r="F66" s="13">
        <f>SUM(E66/100)</f>
        <v>8.5500000000000007</v>
      </c>
      <c r="G66" s="13">
        <v>2359.7199999999998</v>
      </c>
      <c r="H66" s="77">
        <f t="shared" si="4"/>
        <v>20.175605999999998</v>
      </c>
      <c r="I66" s="13">
        <v>0</v>
      </c>
    </row>
    <row r="67" spans="1:21" ht="15.75" hidden="1" customHeight="1">
      <c r="A67" s="29"/>
      <c r="B67" s="78" t="s">
        <v>114</v>
      </c>
      <c r="C67" s="16" t="s">
        <v>32</v>
      </c>
      <c r="D67" s="14"/>
      <c r="E67" s="63">
        <v>8.6</v>
      </c>
      <c r="F67" s="13">
        <f>SUM(E67)</f>
        <v>8.6</v>
      </c>
      <c r="G67" s="13">
        <v>42.67</v>
      </c>
      <c r="H67" s="77">
        <f t="shared" si="4"/>
        <v>0.36696200000000001</v>
      </c>
      <c r="I67" s="13">
        <v>0</v>
      </c>
    </row>
    <row r="68" spans="1:21" ht="15.75" hidden="1" customHeight="1">
      <c r="A68" s="29"/>
      <c r="B68" s="78" t="s">
        <v>115</v>
      </c>
      <c r="C68" s="16" t="s">
        <v>32</v>
      </c>
      <c r="D68" s="14"/>
      <c r="E68" s="63">
        <v>8.6</v>
      </c>
      <c r="F68" s="13">
        <f>SUM(E68)</f>
        <v>8.6</v>
      </c>
      <c r="G68" s="13">
        <v>39.81</v>
      </c>
      <c r="H68" s="77">
        <f t="shared" si="4"/>
        <v>0.342366</v>
      </c>
      <c r="I68" s="13">
        <v>0</v>
      </c>
    </row>
    <row r="69" spans="1:21" ht="15.75" hidden="1" customHeight="1">
      <c r="A69" s="29"/>
      <c r="B69" s="14" t="s">
        <v>54</v>
      </c>
      <c r="C69" s="16" t="s">
        <v>55</v>
      </c>
      <c r="D69" s="14" t="s">
        <v>51</v>
      </c>
      <c r="E69" s="18">
        <v>5</v>
      </c>
      <c r="F69" s="64">
        <v>5</v>
      </c>
      <c r="G69" s="13">
        <v>56.74</v>
      </c>
      <c r="H69" s="77">
        <f t="shared" si="4"/>
        <v>0.28370000000000001</v>
      </c>
      <c r="I69" s="13">
        <v>0</v>
      </c>
    </row>
    <row r="70" spans="1:21" ht="15.75" customHeight="1">
      <c r="A70" s="29"/>
      <c r="B70" s="121" t="s">
        <v>188</v>
      </c>
      <c r="C70" s="110"/>
      <c r="D70" s="35"/>
      <c r="E70" s="17"/>
      <c r="F70" s="101"/>
      <c r="G70" s="34"/>
      <c r="H70" s="77"/>
      <c r="I70" s="13"/>
    </row>
    <row r="71" spans="1:21" ht="34.5" customHeight="1">
      <c r="A71" s="29">
        <v>13</v>
      </c>
      <c r="B71" s="122" t="s">
        <v>189</v>
      </c>
      <c r="C71" s="104" t="s">
        <v>190</v>
      </c>
      <c r="D71" s="35"/>
      <c r="E71" s="17">
        <v>2177.1</v>
      </c>
      <c r="F71" s="34">
        <f>E71*12</f>
        <v>26125.199999999997</v>
      </c>
      <c r="G71" s="34">
        <v>2.6</v>
      </c>
      <c r="H71" s="77"/>
      <c r="I71" s="13">
        <f>G71*F71/12</f>
        <v>5660.4599999999991</v>
      </c>
    </row>
    <row r="72" spans="1:21" ht="15.75" customHeight="1">
      <c r="A72" s="29"/>
      <c r="B72" s="85" t="s">
        <v>68</v>
      </c>
      <c r="C72" s="16"/>
      <c r="D72" s="14"/>
      <c r="E72" s="18"/>
      <c r="F72" s="13"/>
      <c r="G72" s="13"/>
      <c r="H72" s="77" t="s">
        <v>128</v>
      </c>
      <c r="I72" s="13"/>
    </row>
    <row r="73" spans="1:21" ht="15.75" hidden="1" customHeight="1">
      <c r="A73" s="29"/>
      <c r="B73" s="14" t="s">
        <v>121</v>
      </c>
      <c r="C73" s="16" t="s">
        <v>122</v>
      </c>
      <c r="D73" s="14"/>
      <c r="E73" s="18">
        <v>4</v>
      </c>
      <c r="F73" s="13">
        <f>E73</f>
        <v>4</v>
      </c>
      <c r="G73" s="13">
        <v>113.57</v>
      </c>
      <c r="H73" s="77">
        <f t="shared" si="4"/>
        <v>0.45427999999999996</v>
      </c>
      <c r="I73" s="13">
        <v>0</v>
      </c>
    </row>
    <row r="74" spans="1:21" ht="17.25" customHeight="1">
      <c r="A74" s="29">
        <v>14</v>
      </c>
      <c r="B74" s="14" t="s">
        <v>69</v>
      </c>
      <c r="C74" s="16" t="s">
        <v>71</v>
      </c>
      <c r="D74" s="14" t="s">
        <v>197</v>
      </c>
      <c r="E74" s="18">
        <v>20</v>
      </c>
      <c r="F74" s="13">
        <v>2</v>
      </c>
      <c r="G74" s="126">
        <v>747.85</v>
      </c>
      <c r="H74" s="77">
        <f t="shared" ref="H74" si="5">SUM(F74*G74/1000)</f>
        <v>1.4957</v>
      </c>
      <c r="I74" s="13">
        <f>G74*1.1</f>
        <v>822.6350000000001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56">
        <v>2</v>
      </c>
      <c r="G75" s="13">
        <v>970.21</v>
      </c>
      <c r="H75" s="77">
        <f>F75*G75/1000</f>
        <v>1.94042</v>
      </c>
      <c r="I75" s="13">
        <v>0</v>
      </c>
    </row>
    <row r="76" spans="1:21" ht="15.75" hidden="1" customHeight="1">
      <c r="A76" s="29"/>
      <c r="B76" s="14" t="s">
        <v>80</v>
      </c>
      <c r="C76" s="16" t="s">
        <v>30</v>
      </c>
      <c r="D76" s="14"/>
      <c r="E76" s="18">
        <v>2</v>
      </c>
      <c r="F76" s="13">
        <v>2</v>
      </c>
      <c r="G76" s="13">
        <v>407.79</v>
      </c>
      <c r="H76" s="77">
        <f>G76*F76/1000</f>
        <v>0.81558000000000008</v>
      </c>
      <c r="I76" s="13">
        <v>0</v>
      </c>
    </row>
    <row r="77" spans="1:21" ht="31.5" customHeight="1">
      <c r="A77" s="29">
        <v>15</v>
      </c>
      <c r="B77" s="35" t="s">
        <v>187</v>
      </c>
      <c r="C77" s="110" t="s">
        <v>30</v>
      </c>
      <c r="D77" s="35" t="s">
        <v>166</v>
      </c>
      <c r="E77" s="17">
        <v>1</v>
      </c>
      <c r="F77" s="34">
        <v>1</v>
      </c>
      <c r="G77" s="34">
        <v>425</v>
      </c>
      <c r="H77" s="77"/>
      <c r="I77" s="13">
        <f>G77*1</f>
        <v>425</v>
      </c>
    </row>
    <row r="78" spans="1:21" ht="15.75" hidden="1" customHeight="1">
      <c r="A78" s="29"/>
      <c r="B78" s="80" t="s">
        <v>72</v>
      </c>
      <c r="C78" s="16"/>
      <c r="D78" s="14"/>
      <c r="E78" s="18"/>
      <c r="F78" s="13"/>
      <c r="G78" s="13" t="s">
        <v>128</v>
      </c>
      <c r="H78" s="77" t="s">
        <v>128</v>
      </c>
      <c r="I78" s="13"/>
    </row>
    <row r="79" spans="1:21" ht="15.75" hidden="1" customHeight="1">
      <c r="A79" s="29"/>
      <c r="B79" s="43" t="s">
        <v>118</v>
      </c>
      <c r="C79" s="16" t="s">
        <v>73</v>
      </c>
      <c r="D79" s="14"/>
      <c r="E79" s="18"/>
      <c r="F79" s="13">
        <v>1</v>
      </c>
      <c r="G79" s="13">
        <v>3138.63</v>
      </c>
      <c r="H79" s="77">
        <f t="shared" si="4"/>
        <v>3.13863</v>
      </c>
      <c r="I79" s="13">
        <v>0</v>
      </c>
    </row>
    <row r="80" spans="1:21" ht="15.75" hidden="1" customHeight="1">
      <c r="A80" s="29"/>
      <c r="B80" s="54" t="s">
        <v>116</v>
      </c>
      <c r="C80" s="80"/>
      <c r="D80" s="31"/>
      <c r="E80" s="32"/>
      <c r="F80" s="67"/>
      <c r="G80" s="67"/>
      <c r="H80" s="81">
        <f>SUM(H57:H79)</f>
        <v>74.073249385999986</v>
      </c>
      <c r="I80" s="67"/>
    </row>
    <row r="81" spans="1:9" ht="15.75" hidden="1" customHeight="1">
      <c r="A81" s="44"/>
      <c r="B81" s="61" t="s">
        <v>117</v>
      </c>
      <c r="C81" s="16"/>
      <c r="D81" s="14"/>
      <c r="E81" s="57"/>
      <c r="F81" s="13">
        <v>1</v>
      </c>
      <c r="G81" s="13">
        <v>19285</v>
      </c>
      <c r="H81" s="77">
        <f>G81*F81/1000</f>
        <v>19.285</v>
      </c>
      <c r="I81" s="13">
        <v>0</v>
      </c>
    </row>
    <row r="82" spans="1:9" ht="15.75" customHeight="1">
      <c r="A82" s="148" t="s">
        <v>133</v>
      </c>
      <c r="B82" s="149"/>
      <c r="C82" s="149"/>
      <c r="D82" s="149"/>
      <c r="E82" s="149"/>
      <c r="F82" s="149"/>
      <c r="G82" s="149"/>
      <c r="H82" s="149"/>
      <c r="I82" s="150"/>
    </row>
    <row r="83" spans="1:9" ht="15.75" customHeight="1">
      <c r="A83" s="29">
        <v>16</v>
      </c>
      <c r="B83" s="123" t="s">
        <v>119</v>
      </c>
      <c r="C83" s="110" t="s">
        <v>52</v>
      </c>
      <c r="D83" s="124"/>
      <c r="E83" s="34">
        <v>2177.1</v>
      </c>
      <c r="F83" s="34">
        <f>SUM(E83*12)</f>
        <v>26125.199999999997</v>
      </c>
      <c r="G83" s="34">
        <v>3.5</v>
      </c>
      <c r="H83" s="77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17</v>
      </c>
      <c r="B84" s="35" t="s">
        <v>191</v>
      </c>
      <c r="C84" s="110" t="s">
        <v>52</v>
      </c>
      <c r="D84" s="47"/>
      <c r="E84" s="99">
        <f>E83</f>
        <v>2177.1</v>
      </c>
      <c r="F84" s="34">
        <f>E84*12</f>
        <v>26125.199999999997</v>
      </c>
      <c r="G84" s="34">
        <v>3.24</v>
      </c>
      <c r="H84" s="77">
        <f>F84*G84/1000</f>
        <v>84.645647999999994</v>
      </c>
      <c r="I84" s="13">
        <f>F84/12*G84</f>
        <v>7053.8040000000001</v>
      </c>
    </row>
    <row r="85" spans="1:9" ht="15.75" customHeight="1">
      <c r="A85" s="29"/>
      <c r="B85" s="36" t="s">
        <v>75</v>
      </c>
      <c r="C85" s="80"/>
      <c r="D85" s="79"/>
      <c r="E85" s="67"/>
      <c r="F85" s="67"/>
      <c r="G85" s="67"/>
      <c r="H85" s="81">
        <f>H84</f>
        <v>84.645647999999994</v>
      </c>
      <c r="I85" s="67">
        <f>I84+I83+I77+I74+I60+I57+I50+I44+I41+I40+I38+I37+I25+I18+I17+I16+I71</f>
        <v>43814.231316649995</v>
      </c>
    </row>
    <row r="86" spans="1:9" ht="15.75" customHeight="1">
      <c r="A86" s="151" t="s">
        <v>57</v>
      </c>
      <c r="B86" s="152"/>
      <c r="C86" s="152"/>
      <c r="D86" s="152"/>
      <c r="E86" s="152"/>
      <c r="F86" s="152"/>
      <c r="G86" s="152"/>
      <c r="H86" s="152"/>
      <c r="I86" s="153"/>
    </row>
    <row r="87" spans="1:9" ht="31.5" customHeight="1">
      <c r="A87" s="29">
        <v>18</v>
      </c>
      <c r="B87" s="95" t="s">
        <v>156</v>
      </c>
      <c r="C87" s="48" t="s">
        <v>36</v>
      </c>
      <c r="D87" s="47" t="s">
        <v>161</v>
      </c>
      <c r="E87" s="34"/>
      <c r="F87" s="34">
        <v>0.03</v>
      </c>
      <c r="G87" s="34">
        <v>4233.72</v>
      </c>
      <c r="H87" s="87"/>
      <c r="I87" s="82">
        <v>0</v>
      </c>
    </row>
    <row r="88" spans="1:9" ht="15.75" customHeight="1">
      <c r="A88" s="29">
        <v>19</v>
      </c>
      <c r="B88" s="95" t="s">
        <v>153</v>
      </c>
      <c r="C88" s="48" t="s">
        <v>149</v>
      </c>
      <c r="D88" s="47" t="s">
        <v>210</v>
      </c>
      <c r="E88" s="34"/>
      <c r="F88" s="34">
        <v>6</v>
      </c>
      <c r="G88" s="34">
        <v>295.36</v>
      </c>
      <c r="H88" s="87"/>
      <c r="I88" s="82">
        <v>0</v>
      </c>
    </row>
    <row r="89" spans="1:9" ht="16.5" customHeight="1">
      <c r="A89" s="29">
        <v>20</v>
      </c>
      <c r="B89" s="95" t="s">
        <v>181</v>
      </c>
      <c r="C89" s="48" t="s">
        <v>182</v>
      </c>
      <c r="D89" s="47"/>
      <c r="E89" s="34"/>
      <c r="F89" s="34">
        <v>1</v>
      </c>
      <c r="G89" s="34">
        <v>236.08</v>
      </c>
      <c r="H89" s="87"/>
      <c r="I89" s="82">
        <f>G89*1</f>
        <v>236.08</v>
      </c>
    </row>
    <row r="90" spans="1:9" ht="15.75" customHeight="1">
      <c r="A90" s="29"/>
      <c r="B90" s="41" t="s">
        <v>49</v>
      </c>
      <c r="C90" s="37"/>
      <c r="D90" s="45"/>
      <c r="E90" s="37">
        <v>1</v>
      </c>
      <c r="F90" s="37"/>
      <c r="G90" s="37"/>
      <c r="H90" s="37"/>
      <c r="I90" s="32">
        <f>SUM(I87:I89)</f>
        <v>236.08</v>
      </c>
    </row>
    <row r="91" spans="1:9" ht="15.75" customHeight="1">
      <c r="A91" s="29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147</v>
      </c>
      <c r="C92" s="33"/>
      <c r="D92" s="33"/>
      <c r="E92" s="33"/>
      <c r="F92" s="33"/>
      <c r="G92" s="33"/>
      <c r="H92" s="33"/>
      <c r="I92" s="40">
        <f>I85+I90</f>
        <v>44050.311316649997</v>
      </c>
    </row>
    <row r="93" spans="1:9" ht="15.75">
      <c r="A93" s="147" t="s">
        <v>211</v>
      </c>
      <c r="B93" s="147"/>
      <c r="C93" s="147"/>
      <c r="D93" s="147"/>
      <c r="E93" s="147"/>
      <c r="F93" s="147"/>
      <c r="G93" s="147"/>
      <c r="H93" s="147"/>
      <c r="I93" s="147"/>
    </row>
    <row r="94" spans="1:9" ht="15.75">
      <c r="A94" s="55"/>
      <c r="B94" s="159" t="s">
        <v>212</v>
      </c>
      <c r="C94" s="159"/>
      <c r="D94" s="159"/>
      <c r="E94" s="159"/>
      <c r="F94" s="159"/>
      <c r="G94" s="159"/>
      <c r="H94" s="60"/>
      <c r="I94" s="3"/>
    </row>
    <row r="95" spans="1:9">
      <c r="A95" s="52"/>
      <c r="B95" s="156" t="s">
        <v>6</v>
      </c>
      <c r="C95" s="156"/>
      <c r="D95" s="156"/>
      <c r="E95" s="156"/>
      <c r="F95" s="156"/>
      <c r="G95" s="15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60" t="s">
        <v>7</v>
      </c>
      <c r="B97" s="160"/>
      <c r="C97" s="160"/>
      <c r="D97" s="160"/>
      <c r="E97" s="160"/>
      <c r="F97" s="160"/>
      <c r="G97" s="160"/>
      <c r="H97" s="160"/>
      <c r="I97" s="160"/>
    </row>
    <row r="98" spans="1:9" ht="15.75">
      <c r="A98" s="160" t="s">
        <v>8</v>
      </c>
      <c r="B98" s="160"/>
      <c r="C98" s="160"/>
      <c r="D98" s="160"/>
      <c r="E98" s="160"/>
      <c r="F98" s="160"/>
      <c r="G98" s="160"/>
      <c r="H98" s="160"/>
      <c r="I98" s="160"/>
    </row>
    <row r="99" spans="1:9" ht="15.75">
      <c r="A99" s="143" t="s">
        <v>58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>
      <c r="A100" s="11"/>
    </row>
    <row r="101" spans="1:9" ht="15.75">
      <c r="A101" s="144" t="s">
        <v>9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4"/>
    </row>
    <row r="103" spans="1:9" ht="15.75">
      <c r="B103" s="50" t="s">
        <v>10</v>
      </c>
      <c r="C103" s="155" t="s">
        <v>183</v>
      </c>
      <c r="D103" s="155"/>
      <c r="E103" s="155"/>
      <c r="F103" s="58"/>
      <c r="I103" s="51"/>
    </row>
    <row r="104" spans="1:9">
      <c r="A104" s="52"/>
      <c r="C104" s="156" t="s">
        <v>11</v>
      </c>
      <c r="D104" s="156"/>
      <c r="E104" s="156"/>
      <c r="F104" s="24"/>
      <c r="I104" s="49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0" t="s">
        <v>13</v>
      </c>
      <c r="C106" s="157"/>
      <c r="D106" s="157"/>
      <c r="E106" s="157"/>
      <c r="F106" s="59"/>
      <c r="I106" s="51"/>
    </row>
    <row r="107" spans="1:9">
      <c r="A107" s="52"/>
      <c r="C107" s="146" t="s">
        <v>11</v>
      </c>
      <c r="D107" s="146"/>
      <c r="E107" s="146"/>
      <c r="F107" s="52"/>
      <c r="I107" s="49" t="s">
        <v>12</v>
      </c>
    </row>
    <row r="108" spans="1:9" ht="15.75">
      <c r="A108" s="4" t="s">
        <v>14</v>
      </c>
    </row>
    <row r="109" spans="1:9">
      <c r="A109" s="158" t="s">
        <v>15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45" customHeight="1">
      <c r="A110" s="154" t="s">
        <v>16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30" customHeight="1">
      <c r="A111" s="154" t="s">
        <v>17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30" customHeight="1">
      <c r="A112" s="154" t="s">
        <v>21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15" customHeight="1">
      <c r="A113" s="154" t="s">
        <v>20</v>
      </c>
      <c r="B113" s="154"/>
      <c r="C113" s="154"/>
      <c r="D113" s="154"/>
      <c r="E113" s="154"/>
      <c r="F113" s="154"/>
      <c r="G113" s="154"/>
      <c r="H113" s="154"/>
      <c r="I113" s="154"/>
    </row>
  </sheetData>
  <autoFilter ref="I12:I59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5:I45"/>
    <mergeCell ref="A55:I55"/>
    <mergeCell ref="A93:I93"/>
    <mergeCell ref="B94:G94"/>
    <mergeCell ref="B95:G95"/>
    <mergeCell ref="A97:I97"/>
    <mergeCell ref="A98:I98"/>
    <mergeCell ref="A86:I86"/>
    <mergeCell ref="R64:U64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view="pageBreakPreview" topLeftCell="A54" zoomScale="60" zoomScaleNormal="100" workbookViewId="0">
      <selection activeCell="B16" sqref="B16:I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137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213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44286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10.81</v>
      </c>
      <c r="H25" s="65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69" t="s">
        <v>23</v>
      </c>
      <c r="C26" s="62" t="s">
        <v>24</v>
      </c>
      <c r="D26" s="61"/>
      <c r="E26" s="63">
        <v>2177.1</v>
      </c>
      <c r="F26" s="64">
        <f>SUM(E26*12)</f>
        <v>26125.199999999997</v>
      </c>
      <c r="G26" s="64">
        <v>5.15</v>
      </c>
      <c r="H26" s="65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48" t="s">
        <v>78</v>
      </c>
      <c r="B27" s="149"/>
      <c r="C27" s="149"/>
      <c r="D27" s="149"/>
      <c r="E27" s="149"/>
      <c r="F27" s="149"/>
      <c r="G27" s="149"/>
      <c r="H27" s="149"/>
      <c r="I27" s="150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2"/>
      <c r="D28" s="61"/>
      <c r="E28" s="63"/>
      <c r="F28" s="64"/>
      <c r="G28" s="64"/>
      <c r="H28" s="65"/>
      <c r="I28" s="13"/>
      <c r="J28" s="22"/>
      <c r="K28" s="8"/>
      <c r="L28" s="8"/>
      <c r="M28" s="8"/>
    </row>
    <row r="29" spans="1:13" ht="31.5" hidden="1" customHeight="1">
      <c r="A29" s="29">
        <v>6</v>
      </c>
      <c r="B29" s="61" t="s">
        <v>94</v>
      </c>
      <c r="C29" s="62" t="s">
        <v>124</v>
      </c>
      <c r="D29" s="61" t="s">
        <v>125</v>
      </c>
      <c r="E29" s="64">
        <v>2497.6999999999998</v>
      </c>
      <c r="F29" s="64">
        <f>SUM(E29*52/1000)</f>
        <v>129.88039999999998</v>
      </c>
      <c r="G29" s="64">
        <v>177.3</v>
      </c>
      <c r="H29" s="65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1" t="s">
        <v>134</v>
      </c>
      <c r="C30" s="62" t="s">
        <v>95</v>
      </c>
      <c r="D30" s="61" t="s">
        <v>126</v>
      </c>
      <c r="E30" s="64">
        <v>266.37</v>
      </c>
      <c r="F30" s="64">
        <f>SUM(E30*78/1000)</f>
        <v>20.776859999999999</v>
      </c>
      <c r="G30" s="64">
        <v>297.17</v>
      </c>
      <c r="H30" s="65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27</v>
      </c>
      <c r="C31" s="62" t="s">
        <v>95</v>
      </c>
      <c r="D31" s="61" t="s">
        <v>51</v>
      </c>
      <c r="E31" s="64">
        <v>2497.6999999999998</v>
      </c>
      <c r="F31" s="64">
        <f>SUM(E31/1000)</f>
        <v>2.4977</v>
      </c>
      <c r="G31" s="64">
        <v>3435.36</v>
      </c>
      <c r="H31" s="65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1" t="s">
        <v>98</v>
      </c>
      <c r="C32" s="62" t="s">
        <v>38</v>
      </c>
      <c r="D32" s="61" t="s">
        <v>60</v>
      </c>
      <c r="E32" s="64">
        <v>2</v>
      </c>
      <c r="F32" s="64">
        <v>3.1</v>
      </c>
      <c r="G32" s="64">
        <v>1480.94</v>
      </c>
      <c r="H32" s="65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1" t="s">
        <v>99</v>
      </c>
      <c r="C33" s="62" t="s">
        <v>30</v>
      </c>
      <c r="D33" s="61" t="s">
        <v>60</v>
      </c>
      <c r="E33" s="68">
        <v>0.33333333333333331</v>
      </c>
      <c r="F33" s="64">
        <f>155/3</f>
        <v>51.666666666666664</v>
      </c>
      <c r="G33" s="64">
        <v>64.48</v>
      </c>
      <c r="H33" s="65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1" t="s">
        <v>61</v>
      </c>
      <c r="C34" s="62" t="s">
        <v>32</v>
      </c>
      <c r="D34" s="61" t="s">
        <v>127</v>
      </c>
      <c r="E34" s="63"/>
      <c r="F34" s="64">
        <v>2</v>
      </c>
      <c r="G34" s="64">
        <v>217.61</v>
      </c>
      <c r="H34" s="65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1" t="s">
        <v>62</v>
      </c>
      <c r="C35" s="62" t="s">
        <v>31</v>
      </c>
      <c r="D35" s="61" t="s">
        <v>127</v>
      </c>
      <c r="E35" s="63"/>
      <c r="F35" s="64">
        <v>1</v>
      </c>
      <c r="G35" s="64">
        <v>1292.47</v>
      </c>
      <c r="H35" s="65">
        <f t="shared" si="1"/>
        <v>1.29247</v>
      </c>
      <c r="I35" s="13">
        <v>0</v>
      </c>
      <c r="J35" s="23"/>
    </row>
    <row r="36" spans="1:14" ht="15.75" customHeight="1">
      <c r="A36" s="70"/>
      <c r="B36" s="83" t="s">
        <v>5</v>
      </c>
      <c r="C36" s="62"/>
      <c r="D36" s="61"/>
      <c r="E36" s="63"/>
      <c r="F36" s="64"/>
      <c r="G36" s="64"/>
      <c r="H36" s="65" t="s">
        <v>128</v>
      </c>
      <c r="I36" s="13"/>
      <c r="J36" s="23"/>
    </row>
    <row r="37" spans="1:14" ht="33" customHeight="1">
      <c r="A37" s="70">
        <v>4</v>
      </c>
      <c r="B37" s="61" t="s">
        <v>26</v>
      </c>
      <c r="C37" s="62" t="s">
        <v>31</v>
      </c>
      <c r="D37" s="61" t="s">
        <v>214</v>
      </c>
      <c r="E37" s="63"/>
      <c r="F37" s="64">
        <v>6</v>
      </c>
      <c r="G37" s="125">
        <v>1930</v>
      </c>
      <c r="H37" s="65">
        <f>SUM(F37*G37/1000)</f>
        <v>11.58</v>
      </c>
      <c r="I37" s="13">
        <f>G37*5.5</f>
        <v>10615</v>
      </c>
      <c r="J37" s="23"/>
    </row>
    <row r="38" spans="1:14" ht="15.75" customHeight="1">
      <c r="A38" s="70">
        <v>5</v>
      </c>
      <c r="B38" s="116" t="s">
        <v>100</v>
      </c>
      <c r="C38" s="117" t="s">
        <v>29</v>
      </c>
      <c r="D38" s="105" t="s">
        <v>163</v>
      </c>
      <c r="E38" s="115">
        <v>48.36</v>
      </c>
      <c r="F38" s="118">
        <f>E38*30/1000</f>
        <v>1.4507999999999999</v>
      </c>
      <c r="G38" s="108">
        <v>3134.93</v>
      </c>
      <c r="H38" s="65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0">
        <v>8</v>
      </c>
      <c r="B39" s="105" t="s">
        <v>101</v>
      </c>
      <c r="C39" s="106" t="s">
        <v>102</v>
      </c>
      <c r="D39" s="105" t="s">
        <v>127</v>
      </c>
      <c r="E39" s="115"/>
      <c r="F39" s="118">
        <v>39</v>
      </c>
      <c r="G39" s="108">
        <v>330</v>
      </c>
      <c r="H39" s="65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0">
        <v>6</v>
      </c>
      <c r="B40" s="105" t="s">
        <v>64</v>
      </c>
      <c r="C40" s="106" t="s">
        <v>29</v>
      </c>
      <c r="D40" s="105" t="s">
        <v>164</v>
      </c>
      <c r="E40" s="108">
        <v>53.69</v>
      </c>
      <c r="F40" s="118">
        <f>SUM(E40*155/1000)</f>
        <v>8.3219499999999993</v>
      </c>
      <c r="G40" s="108">
        <v>522.92999999999995</v>
      </c>
      <c r="H40" s="65">
        <f t="shared" ref="H40:H43" si="2">SUM(F40*G40/1000)</f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47.25" customHeight="1">
      <c r="A41" s="70">
        <v>7</v>
      </c>
      <c r="B41" s="105" t="s">
        <v>77</v>
      </c>
      <c r="C41" s="106" t="s">
        <v>95</v>
      </c>
      <c r="D41" s="105" t="s">
        <v>165</v>
      </c>
      <c r="E41" s="108">
        <v>23.93</v>
      </c>
      <c r="F41" s="118">
        <f>SUM(E41*24/1000)</f>
        <v>0.57431999999999994</v>
      </c>
      <c r="G41" s="108">
        <v>8652.07</v>
      </c>
      <c r="H41" s="65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customHeight="1">
      <c r="A42" s="29">
        <v>8</v>
      </c>
      <c r="B42" s="105" t="s">
        <v>105</v>
      </c>
      <c r="C42" s="106" t="s">
        <v>95</v>
      </c>
      <c r="D42" s="105" t="s">
        <v>161</v>
      </c>
      <c r="E42" s="108">
        <v>48.36</v>
      </c>
      <c r="F42" s="118">
        <f>SUM(E42*45/1000)</f>
        <v>2.1761999999999997</v>
      </c>
      <c r="G42" s="108">
        <v>639.14</v>
      </c>
      <c r="H42" s="65">
        <f t="shared" si="2"/>
        <v>1.3908964679999998</v>
      </c>
      <c r="I42" s="13">
        <f>G42*F42/45*2</f>
        <v>61.817620799999986</v>
      </c>
      <c r="J42" s="23"/>
      <c r="L42" s="19"/>
      <c r="M42" s="20"/>
      <c r="N42" s="21"/>
    </row>
    <row r="43" spans="1:14" ht="15.75" customHeight="1">
      <c r="A43" s="29">
        <v>9</v>
      </c>
      <c r="B43" s="116" t="s">
        <v>66</v>
      </c>
      <c r="C43" s="117" t="s">
        <v>32</v>
      </c>
      <c r="D43" s="116"/>
      <c r="E43" s="119"/>
      <c r="F43" s="118">
        <v>0.9</v>
      </c>
      <c r="G43" s="118">
        <v>900</v>
      </c>
      <c r="H43" s="65">
        <f t="shared" si="2"/>
        <v>0.81</v>
      </c>
      <c r="I43" s="13">
        <f>G43*F43/45*2</f>
        <v>36</v>
      </c>
      <c r="J43" s="23"/>
      <c r="L43" s="19"/>
      <c r="M43" s="20"/>
      <c r="N43" s="21"/>
    </row>
    <row r="44" spans="1:14" ht="32.25" customHeight="1">
      <c r="A44" s="128">
        <v>10</v>
      </c>
      <c r="B44" s="120" t="s">
        <v>186</v>
      </c>
      <c r="C44" s="117" t="s">
        <v>29</v>
      </c>
      <c r="D44" s="116" t="s">
        <v>196</v>
      </c>
      <c r="E44" s="119">
        <v>0.6</v>
      </c>
      <c r="F44" s="118">
        <f>E44*12/1000</f>
        <v>7.1999999999999989E-3</v>
      </c>
      <c r="G44" s="118">
        <v>20547.34</v>
      </c>
      <c r="H44" s="56"/>
      <c r="I44" s="13">
        <f>G44*F44/6</f>
        <v>24.656807999999998</v>
      </c>
      <c r="J44" s="23"/>
      <c r="L44" s="19"/>
      <c r="M44" s="20"/>
      <c r="N44" s="21"/>
    </row>
    <row r="45" spans="1:14" ht="15.75" customHeight="1">
      <c r="A45" s="148" t="s">
        <v>131</v>
      </c>
      <c r="B45" s="149"/>
      <c r="C45" s="149"/>
      <c r="D45" s="149"/>
      <c r="E45" s="149"/>
      <c r="F45" s="149"/>
      <c r="G45" s="149"/>
      <c r="H45" s="149"/>
      <c r="I45" s="150"/>
      <c r="J45" s="23"/>
      <c r="L45" s="19"/>
      <c r="M45" s="20"/>
      <c r="N45" s="21"/>
    </row>
    <row r="46" spans="1:14" ht="15.75" hidden="1" customHeight="1">
      <c r="A46" s="29"/>
      <c r="B46" s="61" t="s">
        <v>106</v>
      </c>
      <c r="C46" s="62" t="s">
        <v>95</v>
      </c>
      <c r="D46" s="61" t="s">
        <v>40</v>
      </c>
      <c r="E46" s="63">
        <v>614.29999999999995</v>
      </c>
      <c r="F46" s="64">
        <f>SUM(E46*2/1000)</f>
        <v>1.2285999999999999</v>
      </c>
      <c r="G46" s="13">
        <v>1094.96</v>
      </c>
      <c r="H46" s="65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33</v>
      </c>
      <c r="C47" s="62" t="s">
        <v>95</v>
      </c>
      <c r="D47" s="61" t="s">
        <v>40</v>
      </c>
      <c r="E47" s="63">
        <v>61</v>
      </c>
      <c r="F47" s="64">
        <f>E47*2/1000</f>
        <v>0.122</v>
      </c>
      <c r="G47" s="13">
        <v>3832.4</v>
      </c>
      <c r="H47" s="65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34</v>
      </c>
      <c r="C48" s="62" t="s">
        <v>95</v>
      </c>
      <c r="D48" s="61" t="s">
        <v>40</v>
      </c>
      <c r="E48" s="63">
        <v>3135.64</v>
      </c>
      <c r="F48" s="64">
        <f>SUM(E48*2/1000)</f>
        <v>6.27128</v>
      </c>
      <c r="G48" s="13">
        <v>1564.24</v>
      </c>
      <c r="H48" s="65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35</v>
      </c>
      <c r="C49" s="62" t="s">
        <v>95</v>
      </c>
      <c r="D49" s="61" t="s">
        <v>40</v>
      </c>
      <c r="E49" s="63">
        <v>1678.47</v>
      </c>
      <c r="F49" s="64">
        <f>SUM(E49*2/1000)</f>
        <v>3.3569400000000003</v>
      </c>
      <c r="G49" s="13">
        <v>1078.3599999999999</v>
      </c>
      <c r="H49" s="65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31.5" hidden="1" customHeight="1">
      <c r="A50" s="29">
        <v>12</v>
      </c>
      <c r="B50" s="61" t="s">
        <v>53</v>
      </c>
      <c r="C50" s="62" t="s">
        <v>95</v>
      </c>
      <c r="D50" s="61" t="s">
        <v>135</v>
      </c>
      <c r="E50" s="63">
        <v>614.29999999999995</v>
      </c>
      <c r="F50" s="64">
        <f>SUM(E50*5/1000)</f>
        <v>3.0714999999999999</v>
      </c>
      <c r="G50" s="13">
        <v>1838.49</v>
      </c>
      <c r="H50" s="65">
        <f t="shared" si="3"/>
        <v>5.6469220349999993</v>
      </c>
      <c r="I50" s="13">
        <f>F50/5*G50</f>
        <v>1129.384407</v>
      </c>
      <c r="J50" s="23"/>
      <c r="L50" s="19"/>
      <c r="M50" s="20"/>
      <c r="N50" s="21"/>
    </row>
    <row r="51" spans="1:22" ht="31.5" hidden="1" customHeight="1">
      <c r="A51" s="29"/>
      <c r="B51" s="61" t="s">
        <v>107</v>
      </c>
      <c r="C51" s="62" t="s">
        <v>95</v>
      </c>
      <c r="D51" s="61" t="s">
        <v>40</v>
      </c>
      <c r="E51" s="63">
        <v>614.29999999999995</v>
      </c>
      <c r="F51" s="64">
        <f>SUM(E51*2/1000)</f>
        <v>1.2285999999999999</v>
      </c>
      <c r="G51" s="13">
        <v>1380.31</v>
      </c>
      <c r="H51" s="65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44"/>
      <c r="B52" s="61" t="s">
        <v>108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13">
        <v>3519.56</v>
      </c>
      <c r="H52" s="65">
        <f t="shared" si="3"/>
        <v>1.407824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12</v>
      </c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13">
        <v>6428.82</v>
      </c>
      <c r="H53" s="65">
        <f t="shared" si="3"/>
        <v>0.12857640000000001</v>
      </c>
      <c r="I53" s="13">
        <f>F53/2*G53</f>
        <v>64.288200000000003</v>
      </c>
      <c r="J53" s="23"/>
      <c r="L53" s="19"/>
      <c r="M53" s="20"/>
      <c r="N53" s="21"/>
    </row>
    <row r="54" spans="1:22" ht="15.75" customHeight="1">
      <c r="A54" s="29">
        <v>11</v>
      </c>
      <c r="B54" s="61" t="s">
        <v>39</v>
      </c>
      <c r="C54" s="62" t="s">
        <v>109</v>
      </c>
      <c r="D54" s="109">
        <v>44259</v>
      </c>
      <c r="E54" s="63">
        <v>170</v>
      </c>
      <c r="F54" s="64">
        <f>SUM(E54)*3</f>
        <v>510</v>
      </c>
      <c r="G54" s="127">
        <v>97.93</v>
      </c>
      <c r="H54" s="65">
        <f t="shared" si="3"/>
        <v>49.944300000000005</v>
      </c>
      <c r="I54" s="13">
        <f>G54*E54/3</f>
        <v>5549.3666666666677</v>
      </c>
      <c r="J54" s="23"/>
      <c r="L54" s="19"/>
      <c r="M54" s="20"/>
      <c r="N54" s="21"/>
    </row>
    <row r="55" spans="1:22" ht="15.75" customHeight="1">
      <c r="A55" s="148" t="s">
        <v>141</v>
      </c>
      <c r="B55" s="149"/>
      <c r="C55" s="149"/>
      <c r="D55" s="149"/>
      <c r="E55" s="149"/>
      <c r="F55" s="149"/>
      <c r="G55" s="149"/>
      <c r="H55" s="149"/>
      <c r="I55" s="150"/>
      <c r="J55" s="23"/>
      <c r="L55" s="19"/>
      <c r="M55" s="20"/>
      <c r="N55" s="21"/>
    </row>
    <row r="56" spans="1:22" ht="15.75" customHeight="1">
      <c r="A56" s="29"/>
      <c r="B56" s="83" t="s">
        <v>41</v>
      </c>
      <c r="C56" s="62"/>
      <c r="D56" s="61"/>
      <c r="E56" s="63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12</v>
      </c>
      <c r="B57" s="61" t="s">
        <v>110</v>
      </c>
      <c r="C57" s="62" t="s">
        <v>85</v>
      </c>
      <c r="D57" s="61"/>
      <c r="E57" s="63">
        <v>63.07</v>
      </c>
      <c r="F57" s="64">
        <f>SUM(E57*6/100)</f>
        <v>3.7842000000000002</v>
      </c>
      <c r="G57" s="126">
        <v>2306.83</v>
      </c>
      <c r="H57" s="65">
        <f>SUM(F57*G57/1000)</f>
        <v>8.7295060859999989</v>
      </c>
      <c r="I57" s="13">
        <f>G57*3.61</f>
        <v>8327.6562999999987</v>
      </c>
      <c r="J57" s="23"/>
      <c r="L57" s="19"/>
    </row>
    <row r="58" spans="1:22" ht="15.75" customHeight="1">
      <c r="A58" s="29"/>
      <c r="B58" s="84" t="s">
        <v>42</v>
      </c>
      <c r="C58" s="71"/>
      <c r="D58" s="72"/>
      <c r="E58" s="73"/>
      <c r="F58" s="74"/>
      <c r="G58" s="13"/>
      <c r="H58" s="75"/>
      <c r="I58" s="13"/>
    </row>
    <row r="59" spans="1:22" ht="18.75" customHeight="1">
      <c r="A59" s="29">
        <v>13</v>
      </c>
      <c r="B59" s="97" t="s">
        <v>130</v>
      </c>
      <c r="C59" s="98" t="s">
        <v>50</v>
      </c>
      <c r="D59" s="97" t="s">
        <v>216</v>
      </c>
      <c r="E59" s="99">
        <v>100</v>
      </c>
      <c r="F59" s="102">
        <f>E59/100</f>
        <v>1</v>
      </c>
      <c r="G59" s="34">
        <v>1183.19</v>
      </c>
      <c r="H59" s="75">
        <f>F59*G59/1000</f>
        <v>1.18319</v>
      </c>
      <c r="I59" s="13">
        <f>G59*F59</f>
        <v>1183.19</v>
      </c>
    </row>
    <row r="60" spans="1:22" ht="15.75" customHeight="1">
      <c r="A60" s="29">
        <v>14</v>
      </c>
      <c r="B60" s="72" t="s">
        <v>82</v>
      </c>
      <c r="C60" s="71" t="s">
        <v>25</v>
      </c>
      <c r="D60" s="97" t="s">
        <v>167</v>
      </c>
      <c r="E60" s="99">
        <v>100</v>
      </c>
      <c r="F60" s="100">
        <f>E60*12</f>
        <v>1200</v>
      </c>
      <c r="G60" s="101">
        <v>1.4</v>
      </c>
      <c r="H60" s="74">
        <f>F60*G60/1000</f>
        <v>1.68</v>
      </c>
      <c r="I60" s="13">
        <f>F60/12*G60</f>
        <v>140</v>
      </c>
    </row>
    <row r="61" spans="1:22" ht="18.75" hidden="1" customHeight="1">
      <c r="A61" s="29"/>
      <c r="B61" s="84" t="s">
        <v>43</v>
      </c>
      <c r="C61" s="71"/>
      <c r="D61" s="72"/>
      <c r="E61" s="73"/>
      <c r="F61" s="76"/>
      <c r="G61" s="76"/>
      <c r="H61" s="74" t="s">
        <v>128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20.25" hidden="1" customHeight="1">
      <c r="A62" s="29">
        <v>12</v>
      </c>
      <c r="B62" s="14" t="s">
        <v>44</v>
      </c>
      <c r="C62" s="16" t="s">
        <v>109</v>
      </c>
      <c r="D62" s="14" t="s">
        <v>166</v>
      </c>
      <c r="E62" s="18">
        <v>25</v>
      </c>
      <c r="F62" s="64">
        <v>25</v>
      </c>
      <c r="G62" s="13">
        <v>252.96</v>
      </c>
      <c r="H62" s="77">
        <f t="shared" ref="H62:H79" si="4">SUM(F62*G62/1000)</f>
        <v>6.3239999999999998</v>
      </c>
      <c r="I62" s="13">
        <f>G62*1</f>
        <v>252.96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9.5" hidden="1" customHeight="1">
      <c r="A63" s="29"/>
      <c r="B63" s="14" t="s">
        <v>45</v>
      </c>
      <c r="C63" s="16" t="s">
        <v>109</v>
      </c>
      <c r="D63" s="14" t="s">
        <v>63</v>
      </c>
      <c r="E63" s="18">
        <v>2</v>
      </c>
      <c r="F63" s="64">
        <v>2</v>
      </c>
      <c r="G63" s="13">
        <v>86.74</v>
      </c>
      <c r="H63" s="77">
        <f t="shared" si="4"/>
        <v>0.17348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27.75" hidden="1" customHeight="1">
      <c r="A64" s="29"/>
      <c r="B64" s="14" t="s">
        <v>46</v>
      </c>
      <c r="C64" s="16" t="s">
        <v>112</v>
      </c>
      <c r="D64" s="14" t="s">
        <v>51</v>
      </c>
      <c r="E64" s="63">
        <v>8692</v>
      </c>
      <c r="F64" s="13">
        <f>SUM(E64/100)</f>
        <v>86.92</v>
      </c>
      <c r="G64" s="13">
        <v>241.31</v>
      </c>
      <c r="H64" s="77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46"/>
      <c r="S64" s="146"/>
      <c r="T64" s="146"/>
      <c r="U64" s="146"/>
    </row>
    <row r="65" spans="1:21" ht="23.25" hidden="1" customHeight="1">
      <c r="A65" s="29"/>
      <c r="B65" s="14" t="s">
        <v>47</v>
      </c>
      <c r="C65" s="16" t="s">
        <v>113</v>
      </c>
      <c r="D65" s="14"/>
      <c r="E65" s="63">
        <v>8692</v>
      </c>
      <c r="F65" s="13">
        <f>SUM(E65/1000)</f>
        <v>8.6920000000000002</v>
      </c>
      <c r="G65" s="13">
        <v>187.91</v>
      </c>
      <c r="H65" s="77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4" hidden="1" customHeight="1">
      <c r="A66" s="44"/>
      <c r="B66" s="14" t="s">
        <v>48</v>
      </c>
      <c r="C66" s="16" t="s">
        <v>73</v>
      </c>
      <c r="D66" s="14" t="s">
        <v>51</v>
      </c>
      <c r="E66" s="63">
        <v>855</v>
      </c>
      <c r="F66" s="13">
        <f>SUM(E66/100)</f>
        <v>8.5500000000000007</v>
      </c>
      <c r="G66" s="13">
        <v>2359.7199999999998</v>
      </c>
      <c r="H66" s="77">
        <f t="shared" si="4"/>
        <v>20.175605999999998</v>
      </c>
      <c r="I66" s="13">
        <v>0</v>
      </c>
    </row>
    <row r="67" spans="1:21" ht="22.5" hidden="1" customHeight="1">
      <c r="A67" s="29"/>
      <c r="B67" s="78" t="s">
        <v>114</v>
      </c>
      <c r="C67" s="16" t="s">
        <v>32</v>
      </c>
      <c r="D67" s="14"/>
      <c r="E67" s="63">
        <v>8.6</v>
      </c>
      <c r="F67" s="13">
        <f>SUM(E67)</f>
        <v>8.6</v>
      </c>
      <c r="G67" s="13">
        <v>42.67</v>
      </c>
      <c r="H67" s="77">
        <f t="shared" si="4"/>
        <v>0.36696200000000001</v>
      </c>
      <c r="I67" s="13">
        <v>0</v>
      </c>
    </row>
    <row r="68" spans="1:21" ht="24" hidden="1" customHeight="1">
      <c r="A68" s="29"/>
      <c r="B68" s="78" t="s">
        <v>115</v>
      </c>
      <c r="C68" s="16" t="s">
        <v>32</v>
      </c>
      <c r="D68" s="14"/>
      <c r="E68" s="63">
        <v>8.6</v>
      </c>
      <c r="F68" s="13">
        <f>SUM(E68)</f>
        <v>8.6</v>
      </c>
      <c r="G68" s="13">
        <v>39.81</v>
      </c>
      <c r="H68" s="77">
        <f t="shared" si="4"/>
        <v>0.342366</v>
      </c>
      <c r="I68" s="13">
        <v>0</v>
      </c>
    </row>
    <row r="69" spans="1:21" ht="23.25" hidden="1" customHeight="1">
      <c r="A69" s="29"/>
      <c r="B69" s="14" t="s">
        <v>54</v>
      </c>
      <c r="C69" s="16" t="s">
        <v>55</v>
      </c>
      <c r="D69" s="14" t="s">
        <v>51</v>
      </c>
      <c r="E69" s="18">
        <v>5</v>
      </c>
      <c r="F69" s="64">
        <v>5</v>
      </c>
      <c r="G69" s="13">
        <v>56.74</v>
      </c>
      <c r="H69" s="77">
        <f t="shared" si="4"/>
        <v>0.28370000000000001</v>
      </c>
      <c r="I69" s="13">
        <v>0</v>
      </c>
    </row>
    <row r="70" spans="1:21" ht="23.25" customHeight="1">
      <c r="A70" s="29"/>
      <c r="B70" s="121" t="s">
        <v>188</v>
      </c>
      <c r="C70" s="110"/>
      <c r="D70" s="35"/>
      <c r="E70" s="17"/>
      <c r="F70" s="101"/>
      <c r="G70" s="34"/>
      <c r="H70" s="77"/>
      <c r="I70" s="13"/>
    </row>
    <row r="71" spans="1:21" ht="35.25" customHeight="1">
      <c r="A71" s="29">
        <v>15</v>
      </c>
      <c r="B71" s="122" t="s">
        <v>189</v>
      </c>
      <c r="C71" s="104" t="s">
        <v>190</v>
      </c>
      <c r="D71" s="35"/>
      <c r="E71" s="17">
        <v>2177.1</v>
      </c>
      <c r="F71" s="34">
        <f>E71*12</f>
        <v>26125.199999999997</v>
      </c>
      <c r="G71" s="34">
        <v>2.6</v>
      </c>
      <c r="H71" s="77"/>
      <c r="I71" s="13">
        <f>G71*F71/12</f>
        <v>5660.4599999999991</v>
      </c>
    </row>
    <row r="72" spans="1:21" ht="15.75" customHeight="1">
      <c r="A72" s="29"/>
      <c r="B72" s="85" t="s">
        <v>68</v>
      </c>
      <c r="C72" s="16"/>
      <c r="D72" s="14"/>
      <c r="E72" s="18"/>
      <c r="F72" s="13"/>
      <c r="G72" s="13"/>
      <c r="H72" s="77" t="s">
        <v>128</v>
      </c>
      <c r="I72" s="13"/>
    </row>
    <row r="73" spans="1:21" ht="16.5" customHeight="1">
      <c r="A73" s="29">
        <v>16</v>
      </c>
      <c r="B73" s="14" t="s">
        <v>121</v>
      </c>
      <c r="C73" s="16" t="s">
        <v>122</v>
      </c>
      <c r="D73" s="14"/>
      <c r="E73" s="18">
        <v>4</v>
      </c>
      <c r="F73" s="13">
        <f>E73</f>
        <v>4</v>
      </c>
      <c r="G73" s="126">
        <v>148.87</v>
      </c>
      <c r="H73" s="77">
        <f t="shared" si="4"/>
        <v>0.59548000000000001</v>
      </c>
      <c r="I73" s="13">
        <f>G73*1</f>
        <v>148.87</v>
      </c>
    </row>
    <row r="74" spans="1:21" ht="15.75" customHeight="1">
      <c r="A74" s="29">
        <v>17</v>
      </c>
      <c r="B74" s="14" t="s">
        <v>69</v>
      </c>
      <c r="C74" s="16" t="s">
        <v>71</v>
      </c>
      <c r="D74" s="14" t="s">
        <v>215</v>
      </c>
      <c r="E74" s="18">
        <v>20</v>
      </c>
      <c r="F74" s="13">
        <v>2</v>
      </c>
      <c r="G74" s="126">
        <v>747.85</v>
      </c>
      <c r="H74" s="77">
        <f t="shared" si="4"/>
        <v>1.4957</v>
      </c>
      <c r="I74" s="13">
        <f>G74*4.1</f>
        <v>3066.1849999999999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56">
        <v>2</v>
      </c>
      <c r="G75" s="13">
        <v>970.21</v>
      </c>
      <c r="H75" s="77">
        <f>F75*G75/1000</f>
        <v>1.94042</v>
      </c>
      <c r="I75" s="13">
        <v>0</v>
      </c>
    </row>
    <row r="76" spans="1:21" ht="22.5" hidden="1" customHeight="1">
      <c r="A76" s="29">
        <v>14</v>
      </c>
      <c r="B76" s="14" t="s">
        <v>80</v>
      </c>
      <c r="C76" s="16" t="s">
        <v>30</v>
      </c>
      <c r="D76" s="14"/>
      <c r="E76" s="18">
        <v>2</v>
      </c>
      <c r="F76" s="13">
        <v>2</v>
      </c>
      <c r="G76" s="13">
        <v>407.79</v>
      </c>
      <c r="H76" s="77">
        <f>G76*F76/1000</f>
        <v>0.81558000000000008</v>
      </c>
      <c r="I76" s="13">
        <f>G76*1</f>
        <v>407.79</v>
      </c>
    </row>
    <row r="77" spans="1:21" ht="32.25" customHeight="1">
      <c r="A77" s="29">
        <v>18</v>
      </c>
      <c r="B77" s="35" t="s">
        <v>187</v>
      </c>
      <c r="C77" s="110" t="s">
        <v>30</v>
      </c>
      <c r="D77" s="35" t="s">
        <v>166</v>
      </c>
      <c r="E77" s="17">
        <v>1</v>
      </c>
      <c r="F77" s="34">
        <v>1</v>
      </c>
      <c r="G77" s="34">
        <v>425</v>
      </c>
      <c r="H77" s="77"/>
      <c r="I77" s="13">
        <f>G77*1</f>
        <v>425</v>
      </c>
    </row>
    <row r="78" spans="1:21" ht="18.75" hidden="1" customHeight="1">
      <c r="A78" s="29"/>
      <c r="B78" s="80" t="s">
        <v>72</v>
      </c>
      <c r="C78" s="16"/>
      <c r="D78" s="14"/>
      <c r="E78" s="18"/>
      <c r="F78" s="13"/>
      <c r="G78" s="13" t="s">
        <v>128</v>
      </c>
      <c r="H78" s="77" t="s">
        <v>128</v>
      </c>
      <c r="I78" s="13"/>
    </row>
    <row r="79" spans="1:21" ht="17.25" hidden="1" customHeight="1">
      <c r="A79" s="29"/>
      <c r="B79" s="43" t="s">
        <v>118</v>
      </c>
      <c r="C79" s="16" t="s">
        <v>73</v>
      </c>
      <c r="D79" s="14"/>
      <c r="E79" s="18"/>
      <c r="F79" s="13">
        <v>1</v>
      </c>
      <c r="G79" s="13">
        <v>3138.63</v>
      </c>
      <c r="H79" s="77">
        <f t="shared" si="4"/>
        <v>3.13863</v>
      </c>
      <c r="I79" s="13">
        <v>0</v>
      </c>
    </row>
    <row r="80" spans="1:21" ht="15.75" hidden="1" customHeight="1">
      <c r="A80" s="29"/>
      <c r="B80" s="54" t="s">
        <v>116</v>
      </c>
      <c r="C80" s="80"/>
      <c r="D80" s="31"/>
      <c r="E80" s="32"/>
      <c r="F80" s="67"/>
      <c r="G80" s="67"/>
      <c r="H80" s="81">
        <f>SUM(H57:H79)</f>
        <v>69.852599006000005</v>
      </c>
      <c r="I80" s="67"/>
    </row>
    <row r="81" spans="1:9" ht="14.25" hidden="1" customHeight="1">
      <c r="A81" s="29">
        <v>14</v>
      </c>
      <c r="B81" s="61" t="s">
        <v>117</v>
      </c>
      <c r="C81" s="16"/>
      <c r="D81" s="14"/>
      <c r="E81" s="57"/>
      <c r="F81" s="13">
        <v>1</v>
      </c>
      <c r="G81" s="13">
        <v>2263</v>
      </c>
      <c r="H81" s="77">
        <f>G81*F81/1000</f>
        <v>2.2629999999999999</v>
      </c>
      <c r="I81" s="13">
        <f>G81*1</f>
        <v>2263</v>
      </c>
    </row>
    <row r="82" spans="1:9" ht="15.75" customHeight="1">
      <c r="A82" s="148" t="s">
        <v>142</v>
      </c>
      <c r="B82" s="149"/>
      <c r="C82" s="149"/>
      <c r="D82" s="149"/>
      <c r="E82" s="149"/>
      <c r="F82" s="149"/>
      <c r="G82" s="149"/>
      <c r="H82" s="149"/>
      <c r="I82" s="150"/>
    </row>
    <row r="83" spans="1:9" ht="15.75" customHeight="1">
      <c r="A83" s="29">
        <v>19</v>
      </c>
      <c r="B83" s="105" t="s">
        <v>119</v>
      </c>
      <c r="C83" s="110" t="s">
        <v>52</v>
      </c>
      <c r="D83" s="124"/>
      <c r="E83" s="34">
        <v>2177.1</v>
      </c>
      <c r="F83" s="34">
        <f>SUM(E83*12)</f>
        <v>26125.199999999997</v>
      </c>
      <c r="G83" s="34">
        <v>3.5</v>
      </c>
      <c r="H83" s="77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20</v>
      </c>
      <c r="B84" s="35" t="s">
        <v>191</v>
      </c>
      <c r="C84" s="110" t="s">
        <v>52</v>
      </c>
      <c r="D84" s="47"/>
      <c r="E84" s="99">
        <f>E83</f>
        <v>2177.1</v>
      </c>
      <c r="F84" s="34">
        <f>E84*12</f>
        <v>26125.199999999997</v>
      </c>
      <c r="G84" s="34">
        <v>3.24</v>
      </c>
      <c r="H84" s="77">
        <f>F84*G84/1000</f>
        <v>84.645647999999994</v>
      </c>
      <c r="I84" s="13">
        <f>F84/12*G84</f>
        <v>7053.8040000000001</v>
      </c>
    </row>
    <row r="85" spans="1:9" ht="15.75" customHeight="1">
      <c r="A85" s="29"/>
      <c r="B85" s="36" t="s">
        <v>75</v>
      </c>
      <c r="C85" s="80"/>
      <c r="D85" s="79"/>
      <c r="E85" s="67"/>
      <c r="F85" s="67"/>
      <c r="G85" s="67"/>
      <c r="H85" s="81">
        <f>H84</f>
        <v>84.645647999999994</v>
      </c>
      <c r="I85" s="67">
        <f>I84+I83+I77+I74+I73+I71+I60+I59+I57+I54+I44+I43+I42+I41+I40+I38+I37+I18+I17+I16</f>
        <v>66853.485012116667</v>
      </c>
    </row>
    <row r="86" spans="1:9" ht="15.75" customHeight="1">
      <c r="A86" s="151" t="s">
        <v>57</v>
      </c>
      <c r="B86" s="152"/>
      <c r="C86" s="152"/>
      <c r="D86" s="152"/>
      <c r="E86" s="152"/>
      <c r="F86" s="152"/>
      <c r="G86" s="152"/>
      <c r="H86" s="152"/>
      <c r="I86" s="153"/>
    </row>
    <row r="87" spans="1:9" ht="31.5" customHeight="1">
      <c r="A87" s="29">
        <v>21</v>
      </c>
      <c r="B87" s="103" t="s">
        <v>172</v>
      </c>
      <c r="C87" s="104" t="s">
        <v>173</v>
      </c>
      <c r="D87" s="47"/>
      <c r="E87" s="34"/>
      <c r="F87" s="34">
        <v>0.6</v>
      </c>
      <c r="G87" s="34">
        <v>1948.52</v>
      </c>
      <c r="H87" s="77"/>
      <c r="I87" s="13">
        <f>G87*0.2</f>
        <v>389.70400000000001</v>
      </c>
    </row>
    <row r="88" spans="1:9" ht="18.75" customHeight="1">
      <c r="A88" s="29">
        <v>22</v>
      </c>
      <c r="B88" s="95" t="s">
        <v>174</v>
      </c>
      <c r="C88" s="48" t="s">
        <v>175</v>
      </c>
      <c r="D88" s="47"/>
      <c r="E88" s="34"/>
      <c r="F88" s="34">
        <v>3</v>
      </c>
      <c r="G88" s="34">
        <v>960.81</v>
      </c>
      <c r="H88" s="77"/>
      <c r="I88" s="13">
        <f>G88*1</f>
        <v>960.81</v>
      </c>
    </row>
    <row r="89" spans="1:9" ht="31.5" customHeight="1">
      <c r="A89" s="29">
        <v>23</v>
      </c>
      <c r="B89" s="95" t="s">
        <v>156</v>
      </c>
      <c r="C89" s="48" t="s">
        <v>36</v>
      </c>
      <c r="D89" s="47" t="s">
        <v>166</v>
      </c>
      <c r="E89" s="34"/>
      <c r="F89" s="34">
        <v>0.04</v>
      </c>
      <c r="G89" s="34">
        <v>4233.72</v>
      </c>
      <c r="H89" s="77"/>
      <c r="I89" s="13">
        <v>0</v>
      </c>
    </row>
    <row r="90" spans="1:9" ht="17.25" customHeight="1">
      <c r="A90" s="29">
        <v>24</v>
      </c>
      <c r="B90" s="95" t="s">
        <v>157</v>
      </c>
      <c r="C90" s="48" t="s">
        <v>109</v>
      </c>
      <c r="D90" s="47" t="s">
        <v>179</v>
      </c>
      <c r="E90" s="34"/>
      <c r="F90" s="34">
        <v>2</v>
      </c>
      <c r="G90" s="34">
        <v>725.12</v>
      </c>
      <c r="H90" s="77"/>
      <c r="I90" s="13">
        <f>G90*1</f>
        <v>725.12</v>
      </c>
    </row>
    <row r="91" spans="1:9" ht="17.25" customHeight="1">
      <c r="A91" s="29">
        <v>25</v>
      </c>
      <c r="B91" s="95" t="s">
        <v>153</v>
      </c>
      <c r="C91" s="48" t="s">
        <v>149</v>
      </c>
      <c r="D91" s="47" t="s">
        <v>217</v>
      </c>
      <c r="E91" s="34"/>
      <c r="F91" s="34">
        <v>20</v>
      </c>
      <c r="G91" s="34">
        <v>295.36</v>
      </c>
      <c r="H91" s="77"/>
      <c r="I91" s="13">
        <v>0</v>
      </c>
    </row>
    <row r="92" spans="1:9" ht="17.25" customHeight="1">
      <c r="A92" s="29">
        <v>26</v>
      </c>
      <c r="B92" s="95" t="s">
        <v>181</v>
      </c>
      <c r="C92" s="48" t="s">
        <v>182</v>
      </c>
      <c r="D92" s="47"/>
      <c r="E92" s="34"/>
      <c r="F92" s="34">
        <v>2</v>
      </c>
      <c r="G92" s="34">
        <v>236.08</v>
      </c>
      <c r="H92" s="77"/>
      <c r="I92" s="13">
        <f>G92*1</f>
        <v>236.08</v>
      </c>
    </row>
    <row r="93" spans="1:9" ht="17.25" customHeight="1">
      <c r="A93" s="29">
        <v>27</v>
      </c>
      <c r="B93" s="95" t="s">
        <v>76</v>
      </c>
      <c r="C93" s="48" t="s">
        <v>109</v>
      </c>
      <c r="D93" s="47"/>
      <c r="E93" s="34"/>
      <c r="F93" s="34">
        <v>4</v>
      </c>
      <c r="G93" s="34">
        <v>224.48</v>
      </c>
      <c r="H93" s="77"/>
      <c r="I93" s="13">
        <f>G93*2</f>
        <v>448.96</v>
      </c>
    </row>
    <row r="94" spans="1:9" ht="15.75" customHeight="1">
      <c r="A94" s="29"/>
      <c r="B94" s="41" t="s">
        <v>49</v>
      </c>
      <c r="C94" s="37"/>
      <c r="D94" s="45"/>
      <c r="E94" s="37">
        <v>1</v>
      </c>
      <c r="F94" s="37"/>
      <c r="G94" s="37"/>
      <c r="H94" s="37"/>
      <c r="I94" s="32">
        <f>SUM(I87:I93)</f>
        <v>2760.674</v>
      </c>
    </row>
    <row r="95" spans="1:9" ht="15.75" customHeight="1">
      <c r="A95" s="29"/>
      <c r="B95" s="43" t="s">
        <v>74</v>
      </c>
      <c r="C95" s="15"/>
      <c r="D95" s="15"/>
      <c r="E95" s="38"/>
      <c r="F95" s="38"/>
      <c r="G95" s="39"/>
      <c r="H95" s="39"/>
      <c r="I95" s="17">
        <v>0</v>
      </c>
    </row>
    <row r="96" spans="1:9" ht="15.75" customHeight="1">
      <c r="A96" s="46"/>
      <c r="B96" s="42" t="s">
        <v>147</v>
      </c>
      <c r="C96" s="33"/>
      <c r="D96" s="33"/>
      <c r="E96" s="33"/>
      <c r="F96" s="33"/>
      <c r="G96" s="33"/>
      <c r="H96" s="33"/>
      <c r="I96" s="40">
        <f>I85+I94</f>
        <v>69614.159012116666</v>
      </c>
    </row>
    <row r="97" spans="1:9" ht="15.75">
      <c r="A97" s="147" t="s">
        <v>218</v>
      </c>
      <c r="B97" s="147"/>
      <c r="C97" s="147"/>
      <c r="D97" s="147"/>
      <c r="E97" s="147"/>
      <c r="F97" s="147"/>
      <c r="G97" s="147"/>
      <c r="H97" s="147"/>
      <c r="I97" s="147"/>
    </row>
    <row r="98" spans="1:9" ht="15.75">
      <c r="A98" s="55"/>
      <c r="B98" s="159" t="s">
        <v>219</v>
      </c>
      <c r="C98" s="159"/>
      <c r="D98" s="159"/>
      <c r="E98" s="159"/>
      <c r="F98" s="159"/>
      <c r="G98" s="159"/>
      <c r="H98" s="60"/>
      <c r="I98" s="3"/>
    </row>
    <row r="99" spans="1:9">
      <c r="A99" s="52"/>
      <c r="B99" s="156" t="s">
        <v>6</v>
      </c>
      <c r="C99" s="156"/>
      <c r="D99" s="156"/>
      <c r="E99" s="156"/>
      <c r="F99" s="156"/>
      <c r="G99" s="156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60" t="s">
        <v>7</v>
      </c>
      <c r="B101" s="160"/>
      <c r="C101" s="160"/>
      <c r="D101" s="160"/>
      <c r="E101" s="160"/>
      <c r="F101" s="160"/>
      <c r="G101" s="160"/>
      <c r="H101" s="160"/>
      <c r="I101" s="160"/>
    </row>
    <row r="102" spans="1:9" ht="15.75">
      <c r="A102" s="160" t="s">
        <v>8</v>
      </c>
      <c r="B102" s="160"/>
      <c r="C102" s="160"/>
      <c r="D102" s="160"/>
      <c r="E102" s="160"/>
      <c r="F102" s="160"/>
      <c r="G102" s="160"/>
      <c r="H102" s="160"/>
      <c r="I102" s="160"/>
    </row>
    <row r="103" spans="1:9" ht="15.75">
      <c r="A103" s="143" t="s">
        <v>58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5.75">
      <c r="A104" s="11"/>
    </row>
    <row r="105" spans="1:9" ht="15.75">
      <c r="A105" s="144" t="s">
        <v>9</v>
      </c>
      <c r="B105" s="144"/>
      <c r="C105" s="144"/>
      <c r="D105" s="144"/>
      <c r="E105" s="144"/>
      <c r="F105" s="144"/>
      <c r="G105" s="144"/>
      <c r="H105" s="144"/>
      <c r="I105" s="144"/>
    </row>
    <row r="106" spans="1:9" ht="15.75">
      <c r="A106" s="4"/>
    </row>
    <row r="107" spans="1:9" ht="15.75">
      <c r="B107" s="50" t="s">
        <v>10</v>
      </c>
      <c r="C107" s="161" t="s">
        <v>183</v>
      </c>
      <c r="D107" s="161"/>
      <c r="E107" s="161"/>
      <c r="F107" s="58"/>
      <c r="I107" s="51"/>
    </row>
    <row r="108" spans="1:9">
      <c r="A108" s="52"/>
      <c r="C108" s="156" t="s">
        <v>11</v>
      </c>
      <c r="D108" s="156"/>
      <c r="E108" s="156"/>
      <c r="F108" s="24"/>
      <c r="I108" s="49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50" t="s">
        <v>13</v>
      </c>
      <c r="C110" s="157"/>
      <c r="D110" s="157"/>
      <c r="E110" s="157"/>
      <c r="F110" s="59"/>
      <c r="I110" s="51"/>
    </row>
    <row r="111" spans="1:9">
      <c r="A111" s="52"/>
      <c r="C111" s="146" t="s">
        <v>11</v>
      </c>
      <c r="D111" s="146"/>
      <c r="E111" s="146"/>
      <c r="F111" s="52"/>
      <c r="I111" s="49" t="s">
        <v>12</v>
      </c>
    </row>
    <row r="112" spans="1:9" ht="15.75">
      <c r="A112" s="4" t="s">
        <v>14</v>
      </c>
    </row>
    <row r="113" spans="1:9">
      <c r="A113" s="158" t="s">
        <v>15</v>
      </c>
      <c r="B113" s="158"/>
      <c r="C113" s="158"/>
      <c r="D113" s="158"/>
      <c r="E113" s="158"/>
      <c r="F113" s="158"/>
      <c r="G113" s="158"/>
      <c r="H113" s="158"/>
      <c r="I113" s="158"/>
    </row>
    <row r="114" spans="1:9" ht="45" customHeight="1">
      <c r="A114" s="154" t="s">
        <v>16</v>
      </c>
      <c r="B114" s="154"/>
      <c r="C114" s="154"/>
      <c r="D114" s="154"/>
      <c r="E114" s="154"/>
      <c r="F114" s="154"/>
      <c r="G114" s="154"/>
      <c r="H114" s="154"/>
      <c r="I114" s="154"/>
    </row>
    <row r="115" spans="1:9" ht="30" customHeight="1">
      <c r="A115" s="154" t="s">
        <v>17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30" customHeight="1">
      <c r="A116" s="154" t="s">
        <v>21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15" customHeight="1">
      <c r="A117" s="154" t="s">
        <v>20</v>
      </c>
      <c r="B117" s="154"/>
      <c r="C117" s="154"/>
      <c r="D117" s="154"/>
      <c r="E117" s="154"/>
      <c r="F117" s="154"/>
      <c r="G117" s="154"/>
      <c r="H117" s="154"/>
      <c r="I117" s="154"/>
    </row>
  </sheetData>
  <autoFilter ref="I12:I59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5:I45"/>
    <mergeCell ref="A55:I55"/>
    <mergeCell ref="A97:I97"/>
    <mergeCell ref="B98:G98"/>
    <mergeCell ref="B99:G99"/>
    <mergeCell ref="A101:I101"/>
    <mergeCell ref="A102:I102"/>
    <mergeCell ref="A86:I86"/>
    <mergeCell ref="R64:U64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54"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138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220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44316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ref="H19:H24" si="1">SUM(F19*G19/1000)</f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1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1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1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1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1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hidden="1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31.5" hidden="1" customHeight="1">
      <c r="A28" s="29">
        <v>6</v>
      </c>
      <c r="B28" s="61" t="s">
        <v>94</v>
      </c>
      <c r="C28" s="62" t="s">
        <v>124</v>
      </c>
      <c r="D28" s="61" t="s">
        <v>125</v>
      </c>
      <c r="E28" s="64">
        <v>2497.6999999999998</v>
      </c>
      <c r="F28" s="64">
        <f>SUM(E28*52/1000)</f>
        <v>129.88039999999998</v>
      </c>
      <c r="G28" s="64">
        <v>177.3</v>
      </c>
      <c r="H28" s="65">
        <f t="shared" ref="H28:H34" si="2">SUM(F28*G28/1000)</f>
        <v>23.027794919999998</v>
      </c>
      <c r="I28" s="13">
        <f>F28/6*G28</f>
        <v>3837.9658199999994</v>
      </c>
      <c r="J28" s="22"/>
      <c r="K28" s="8"/>
      <c r="L28" s="8"/>
      <c r="M28" s="8"/>
    </row>
    <row r="29" spans="1:13" ht="31.5" hidden="1" customHeight="1">
      <c r="A29" s="29">
        <v>7</v>
      </c>
      <c r="B29" s="61" t="s">
        <v>134</v>
      </c>
      <c r="C29" s="62" t="s">
        <v>95</v>
      </c>
      <c r="D29" s="61" t="s">
        <v>126</v>
      </c>
      <c r="E29" s="64">
        <v>266.37</v>
      </c>
      <c r="F29" s="64">
        <f>SUM(E29*78/1000)</f>
        <v>20.776859999999999</v>
      </c>
      <c r="G29" s="64">
        <v>297.17</v>
      </c>
      <c r="H29" s="65">
        <f t="shared" si="2"/>
        <v>6.1742594862000004</v>
      </c>
      <c r="I29" s="13">
        <f>F29/6*G29</f>
        <v>1029.0432476999999</v>
      </c>
      <c r="J29" s="22"/>
      <c r="K29" s="8"/>
      <c r="L29" s="8"/>
      <c r="M29" s="8"/>
    </row>
    <row r="30" spans="1:13" ht="15.75" hidden="1" customHeight="1">
      <c r="A30" s="29">
        <v>8</v>
      </c>
      <c r="B30" s="61" t="s">
        <v>27</v>
      </c>
      <c r="C30" s="62" t="s">
        <v>95</v>
      </c>
      <c r="D30" s="61" t="s">
        <v>51</v>
      </c>
      <c r="E30" s="64">
        <v>2497.6999999999998</v>
      </c>
      <c r="F30" s="64">
        <f>SUM(E30/1000)</f>
        <v>2.4977</v>
      </c>
      <c r="G30" s="64">
        <v>3435.36</v>
      </c>
      <c r="H30" s="65">
        <f t="shared" si="2"/>
        <v>8.5804986719999992</v>
      </c>
      <c r="I30" s="13">
        <f>F30*G30</f>
        <v>8580.4986719999997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98</v>
      </c>
      <c r="C31" s="62" t="s">
        <v>38</v>
      </c>
      <c r="D31" s="61" t="s">
        <v>60</v>
      </c>
      <c r="E31" s="64">
        <v>2</v>
      </c>
      <c r="F31" s="64">
        <v>3.1</v>
      </c>
      <c r="G31" s="64">
        <v>1480.94</v>
      </c>
      <c r="H31" s="65">
        <f>G31*F31/1000</f>
        <v>4.5909140000000006</v>
      </c>
      <c r="I31" s="13">
        <f>F31/6*G31</f>
        <v>765.15233333333344</v>
      </c>
      <c r="J31" s="22"/>
      <c r="K31" s="8"/>
      <c r="L31" s="8"/>
      <c r="M31" s="8"/>
    </row>
    <row r="32" spans="1:13" ht="15.75" hidden="1" customHeight="1">
      <c r="A32" s="29">
        <v>9</v>
      </c>
      <c r="B32" s="61" t="s">
        <v>99</v>
      </c>
      <c r="C32" s="62" t="s">
        <v>30</v>
      </c>
      <c r="D32" s="61" t="s">
        <v>60</v>
      </c>
      <c r="E32" s="68">
        <v>0.33333333333333331</v>
      </c>
      <c r="F32" s="64">
        <f>155/3</f>
        <v>51.666666666666664</v>
      </c>
      <c r="G32" s="64">
        <v>64.48</v>
      </c>
      <c r="H32" s="65">
        <f>SUM(G32*155/3/1000)</f>
        <v>3.331466666666667</v>
      </c>
      <c r="I32" s="13">
        <f>F32/6*G32</f>
        <v>555.24444444444441</v>
      </c>
      <c r="J32" s="22"/>
      <c r="K32" s="8"/>
      <c r="L32" s="8"/>
      <c r="M32" s="8"/>
    </row>
    <row r="33" spans="1:14" ht="15.75" hidden="1" customHeight="1">
      <c r="A33" s="29"/>
      <c r="B33" s="61" t="s">
        <v>61</v>
      </c>
      <c r="C33" s="62" t="s">
        <v>32</v>
      </c>
      <c r="D33" s="61" t="s">
        <v>127</v>
      </c>
      <c r="E33" s="63"/>
      <c r="F33" s="64">
        <v>2</v>
      </c>
      <c r="G33" s="64">
        <v>217.61</v>
      </c>
      <c r="H33" s="65">
        <f t="shared" si="2"/>
        <v>0.43522000000000005</v>
      </c>
      <c r="I33" s="13">
        <v>0</v>
      </c>
      <c r="J33" s="22"/>
      <c r="K33" s="8"/>
    </row>
    <row r="34" spans="1:14" ht="15.75" hidden="1" customHeight="1">
      <c r="A34" s="29"/>
      <c r="B34" s="61" t="s">
        <v>62</v>
      </c>
      <c r="C34" s="62" t="s">
        <v>31</v>
      </c>
      <c r="D34" s="61" t="s">
        <v>127</v>
      </c>
      <c r="E34" s="63"/>
      <c r="F34" s="64">
        <v>1</v>
      </c>
      <c r="G34" s="64">
        <v>1292.47</v>
      </c>
      <c r="H34" s="65">
        <f t="shared" si="2"/>
        <v>1.29247</v>
      </c>
      <c r="I34" s="13">
        <v>0</v>
      </c>
      <c r="J34" s="23"/>
    </row>
    <row r="35" spans="1:14" ht="15.75" customHeight="1">
      <c r="A35" s="70"/>
      <c r="B35" s="83" t="s">
        <v>5</v>
      </c>
      <c r="C35" s="62"/>
      <c r="D35" s="61"/>
      <c r="E35" s="63"/>
      <c r="F35" s="64"/>
      <c r="G35" s="64"/>
      <c r="H35" s="65" t="s">
        <v>128</v>
      </c>
      <c r="I35" s="13"/>
      <c r="J35" s="23"/>
    </row>
    <row r="36" spans="1:14" ht="18" customHeight="1">
      <c r="A36" s="70">
        <v>4</v>
      </c>
      <c r="B36" s="61" t="s">
        <v>26</v>
      </c>
      <c r="C36" s="62" t="s">
        <v>31</v>
      </c>
      <c r="D36" s="61" t="s">
        <v>221</v>
      </c>
      <c r="E36" s="63"/>
      <c r="F36" s="64">
        <v>6</v>
      </c>
      <c r="G36" s="125">
        <v>1930</v>
      </c>
      <c r="H36" s="65">
        <f t="shared" ref="H36" si="3">SUM(F36*G36/1000)</f>
        <v>11.58</v>
      </c>
      <c r="I36" s="13">
        <f>G36*0.5</f>
        <v>965</v>
      </c>
      <c r="J36" s="23"/>
    </row>
    <row r="37" spans="1:14" ht="15.75" customHeight="1">
      <c r="A37" s="70">
        <v>5</v>
      </c>
      <c r="B37" s="116" t="s">
        <v>100</v>
      </c>
      <c r="C37" s="117" t="s">
        <v>29</v>
      </c>
      <c r="D37" s="105" t="s">
        <v>163</v>
      </c>
      <c r="E37" s="115">
        <v>48.36</v>
      </c>
      <c r="F37" s="118">
        <f>E37*30/1000</f>
        <v>1.4507999999999999</v>
      </c>
      <c r="G37" s="108">
        <v>3134.93</v>
      </c>
      <c r="H37" s="65">
        <f>G37*F37/1000</f>
        <v>4.5481564439999991</v>
      </c>
      <c r="I37" s="13">
        <f>F37/6*G37</f>
        <v>758.02607399999988</v>
      </c>
      <c r="J37" s="23"/>
    </row>
    <row r="38" spans="1:14" ht="21.75" customHeight="1">
      <c r="A38" s="70">
        <v>5</v>
      </c>
      <c r="B38" s="105" t="s">
        <v>101</v>
      </c>
      <c r="C38" s="106" t="s">
        <v>102</v>
      </c>
      <c r="D38" s="105" t="s">
        <v>222</v>
      </c>
      <c r="E38" s="115"/>
      <c r="F38" s="118">
        <v>39</v>
      </c>
      <c r="G38" s="108">
        <v>330</v>
      </c>
      <c r="H38" s="65">
        <f>G38*F38/1000</f>
        <v>12.87</v>
      </c>
      <c r="I38" s="13">
        <f>G38*39</f>
        <v>12870</v>
      </c>
      <c r="J38" s="23"/>
      <c r="L38" s="19"/>
      <c r="M38" s="20"/>
      <c r="N38" s="21"/>
    </row>
    <row r="39" spans="1:14" ht="15.75" customHeight="1">
      <c r="A39" s="70">
        <v>7</v>
      </c>
      <c r="B39" s="105" t="s">
        <v>64</v>
      </c>
      <c r="C39" s="106" t="s">
        <v>29</v>
      </c>
      <c r="D39" s="105" t="s">
        <v>164</v>
      </c>
      <c r="E39" s="108">
        <v>53.69</v>
      </c>
      <c r="F39" s="118">
        <f>SUM(E39*155/1000)</f>
        <v>8.3219499999999993</v>
      </c>
      <c r="G39" s="108">
        <v>522.92999999999995</v>
      </c>
      <c r="H39" s="65">
        <f t="shared" ref="H39:H42" si="4">SUM(F39*G39/1000)</f>
        <v>4.3517973134999997</v>
      </c>
      <c r="I39" s="13">
        <f>F39/6*G39</f>
        <v>725.29955224999992</v>
      </c>
      <c r="J39" s="23"/>
      <c r="L39" s="19"/>
      <c r="M39" s="20"/>
      <c r="N39" s="21"/>
    </row>
    <row r="40" spans="1:14" ht="47.25" customHeight="1">
      <c r="A40" s="70">
        <v>8</v>
      </c>
      <c r="B40" s="105" t="s">
        <v>77</v>
      </c>
      <c r="C40" s="106" t="s">
        <v>95</v>
      </c>
      <c r="D40" s="105" t="s">
        <v>165</v>
      </c>
      <c r="E40" s="108">
        <v>23.93</v>
      </c>
      <c r="F40" s="118">
        <f>SUM(E40*24/1000)</f>
        <v>0.57431999999999994</v>
      </c>
      <c r="G40" s="108">
        <v>8652.07</v>
      </c>
      <c r="H40" s="65">
        <f t="shared" si="4"/>
        <v>4.9690568423999997</v>
      </c>
      <c r="I40" s="13">
        <f>F40/6*G40</f>
        <v>828.17614039999989</v>
      </c>
      <c r="J40" s="23"/>
      <c r="L40" s="19"/>
      <c r="M40" s="20"/>
      <c r="N40" s="21"/>
    </row>
    <row r="41" spans="1:14" ht="15.75" hidden="1" customHeight="1">
      <c r="A41" s="29">
        <v>10</v>
      </c>
      <c r="B41" s="105" t="s">
        <v>105</v>
      </c>
      <c r="C41" s="106" t="s">
        <v>95</v>
      </c>
      <c r="D41" s="105" t="s">
        <v>161</v>
      </c>
      <c r="E41" s="108">
        <v>48.36</v>
      </c>
      <c r="F41" s="118">
        <f>SUM(E41*45/1000)</f>
        <v>2.1761999999999997</v>
      </c>
      <c r="G41" s="108">
        <v>639.14</v>
      </c>
      <c r="H41" s="65">
        <f t="shared" si="4"/>
        <v>1.3908964679999998</v>
      </c>
      <c r="I41" s="13">
        <f>G41*F41/45*2</f>
        <v>61.817620799999986</v>
      </c>
      <c r="J41" s="23"/>
      <c r="L41" s="19"/>
      <c r="M41" s="20"/>
      <c r="N41" s="21"/>
    </row>
    <row r="42" spans="1:14" ht="15.75" hidden="1" customHeight="1">
      <c r="A42" s="29">
        <v>11</v>
      </c>
      <c r="B42" s="116" t="s">
        <v>66</v>
      </c>
      <c r="C42" s="117" t="s">
        <v>32</v>
      </c>
      <c r="D42" s="116"/>
      <c r="E42" s="119"/>
      <c r="F42" s="118">
        <v>0.9</v>
      </c>
      <c r="G42" s="118">
        <v>900</v>
      </c>
      <c r="H42" s="65">
        <f t="shared" si="4"/>
        <v>0.81</v>
      </c>
      <c r="I42" s="13">
        <f>G42*F42/45*2</f>
        <v>36</v>
      </c>
      <c r="J42" s="23"/>
      <c r="L42" s="19"/>
      <c r="M42" s="20"/>
      <c r="N42" s="21"/>
    </row>
    <row r="43" spans="1:14" ht="31.5" customHeight="1">
      <c r="A43" s="29">
        <v>9</v>
      </c>
      <c r="B43" s="120" t="s">
        <v>186</v>
      </c>
      <c r="C43" s="117" t="s">
        <v>29</v>
      </c>
      <c r="D43" s="116" t="s">
        <v>196</v>
      </c>
      <c r="E43" s="119">
        <v>0.6</v>
      </c>
      <c r="F43" s="118">
        <f>E43*12/1000</f>
        <v>7.1999999999999989E-3</v>
      </c>
      <c r="G43" s="118">
        <v>20547.34</v>
      </c>
      <c r="H43" s="56"/>
      <c r="I43" s="13">
        <f>G43*F43/6</f>
        <v>24.656807999999998</v>
      </c>
      <c r="J43" s="23"/>
      <c r="L43" s="19"/>
      <c r="M43" s="20"/>
      <c r="N43" s="21"/>
    </row>
    <row r="44" spans="1:14" ht="21.75" hidden="1" customHeight="1">
      <c r="A44" s="148" t="s">
        <v>131</v>
      </c>
      <c r="B44" s="149"/>
      <c r="C44" s="149"/>
      <c r="D44" s="149"/>
      <c r="E44" s="149"/>
      <c r="F44" s="149"/>
      <c r="G44" s="149"/>
      <c r="H44" s="149"/>
      <c r="I44" s="150"/>
      <c r="J44" s="23"/>
      <c r="L44" s="19"/>
      <c r="M44" s="20"/>
      <c r="N44" s="21"/>
    </row>
    <row r="45" spans="1:14" ht="27.75" hidden="1" customHeight="1">
      <c r="A45" s="29"/>
      <c r="B45" s="61" t="s">
        <v>106</v>
      </c>
      <c r="C45" s="62" t="s">
        <v>95</v>
      </c>
      <c r="D45" s="61" t="s">
        <v>40</v>
      </c>
      <c r="E45" s="63">
        <v>614.29999999999995</v>
      </c>
      <c r="F45" s="64">
        <f>SUM(E45*2/1000)</f>
        <v>1.2285999999999999</v>
      </c>
      <c r="G45" s="13">
        <v>1094.96</v>
      </c>
      <c r="H45" s="65">
        <f t="shared" ref="H45:H53" si="5">SUM(F45*G45/1000)</f>
        <v>1.345267856</v>
      </c>
      <c r="I45" s="13">
        <v>0</v>
      </c>
      <c r="J45" s="23"/>
      <c r="L45" s="19"/>
      <c r="M45" s="20"/>
      <c r="N45" s="21"/>
    </row>
    <row r="46" spans="1:14" ht="30" hidden="1" customHeight="1">
      <c r="A46" s="29"/>
      <c r="B46" s="61" t="s">
        <v>33</v>
      </c>
      <c r="C46" s="62" t="s">
        <v>95</v>
      </c>
      <c r="D46" s="61" t="s">
        <v>40</v>
      </c>
      <c r="E46" s="63">
        <v>61</v>
      </c>
      <c r="F46" s="64">
        <f>E46*2/1000</f>
        <v>0.122</v>
      </c>
      <c r="G46" s="13">
        <v>3832.4</v>
      </c>
      <c r="H46" s="65">
        <f t="shared" si="5"/>
        <v>0.46755279999999999</v>
      </c>
      <c r="I46" s="13">
        <v>0</v>
      </c>
      <c r="J46" s="23"/>
      <c r="L46" s="19"/>
      <c r="M46" s="20"/>
      <c r="N46" s="21"/>
    </row>
    <row r="47" spans="1:14" ht="35.25" hidden="1" customHeight="1">
      <c r="A47" s="29"/>
      <c r="B47" s="61" t="s">
        <v>34</v>
      </c>
      <c r="C47" s="62" t="s">
        <v>95</v>
      </c>
      <c r="D47" s="61" t="s">
        <v>40</v>
      </c>
      <c r="E47" s="63">
        <v>3135.64</v>
      </c>
      <c r="F47" s="64">
        <f>SUM(E47*2/1000)</f>
        <v>6.27128</v>
      </c>
      <c r="G47" s="13">
        <v>1564.24</v>
      </c>
      <c r="H47" s="65">
        <f t="shared" si="5"/>
        <v>9.8097870272000005</v>
      </c>
      <c r="I47" s="13">
        <v>0</v>
      </c>
      <c r="J47" s="23"/>
      <c r="L47" s="19"/>
      <c r="M47" s="20"/>
      <c r="N47" s="21"/>
    </row>
    <row r="48" spans="1:14" ht="32.25" hidden="1" customHeight="1">
      <c r="A48" s="29"/>
      <c r="B48" s="61" t="s">
        <v>35</v>
      </c>
      <c r="C48" s="62" t="s">
        <v>95</v>
      </c>
      <c r="D48" s="61" t="s">
        <v>40</v>
      </c>
      <c r="E48" s="63">
        <v>1678.47</v>
      </c>
      <c r="F48" s="64">
        <f>SUM(E48*2/1000)</f>
        <v>3.3569400000000003</v>
      </c>
      <c r="G48" s="13">
        <v>1078.3599999999999</v>
      </c>
      <c r="H48" s="65">
        <f t="shared" si="5"/>
        <v>3.6199898183999997</v>
      </c>
      <c r="I48" s="13">
        <v>0</v>
      </c>
      <c r="J48" s="23"/>
      <c r="L48" s="19"/>
      <c r="M48" s="20"/>
      <c r="N48" s="21"/>
    </row>
    <row r="49" spans="1:22" ht="36" hidden="1" customHeight="1">
      <c r="A49" s="29">
        <v>12</v>
      </c>
      <c r="B49" s="61" t="s">
        <v>53</v>
      </c>
      <c r="C49" s="62" t="s">
        <v>95</v>
      </c>
      <c r="D49" s="61" t="s">
        <v>135</v>
      </c>
      <c r="E49" s="63">
        <v>614.29999999999995</v>
      </c>
      <c r="F49" s="64">
        <f>SUM(E49*5/1000)</f>
        <v>3.0714999999999999</v>
      </c>
      <c r="G49" s="13">
        <v>1838.49</v>
      </c>
      <c r="H49" s="65">
        <f t="shared" si="5"/>
        <v>5.6469220349999993</v>
      </c>
      <c r="I49" s="13">
        <f>F49/5*G49</f>
        <v>1129.384407</v>
      </c>
      <c r="J49" s="23"/>
      <c r="L49" s="19"/>
      <c r="M49" s="20"/>
      <c r="N49" s="21"/>
    </row>
    <row r="50" spans="1:22" ht="36.75" hidden="1" customHeight="1">
      <c r="A50" s="29">
        <v>12</v>
      </c>
      <c r="B50" s="61" t="s">
        <v>107</v>
      </c>
      <c r="C50" s="62" t="s">
        <v>95</v>
      </c>
      <c r="D50" s="61" t="s">
        <v>40</v>
      </c>
      <c r="E50" s="63">
        <v>614.29999999999995</v>
      </c>
      <c r="F50" s="64">
        <f>SUM(E50*2/1000)</f>
        <v>1.2285999999999999</v>
      </c>
      <c r="G50" s="13">
        <v>1380.31</v>
      </c>
      <c r="H50" s="65">
        <f t="shared" si="5"/>
        <v>1.6958488659999997</v>
      </c>
      <c r="I50" s="13">
        <f>F50/2*G50</f>
        <v>847.92443299999991</v>
      </c>
      <c r="J50" s="23"/>
      <c r="L50" s="19"/>
      <c r="M50" s="20"/>
      <c r="N50" s="21"/>
    </row>
    <row r="51" spans="1:22" ht="33.75" hidden="1" customHeight="1">
      <c r="A51" s="29">
        <v>13</v>
      </c>
      <c r="B51" s="61" t="s">
        <v>108</v>
      </c>
      <c r="C51" s="62" t="s">
        <v>36</v>
      </c>
      <c r="D51" s="61" t="s">
        <v>40</v>
      </c>
      <c r="E51" s="63">
        <v>20</v>
      </c>
      <c r="F51" s="64">
        <f>SUM(E51*2/100)</f>
        <v>0.4</v>
      </c>
      <c r="G51" s="13">
        <v>3519.56</v>
      </c>
      <c r="H51" s="65">
        <f t="shared" si="5"/>
        <v>1.407824</v>
      </c>
      <c r="I51" s="13">
        <f>F51/2*G51</f>
        <v>703.91200000000003</v>
      </c>
      <c r="J51" s="23"/>
      <c r="L51" s="19"/>
      <c r="M51" s="20"/>
      <c r="N51" s="21"/>
    </row>
    <row r="52" spans="1:22" ht="19.5" hidden="1" customHeight="1">
      <c r="A52" s="29">
        <v>14</v>
      </c>
      <c r="B52" s="61" t="s">
        <v>37</v>
      </c>
      <c r="C52" s="62" t="s">
        <v>38</v>
      </c>
      <c r="D52" s="61" t="s">
        <v>40</v>
      </c>
      <c r="E52" s="63">
        <v>1</v>
      </c>
      <c r="F52" s="64">
        <v>0.02</v>
      </c>
      <c r="G52" s="13">
        <v>6428.82</v>
      </c>
      <c r="H52" s="65">
        <f t="shared" si="5"/>
        <v>0.12857640000000001</v>
      </c>
      <c r="I52" s="13">
        <f>G52*0.01</f>
        <v>64.288200000000003</v>
      </c>
      <c r="J52" s="23"/>
      <c r="L52" s="19"/>
      <c r="M52" s="20"/>
      <c r="N52" s="21"/>
    </row>
    <row r="53" spans="1:22" ht="19.5" hidden="1" customHeight="1">
      <c r="A53" s="29">
        <v>14</v>
      </c>
      <c r="B53" s="61" t="s">
        <v>39</v>
      </c>
      <c r="C53" s="62" t="s">
        <v>109</v>
      </c>
      <c r="D53" s="61" t="s">
        <v>67</v>
      </c>
      <c r="E53" s="63">
        <v>170</v>
      </c>
      <c r="F53" s="64">
        <f>SUM(E53)*3</f>
        <v>510</v>
      </c>
      <c r="G53" s="13">
        <v>74.709999999999994</v>
      </c>
      <c r="H53" s="65">
        <f t="shared" si="5"/>
        <v>38.1021</v>
      </c>
      <c r="I53" s="13">
        <f>G53*E53</f>
        <v>12700.699999999999</v>
      </c>
      <c r="J53" s="23"/>
      <c r="L53" s="19"/>
      <c r="M53" s="20"/>
      <c r="N53" s="21"/>
    </row>
    <row r="54" spans="1:22" ht="15.75" customHeight="1">
      <c r="A54" s="148" t="s">
        <v>141</v>
      </c>
      <c r="B54" s="149"/>
      <c r="C54" s="149"/>
      <c r="D54" s="149"/>
      <c r="E54" s="149"/>
      <c r="F54" s="149"/>
      <c r="G54" s="149"/>
      <c r="H54" s="149"/>
      <c r="I54" s="150"/>
      <c r="J54" s="23"/>
      <c r="L54" s="19"/>
      <c r="M54" s="20"/>
      <c r="N54" s="21"/>
    </row>
    <row r="55" spans="1:22" ht="15.75" hidden="1" customHeight="1">
      <c r="A55" s="29"/>
      <c r="B55" s="83" t="s">
        <v>41</v>
      </c>
      <c r="C55" s="62"/>
      <c r="D55" s="61"/>
      <c r="E55" s="63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8</v>
      </c>
      <c r="B56" s="61" t="s">
        <v>110</v>
      </c>
      <c r="C56" s="62" t="s">
        <v>85</v>
      </c>
      <c r="D56" s="111">
        <v>43934</v>
      </c>
      <c r="E56" s="63">
        <v>63.07</v>
      </c>
      <c r="F56" s="64">
        <f>SUM(E56*6/100)</f>
        <v>3.7842000000000002</v>
      </c>
      <c r="G56" s="13">
        <v>1759.9</v>
      </c>
      <c r="H56" s="65">
        <f>SUM(F56*G56/1000)</f>
        <v>6.6598135800000007</v>
      </c>
      <c r="I56" s="13">
        <f>G56*0.285</f>
        <v>501.57149999999996</v>
      </c>
      <c r="J56" s="23"/>
      <c r="L56" s="19"/>
    </row>
    <row r="57" spans="1:22" ht="15.75" customHeight="1">
      <c r="A57" s="29"/>
      <c r="B57" s="84" t="s">
        <v>42</v>
      </c>
      <c r="C57" s="71"/>
      <c r="D57" s="72"/>
      <c r="E57" s="73"/>
      <c r="F57" s="74"/>
      <c r="G57" s="13"/>
      <c r="H57" s="75"/>
      <c r="I57" s="13"/>
    </row>
    <row r="58" spans="1:22" ht="15.75" hidden="1" customHeight="1">
      <c r="A58" s="29"/>
      <c r="B58" s="72" t="s">
        <v>130</v>
      </c>
      <c r="C58" s="71" t="s">
        <v>50</v>
      </c>
      <c r="D58" s="72" t="s">
        <v>51</v>
      </c>
      <c r="E58" s="73">
        <v>614.29999999999995</v>
      </c>
      <c r="F58" s="74">
        <v>6.1429999999999998</v>
      </c>
      <c r="G58" s="13">
        <v>902.66</v>
      </c>
      <c r="H58" s="75">
        <f>F58*G58/1000</f>
        <v>5.5450403799999997</v>
      </c>
      <c r="I58" s="13">
        <v>0</v>
      </c>
    </row>
    <row r="59" spans="1:22" ht="15.75" customHeight="1">
      <c r="A59" s="29">
        <v>10</v>
      </c>
      <c r="B59" s="72" t="s">
        <v>82</v>
      </c>
      <c r="C59" s="71" t="s">
        <v>25</v>
      </c>
      <c r="D59" s="72" t="s">
        <v>167</v>
      </c>
      <c r="E59" s="73">
        <v>100</v>
      </c>
      <c r="F59" s="76">
        <f>E59*12</f>
        <v>1200</v>
      </c>
      <c r="G59" s="56">
        <v>1.4</v>
      </c>
      <c r="H59" s="74">
        <f>F59*G59/1000</f>
        <v>1.68</v>
      </c>
      <c r="I59" s="13">
        <f>F59/12*G59</f>
        <v>140</v>
      </c>
    </row>
    <row r="60" spans="1:22" ht="15.75" hidden="1" customHeight="1">
      <c r="A60" s="29"/>
      <c r="B60" s="84" t="s">
        <v>43</v>
      </c>
      <c r="C60" s="71"/>
      <c r="D60" s="72"/>
      <c r="E60" s="73"/>
      <c r="F60" s="76"/>
      <c r="G60" s="76"/>
      <c r="H60" s="74" t="s">
        <v>128</v>
      </c>
      <c r="I60" s="1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9"/>
    </row>
    <row r="61" spans="1:22" ht="15.75" hidden="1" customHeight="1">
      <c r="A61" s="29"/>
      <c r="B61" s="14" t="s">
        <v>44</v>
      </c>
      <c r="C61" s="16" t="s">
        <v>109</v>
      </c>
      <c r="D61" s="14" t="s">
        <v>63</v>
      </c>
      <c r="E61" s="18">
        <v>25</v>
      </c>
      <c r="F61" s="64">
        <v>25</v>
      </c>
      <c r="G61" s="13">
        <v>252.96</v>
      </c>
      <c r="H61" s="77">
        <f t="shared" ref="H61:H78" si="6">SUM(F61*G61/1000)</f>
        <v>6.3239999999999998</v>
      </c>
      <c r="I61" s="13">
        <v>0</v>
      </c>
      <c r="J61" s="25"/>
      <c r="K61" s="25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29"/>
      <c r="B62" s="14" t="s">
        <v>45</v>
      </c>
      <c r="C62" s="16" t="s">
        <v>109</v>
      </c>
      <c r="D62" s="14" t="s">
        <v>63</v>
      </c>
      <c r="E62" s="18">
        <v>2</v>
      </c>
      <c r="F62" s="64">
        <v>2</v>
      </c>
      <c r="G62" s="13">
        <v>86.74</v>
      </c>
      <c r="H62" s="77">
        <f t="shared" si="6"/>
        <v>0.17348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S62" s="3"/>
      <c r="T62" s="3"/>
      <c r="U62" s="3"/>
    </row>
    <row r="63" spans="1:22" ht="15.75" hidden="1" customHeight="1">
      <c r="A63" s="29"/>
      <c r="B63" s="14" t="s">
        <v>46</v>
      </c>
      <c r="C63" s="16" t="s">
        <v>112</v>
      </c>
      <c r="D63" s="14" t="s">
        <v>51</v>
      </c>
      <c r="E63" s="63">
        <v>8692</v>
      </c>
      <c r="F63" s="13">
        <f>SUM(E63/100)</f>
        <v>86.92</v>
      </c>
      <c r="G63" s="13">
        <v>241.31</v>
      </c>
      <c r="H63" s="77">
        <f t="shared" si="6"/>
        <v>20.9746652</v>
      </c>
      <c r="I63" s="13">
        <v>0</v>
      </c>
      <c r="J63" s="5"/>
      <c r="K63" s="5"/>
      <c r="L63" s="5"/>
      <c r="M63" s="5"/>
      <c r="N63" s="5"/>
      <c r="O63" s="5"/>
      <c r="P63" s="5"/>
      <c r="Q63" s="5"/>
      <c r="R63" s="146"/>
      <c r="S63" s="146"/>
      <c r="T63" s="146"/>
      <c r="U63" s="146"/>
    </row>
    <row r="64" spans="1:22" ht="15.75" hidden="1" customHeight="1">
      <c r="A64" s="29"/>
      <c r="B64" s="14" t="s">
        <v>47</v>
      </c>
      <c r="C64" s="16" t="s">
        <v>113</v>
      </c>
      <c r="D64" s="14"/>
      <c r="E64" s="63">
        <v>8692</v>
      </c>
      <c r="F64" s="13">
        <f>SUM(E64/1000)</f>
        <v>8.6920000000000002</v>
      </c>
      <c r="G64" s="13">
        <v>187.91</v>
      </c>
      <c r="H64" s="77">
        <f t="shared" si="6"/>
        <v>1.6333137200000001</v>
      </c>
      <c r="I64" s="13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5.75" hidden="1" customHeight="1">
      <c r="A65" s="44"/>
      <c r="B65" s="14" t="s">
        <v>48</v>
      </c>
      <c r="C65" s="16" t="s">
        <v>73</v>
      </c>
      <c r="D65" s="14" t="s">
        <v>51</v>
      </c>
      <c r="E65" s="63">
        <v>855</v>
      </c>
      <c r="F65" s="13">
        <f>SUM(E65/100)</f>
        <v>8.5500000000000007</v>
      </c>
      <c r="G65" s="13">
        <v>2359.7199999999998</v>
      </c>
      <c r="H65" s="77">
        <f t="shared" si="6"/>
        <v>20.175605999999998</v>
      </c>
      <c r="I65" s="13">
        <v>0</v>
      </c>
    </row>
    <row r="66" spans="1:9" ht="15.75" hidden="1" customHeight="1">
      <c r="A66" s="29"/>
      <c r="B66" s="78" t="s">
        <v>114</v>
      </c>
      <c r="C66" s="16" t="s">
        <v>32</v>
      </c>
      <c r="D66" s="14"/>
      <c r="E66" s="63">
        <v>8.6</v>
      </c>
      <c r="F66" s="13">
        <f>SUM(E66)</f>
        <v>8.6</v>
      </c>
      <c r="G66" s="13">
        <v>42.67</v>
      </c>
      <c r="H66" s="77">
        <f t="shared" si="6"/>
        <v>0.36696200000000001</v>
      </c>
      <c r="I66" s="13">
        <v>0</v>
      </c>
    </row>
    <row r="67" spans="1:9" ht="15.75" hidden="1" customHeight="1">
      <c r="A67" s="29"/>
      <c r="B67" s="78" t="s">
        <v>115</v>
      </c>
      <c r="C67" s="16" t="s">
        <v>32</v>
      </c>
      <c r="D67" s="14"/>
      <c r="E67" s="63">
        <v>8.6</v>
      </c>
      <c r="F67" s="13">
        <f>SUM(E67)</f>
        <v>8.6</v>
      </c>
      <c r="G67" s="13">
        <v>39.81</v>
      </c>
      <c r="H67" s="77">
        <f t="shared" si="6"/>
        <v>0.342366</v>
      </c>
      <c r="I67" s="13">
        <v>0</v>
      </c>
    </row>
    <row r="68" spans="1:9" ht="15.75" hidden="1" customHeight="1">
      <c r="A68" s="29"/>
      <c r="B68" s="14" t="s">
        <v>54</v>
      </c>
      <c r="C68" s="16" t="s">
        <v>55</v>
      </c>
      <c r="D68" s="14" t="s">
        <v>51</v>
      </c>
      <c r="E68" s="18">
        <v>5</v>
      </c>
      <c r="F68" s="64">
        <v>5</v>
      </c>
      <c r="G68" s="13">
        <v>56.74</v>
      </c>
      <c r="H68" s="77">
        <f t="shared" si="6"/>
        <v>0.28370000000000001</v>
      </c>
      <c r="I68" s="13">
        <v>0</v>
      </c>
    </row>
    <row r="69" spans="1:9" ht="15.75" customHeight="1">
      <c r="A69" s="29"/>
      <c r="B69" s="121" t="s">
        <v>188</v>
      </c>
      <c r="C69" s="110"/>
      <c r="D69" s="35"/>
      <c r="E69" s="17"/>
      <c r="F69" s="101"/>
      <c r="G69" s="34"/>
      <c r="H69" s="77"/>
      <c r="I69" s="13"/>
    </row>
    <row r="70" spans="1:9" ht="32.25" customHeight="1">
      <c r="A70" s="29">
        <v>11</v>
      </c>
      <c r="B70" s="122" t="s">
        <v>189</v>
      </c>
      <c r="C70" s="104" t="s">
        <v>190</v>
      </c>
      <c r="D70" s="35"/>
      <c r="E70" s="17">
        <v>2177.1</v>
      </c>
      <c r="F70" s="34">
        <f>E70*12</f>
        <v>26125.199999999997</v>
      </c>
      <c r="G70" s="34">
        <v>2.6</v>
      </c>
      <c r="H70" s="77"/>
      <c r="I70" s="13">
        <f>G70*F70/12</f>
        <v>5660.4599999999991</v>
      </c>
    </row>
    <row r="71" spans="1:9" ht="15.75" customHeight="1">
      <c r="A71" s="29"/>
      <c r="B71" s="85" t="s">
        <v>68</v>
      </c>
      <c r="C71" s="16"/>
      <c r="D71" s="14"/>
      <c r="E71" s="18"/>
      <c r="F71" s="13"/>
      <c r="G71" s="13"/>
      <c r="H71" s="77" t="s">
        <v>128</v>
      </c>
      <c r="I71" s="13"/>
    </row>
    <row r="72" spans="1:9" ht="15.75" hidden="1" customHeight="1">
      <c r="A72" s="29"/>
      <c r="B72" s="14" t="s">
        <v>121</v>
      </c>
      <c r="C72" s="16" t="s">
        <v>122</v>
      </c>
      <c r="D72" s="14"/>
      <c r="E72" s="18">
        <v>4</v>
      </c>
      <c r="F72" s="13">
        <f>E72</f>
        <v>4</v>
      </c>
      <c r="G72" s="13">
        <v>113.57</v>
      </c>
      <c r="H72" s="77">
        <f t="shared" si="6"/>
        <v>0.45427999999999996</v>
      </c>
      <c r="I72" s="13">
        <v>0</v>
      </c>
    </row>
    <row r="73" spans="1:9" ht="15.75" customHeight="1">
      <c r="A73" s="29">
        <v>12</v>
      </c>
      <c r="B73" s="14" t="s">
        <v>69</v>
      </c>
      <c r="C73" s="16" t="s">
        <v>71</v>
      </c>
      <c r="D73" s="14" t="s">
        <v>223</v>
      </c>
      <c r="E73" s="18">
        <v>20</v>
      </c>
      <c r="F73" s="13">
        <v>2</v>
      </c>
      <c r="G73" s="126">
        <v>747.85</v>
      </c>
      <c r="H73" s="77">
        <f t="shared" si="6"/>
        <v>1.4957</v>
      </c>
      <c r="I73" s="13">
        <f>G73*1.6</f>
        <v>1196.5600000000002</v>
      </c>
    </row>
    <row r="74" spans="1:9" ht="15.75" hidden="1" customHeight="1">
      <c r="A74" s="29"/>
      <c r="B74" s="14" t="s">
        <v>70</v>
      </c>
      <c r="C74" s="16" t="s">
        <v>30</v>
      </c>
      <c r="D74" s="14"/>
      <c r="E74" s="18">
        <v>2</v>
      </c>
      <c r="F74" s="56">
        <v>2</v>
      </c>
      <c r="G74" s="13">
        <v>970.21</v>
      </c>
      <c r="H74" s="77">
        <f>F74*G74/1000</f>
        <v>1.94042</v>
      </c>
      <c r="I74" s="13">
        <v>0</v>
      </c>
    </row>
    <row r="75" spans="1:9" ht="15.75" hidden="1" customHeight="1">
      <c r="A75" s="29"/>
      <c r="B75" s="14" t="s">
        <v>80</v>
      </c>
      <c r="C75" s="16" t="s">
        <v>30</v>
      </c>
      <c r="D75" s="14"/>
      <c r="E75" s="18">
        <v>2</v>
      </c>
      <c r="F75" s="13">
        <v>2</v>
      </c>
      <c r="G75" s="13">
        <v>407.79</v>
      </c>
      <c r="H75" s="77">
        <f>G75*F75/1000</f>
        <v>0.81558000000000008</v>
      </c>
      <c r="I75" s="13">
        <v>0</v>
      </c>
    </row>
    <row r="76" spans="1:9" ht="30" customHeight="1">
      <c r="A76" s="29">
        <v>13</v>
      </c>
      <c r="B76" s="35" t="s">
        <v>187</v>
      </c>
      <c r="C76" s="110" t="s">
        <v>30</v>
      </c>
      <c r="D76" s="35" t="s">
        <v>166</v>
      </c>
      <c r="E76" s="17">
        <v>1</v>
      </c>
      <c r="F76" s="34">
        <v>1</v>
      </c>
      <c r="G76" s="34">
        <v>425</v>
      </c>
      <c r="H76" s="77"/>
      <c r="I76" s="13">
        <f>G76*1</f>
        <v>425</v>
      </c>
    </row>
    <row r="77" spans="1:9" ht="15.75" hidden="1" customHeight="1">
      <c r="A77" s="29"/>
      <c r="B77" s="80" t="s">
        <v>72</v>
      </c>
      <c r="C77" s="16"/>
      <c r="D77" s="14"/>
      <c r="E77" s="18"/>
      <c r="F77" s="13"/>
      <c r="G77" s="13" t="s">
        <v>128</v>
      </c>
      <c r="H77" s="77" t="s">
        <v>128</v>
      </c>
      <c r="I77" s="13"/>
    </row>
    <row r="78" spans="1:9" ht="15.75" hidden="1" customHeight="1">
      <c r="A78" s="29"/>
      <c r="B78" s="43" t="s">
        <v>118</v>
      </c>
      <c r="C78" s="16" t="s">
        <v>73</v>
      </c>
      <c r="D78" s="14"/>
      <c r="E78" s="18"/>
      <c r="F78" s="13">
        <v>1</v>
      </c>
      <c r="G78" s="13">
        <v>3138.63</v>
      </c>
      <c r="H78" s="77">
        <f t="shared" si="6"/>
        <v>3.13863</v>
      </c>
      <c r="I78" s="13">
        <v>0</v>
      </c>
    </row>
    <row r="79" spans="1:9" ht="15.75" customHeight="1">
      <c r="A79" s="29"/>
      <c r="B79" s="54" t="s">
        <v>116</v>
      </c>
      <c r="C79" s="80"/>
      <c r="D79" s="31"/>
      <c r="E79" s="32"/>
      <c r="F79" s="67"/>
      <c r="G79" s="67"/>
      <c r="H79" s="81">
        <f>SUM(H56:H78)</f>
        <v>72.003556879999991</v>
      </c>
      <c r="I79" s="67"/>
    </row>
    <row r="80" spans="1:9" ht="15.75" customHeight="1">
      <c r="A80" s="29">
        <v>14</v>
      </c>
      <c r="B80" s="61" t="s">
        <v>117</v>
      </c>
      <c r="C80" s="16"/>
      <c r="D80" s="14"/>
      <c r="E80" s="57"/>
      <c r="F80" s="13">
        <v>1</v>
      </c>
      <c r="G80" s="13">
        <v>1230.9000000000001</v>
      </c>
      <c r="H80" s="77">
        <f>G80*F80/1000</f>
        <v>1.2309000000000001</v>
      </c>
      <c r="I80" s="13">
        <f>G80*1</f>
        <v>1230.9000000000001</v>
      </c>
    </row>
    <row r="81" spans="1:9" ht="15.75" customHeight="1">
      <c r="A81" s="148" t="s">
        <v>142</v>
      </c>
      <c r="B81" s="149"/>
      <c r="C81" s="149"/>
      <c r="D81" s="149"/>
      <c r="E81" s="149"/>
      <c r="F81" s="149"/>
      <c r="G81" s="149"/>
      <c r="H81" s="149"/>
      <c r="I81" s="150"/>
    </row>
    <row r="82" spans="1:9" ht="15.75" customHeight="1">
      <c r="A82" s="29">
        <v>15</v>
      </c>
      <c r="B82" s="105" t="s">
        <v>119</v>
      </c>
      <c r="C82" s="110" t="s">
        <v>52</v>
      </c>
      <c r="D82" s="124"/>
      <c r="E82" s="34">
        <v>2177.1</v>
      </c>
      <c r="F82" s="34">
        <f>SUM(E82*12)</f>
        <v>26125.199999999997</v>
      </c>
      <c r="G82" s="34">
        <v>3.5</v>
      </c>
      <c r="H82" s="77">
        <f>SUM(F82*G82/1000)</f>
        <v>91.438199999999981</v>
      </c>
      <c r="I82" s="13">
        <f>F82/12*G82</f>
        <v>7619.8499999999995</v>
      </c>
    </row>
    <row r="83" spans="1:9" ht="31.5" customHeight="1">
      <c r="A83" s="29">
        <v>16</v>
      </c>
      <c r="B83" s="35" t="s">
        <v>191</v>
      </c>
      <c r="C83" s="110" t="s">
        <v>52</v>
      </c>
      <c r="D83" s="47"/>
      <c r="E83" s="99">
        <f>E82</f>
        <v>2177.1</v>
      </c>
      <c r="F83" s="34">
        <f>E83*12</f>
        <v>26125.199999999997</v>
      </c>
      <c r="G83" s="34">
        <v>3.24</v>
      </c>
      <c r="H83" s="77">
        <f>F83*G83/1000</f>
        <v>84.645647999999994</v>
      </c>
      <c r="I83" s="13">
        <f>F83/12*G83</f>
        <v>7053.8040000000001</v>
      </c>
    </row>
    <row r="84" spans="1:9" ht="15.75" customHeight="1">
      <c r="A84" s="29"/>
      <c r="B84" s="36" t="s">
        <v>75</v>
      </c>
      <c r="C84" s="80"/>
      <c r="D84" s="79"/>
      <c r="E84" s="67"/>
      <c r="F84" s="67"/>
      <c r="G84" s="67"/>
      <c r="H84" s="81">
        <f>H83</f>
        <v>84.645647999999994</v>
      </c>
      <c r="I84" s="67">
        <f>I83+I82+I80+I76+I73+I70+I59+I43+I40+I39+I38+I37+I36+I18+I17+I16</f>
        <v>54127.859424649985</v>
      </c>
    </row>
    <row r="85" spans="1:9" ht="15.75" customHeight="1">
      <c r="A85" s="151" t="s">
        <v>57</v>
      </c>
      <c r="B85" s="152"/>
      <c r="C85" s="152"/>
      <c r="D85" s="152"/>
      <c r="E85" s="152"/>
      <c r="F85" s="152"/>
      <c r="G85" s="152"/>
      <c r="H85" s="152"/>
      <c r="I85" s="153"/>
    </row>
    <row r="86" spans="1:9" ht="34.5" customHeight="1">
      <c r="A86" s="29">
        <v>17</v>
      </c>
      <c r="B86" s="95" t="s">
        <v>156</v>
      </c>
      <c r="C86" s="48" t="s">
        <v>36</v>
      </c>
      <c r="D86" s="47" t="s">
        <v>161</v>
      </c>
      <c r="E86" s="34"/>
      <c r="F86" s="34">
        <v>0.06</v>
      </c>
      <c r="G86" s="34">
        <v>4233.72</v>
      </c>
      <c r="H86" s="87"/>
      <c r="I86" s="82">
        <v>0</v>
      </c>
    </row>
    <row r="87" spans="1:9" ht="16.5" customHeight="1">
      <c r="A87" s="29">
        <v>18</v>
      </c>
      <c r="B87" s="103" t="s">
        <v>224</v>
      </c>
      <c r="C87" s="104" t="s">
        <v>170</v>
      </c>
      <c r="D87" s="47" t="s">
        <v>179</v>
      </c>
      <c r="E87" s="34"/>
      <c r="F87" s="34">
        <v>0.3</v>
      </c>
      <c r="G87" s="34">
        <v>924.54</v>
      </c>
      <c r="H87" s="77"/>
      <c r="I87" s="82">
        <f>G87*0.3</f>
        <v>277.36199999999997</v>
      </c>
    </row>
    <row r="88" spans="1:9" ht="19.5" customHeight="1">
      <c r="A88" s="29">
        <v>19</v>
      </c>
      <c r="B88" s="95" t="s">
        <v>76</v>
      </c>
      <c r="C88" s="48" t="s">
        <v>109</v>
      </c>
      <c r="D88" s="47"/>
      <c r="E88" s="34"/>
      <c r="F88" s="34">
        <v>5</v>
      </c>
      <c r="G88" s="34">
        <v>224.48</v>
      </c>
      <c r="H88" s="77"/>
      <c r="I88" s="82">
        <f>G88*1</f>
        <v>224.48</v>
      </c>
    </row>
    <row r="89" spans="1:9" ht="15.75" customHeight="1">
      <c r="A89" s="29"/>
      <c r="B89" s="41" t="s">
        <v>49</v>
      </c>
      <c r="C89" s="37"/>
      <c r="D89" s="45"/>
      <c r="E89" s="37">
        <v>1</v>
      </c>
      <c r="F89" s="37"/>
      <c r="G89" s="37"/>
      <c r="H89" s="37"/>
      <c r="I89" s="32">
        <f>SUM(I86:I88)</f>
        <v>501.84199999999998</v>
      </c>
    </row>
    <row r="90" spans="1:9" ht="15.75" customHeight="1">
      <c r="A90" s="29"/>
      <c r="B90" s="43" t="s">
        <v>74</v>
      </c>
      <c r="C90" s="15"/>
      <c r="D90" s="15"/>
      <c r="E90" s="38"/>
      <c r="F90" s="38"/>
      <c r="G90" s="39"/>
      <c r="H90" s="39"/>
      <c r="I90" s="17">
        <v>0</v>
      </c>
    </row>
    <row r="91" spans="1:9" ht="15.75" customHeight="1">
      <c r="A91" s="46"/>
      <c r="B91" s="42" t="s">
        <v>147</v>
      </c>
      <c r="C91" s="33"/>
      <c r="D91" s="33"/>
      <c r="E91" s="33"/>
      <c r="F91" s="33"/>
      <c r="G91" s="33"/>
      <c r="H91" s="33"/>
      <c r="I91" s="40">
        <f>I84+I89</f>
        <v>54629.701424649982</v>
      </c>
    </row>
    <row r="92" spans="1:9" ht="15.75">
      <c r="A92" s="147" t="s">
        <v>225</v>
      </c>
      <c r="B92" s="147"/>
      <c r="C92" s="147"/>
      <c r="D92" s="147"/>
      <c r="E92" s="147"/>
      <c r="F92" s="147"/>
      <c r="G92" s="147"/>
      <c r="H92" s="147"/>
      <c r="I92" s="147"/>
    </row>
    <row r="93" spans="1:9" ht="15.75">
      <c r="A93" s="55"/>
      <c r="B93" s="159" t="s">
        <v>226</v>
      </c>
      <c r="C93" s="159"/>
      <c r="D93" s="159"/>
      <c r="E93" s="159"/>
      <c r="F93" s="159"/>
      <c r="G93" s="159"/>
      <c r="H93" s="60"/>
      <c r="I93" s="3"/>
    </row>
    <row r="94" spans="1:9">
      <c r="A94" s="52"/>
      <c r="B94" s="156" t="s">
        <v>6</v>
      </c>
      <c r="C94" s="156"/>
      <c r="D94" s="156"/>
      <c r="E94" s="156"/>
      <c r="F94" s="156"/>
      <c r="G94" s="156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60" t="s">
        <v>7</v>
      </c>
      <c r="B96" s="160"/>
      <c r="C96" s="160"/>
      <c r="D96" s="160"/>
      <c r="E96" s="160"/>
      <c r="F96" s="160"/>
      <c r="G96" s="160"/>
      <c r="H96" s="160"/>
      <c r="I96" s="160"/>
    </row>
    <row r="97" spans="1:9" ht="15.75">
      <c r="A97" s="160" t="s">
        <v>8</v>
      </c>
      <c r="B97" s="160"/>
      <c r="C97" s="160"/>
      <c r="D97" s="160"/>
      <c r="E97" s="160"/>
      <c r="F97" s="160"/>
      <c r="G97" s="160"/>
      <c r="H97" s="160"/>
      <c r="I97" s="160"/>
    </row>
    <row r="98" spans="1:9" ht="15.75">
      <c r="A98" s="143" t="s">
        <v>58</v>
      </c>
      <c r="B98" s="143"/>
      <c r="C98" s="143"/>
      <c r="D98" s="143"/>
      <c r="E98" s="143"/>
      <c r="F98" s="143"/>
      <c r="G98" s="143"/>
      <c r="H98" s="143"/>
      <c r="I98" s="143"/>
    </row>
    <row r="99" spans="1:9" ht="15.75">
      <c r="A99" s="11"/>
    </row>
    <row r="100" spans="1:9" ht="15.75">
      <c r="A100" s="144" t="s">
        <v>9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5.75">
      <c r="A101" s="4"/>
    </row>
    <row r="102" spans="1:9" ht="15.75">
      <c r="B102" s="50" t="s">
        <v>10</v>
      </c>
      <c r="C102" s="155" t="s">
        <v>183</v>
      </c>
      <c r="D102" s="155"/>
      <c r="E102" s="155"/>
      <c r="F102" s="58"/>
      <c r="I102" s="51"/>
    </row>
    <row r="103" spans="1:9">
      <c r="A103" s="52"/>
      <c r="C103" s="156" t="s">
        <v>11</v>
      </c>
      <c r="D103" s="156"/>
      <c r="E103" s="156"/>
      <c r="F103" s="24"/>
      <c r="I103" s="49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50" t="s">
        <v>13</v>
      </c>
      <c r="C105" s="157"/>
      <c r="D105" s="157"/>
      <c r="E105" s="157"/>
      <c r="F105" s="59"/>
      <c r="I105" s="51"/>
    </row>
    <row r="106" spans="1:9">
      <c r="A106" s="52"/>
      <c r="C106" s="146" t="s">
        <v>11</v>
      </c>
      <c r="D106" s="146"/>
      <c r="E106" s="146"/>
      <c r="F106" s="52"/>
      <c r="I106" s="49" t="s">
        <v>12</v>
      </c>
    </row>
    <row r="107" spans="1:9" ht="15.75">
      <c r="A107" s="4" t="s">
        <v>14</v>
      </c>
    </row>
    <row r="108" spans="1:9">
      <c r="A108" s="158" t="s">
        <v>15</v>
      </c>
      <c r="B108" s="158"/>
      <c r="C108" s="158"/>
      <c r="D108" s="158"/>
      <c r="E108" s="158"/>
      <c r="F108" s="158"/>
      <c r="G108" s="158"/>
      <c r="H108" s="158"/>
      <c r="I108" s="158"/>
    </row>
    <row r="109" spans="1:9" ht="45" customHeight="1">
      <c r="A109" s="154" t="s">
        <v>16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30" customHeight="1">
      <c r="A110" s="154" t="s">
        <v>17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30" customHeight="1">
      <c r="A111" s="154" t="s">
        <v>21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15" customHeight="1">
      <c r="A112" s="154" t="s">
        <v>20</v>
      </c>
      <c r="B112" s="154"/>
      <c r="C112" s="154"/>
      <c r="D112" s="154"/>
      <c r="E112" s="154"/>
      <c r="F112" s="154"/>
      <c r="G112" s="154"/>
      <c r="H112" s="154"/>
      <c r="I112" s="154"/>
    </row>
  </sheetData>
  <autoFilter ref="I12:I58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6:I26"/>
    <mergeCell ref="A44:I44"/>
    <mergeCell ref="A54:I54"/>
    <mergeCell ref="A92:I92"/>
    <mergeCell ref="B93:G93"/>
    <mergeCell ref="B94:G94"/>
    <mergeCell ref="A96:I96"/>
    <mergeCell ref="A97:I97"/>
    <mergeCell ref="A85:I85"/>
    <mergeCell ref="R63:U63"/>
    <mergeCell ref="A81:I81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topLeftCell="A82" workbookViewId="0">
      <selection activeCell="B43" sqref="B43:I5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139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227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44347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168</v>
      </c>
      <c r="E19" s="63">
        <v>14.4</v>
      </c>
      <c r="F19" s="64">
        <f>SUM(E19/10)</f>
        <v>1.44</v>
      </c>
      <c r="G19" s="64">
        <v>193.55</v>
      </c>
      <c r="H19" s="65">
        <f t="shared" ref="H19:H24" si="1">SUM(F19*G19/1000)</f>
        <v>0.27871200000000002</v>
      </c>
      <c r="I19" s="13">
        <f>F19*G19</f>
        <v>278.71199999999999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166</v>
      </c>
      <c r="E20" s="63">
        <v>14.64</v>
      </c>
      <c r="F20" s="64">
        <f>SUM(E20*2/100)</f>
        <v>0.2928</v>
      </c>
      <c r="G20" s="64">
        <v>247.82</v>
      </c>
      <c r="H20" s="65">
        <f t="shared" si="1"/>
        <v>7.2561695999999995E-2</v>
      </c>
      <c r="I20" s="13">
        <f>F20/2*G20</f>
        <v>36.280847999999999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166</v>
      </c>
      <c r="E21" s="63">
        <v>10.08</v>
      </c>
      <c r="F21" s="64">
        <f>SUM(E21*2/100)</f>
        <v>0.2016</v>
      </c>
      <c r="G21" s="64">
        <v>245.81</v>
      </c>
      <c r="H21" s="65">
        <f t="shared" si="1"/>
        <v>4.9555295999999999E-2</v>
      </c>
      <c r="I21" s="13">
        <f>F21/2*G21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169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1"/>
        <v>0.65003685</v>
      </c>
      <c r="I22" s="13">
        <f>F22*G22</f>
        <v>650.03684999999996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169</v>
      </c>
      <c r="E23" s="66">
        <v>46.6</v>
      </c>
      <c r="F23" s="64">
        <f>SUM(E23/100)</f>
        <v>0.46600000000000003</v>
      </c>
      <c r="G23" s="64">
        <v>50.37</v>
      </c>
      <c r="H23" s="65">
        <f t="shared" si="1"/>
        <v>2.3472420000000001E-2</v>
      </c>
      <c r="I23" s="13">
        <f>F23*G23</f>
        <v>23.47242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168</v>
      </c>
      <c r="E24" s="63">
        <v>2</v>
      </c>
      <c r="F24" s="64">
        <f>SUM(E24/100)</f>
        <v>0.02</v>
      </c>
      <c r="G24" s="64">
        <v>592.37</v>
      </c>
      <c r="H24" s="65">
        <f t="shared" si="1"/>
        <v>1.1847400000000001E-2</v>
      </c>
      <c r="I24" s="13">
        <f>F24*G24</f>
        <v>11.8474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4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3" si="2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5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2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customHeight="1">
      <c r="A30" s="29">
        <v>6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2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7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 t="shared" si="2"/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 t="shared" si="2"/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3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3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3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3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3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15.75" customHeight="1">
      <c r="A43" s="29">
        <v>8</v>
      </c>
      <c r="B43" s="105" t="s">
        <v>106</v>
      </c>
      <c r="C43" s="106" t="s">
        <v>95</v>
      </c>
      <c r="D43" s="105" t="s">
        <v>166</v>
      </c>
      <c r="E43" s="115">
        <v>614.29999999999995</v>
      </c>
      <c r="F43" s="108">
        <f>SUM(E43*2/1000)</f>
        <v>1.2285999999999999</v>
      </c>
      <c r="G43" s="34">
        <v>1266.5</v>
      </c>
      <c r="H43" s="65">
        <f t="shared" ref="H43:H51" si="4">SUM(F43*G43/1000)</f>
        <v>1.5560219</v>
      </c>
      <c r="I43" s="13">
        <f>F43/2*G43</f>
        <v>778.01094999999998</v>
      </c>
      <c r="J43" s="23"/>
      <c r="L43" s="19"/>
      <c r="M43" s="20"/>
      <c r="N43" s="21"/>
    </row>
    <row r="44" spans="1:14" ht="15.75" customHeight="1">
      <c r="A44" s="29">
        <v>9</v>
      </c>
      <c r="B44" s="105" t="s">
        <v>33</v>
      </c>
      <c r="C44" s="106" t="s">
        <v>95</v>
      </c>
      <c r="D44" s="105" t="s">
        <v>166</v>
      </c>
      <c r="E44" s="115">
        <v>61</v>
      </c>
      <c r="F44" s="108">
        <f>E44*2/1000</f>
        <v>0.122</v>
      </c>
      <c r="G44" s="34">
        <v>863.92</v>
      </c>
      <c r="H44" s="65">
        <f t="shared" si="4"/>
        <v>0.10539823999999999</v>
      </c>
      <c r="I44" s="13">
        <f>F44/2*G44</f>
        <v>52.699119999999994</v>
      </c>
      <c r="J44" s="23"/>
      <c r="L44" s="19"/>
      <c r="M44" s="20"/>
      <c r="N44" s="21"/>
    </row>
    <row r="45" spans="1:14" ht="15.75" customHeight="1">
      <c r="A45" s="29">
        <v>10</v>
      </c>
      <c r="B45" s="105" t="s">
        <v>34</v>
      </c>
      <c r="C45" s="106" t="s">
        <v>95</v>
      </c>
      <c r="D45" s="105" t="s">
        <v>166</v>
      </c>
      <c r="E45" s="115">
        <v>3135.64</v>
      </c>
      <c r="F45" s="108">
        <f>SUM(E45*2/1000)</f>
        <v>6.27128</v>
      </c>
      <c r="G45" s="34">
        <v>863.92</v>
      </c>
      <c r="H45" s="65">
        <f t="shared" si="4"/>
        <v>5.4178842176000002</v>
      </c>
      <c r="I45" s="13">
        <f>F45/2*G45</f>
        <v>2708.9421087999999</v>
      </c>
      <c r="J45" s="23"/>
      <c r="L45" s="19"/>
      <c r="M45" s="20"/>
      <c r="N45" s="21"/>
    </row>
    <row r="46" spans="1:14" ht="15.75" customHeight="1">
      <c r="A46" s="29">
        <v>11</v>
      </c>
      <c r="B46" s="105" t="s">
        <v>35</v>
      </c>
      <c r="C46" s="106" t="s">
        <v>95</v>
      </c>
      <c r="D46" s="105" t="s">
        <v>166</v>
      </c>
      <c r="E46" s="115">
        <v>1678.47</v>
      </c>
      <c r="F46" s="108">
        <f>SUM(E46*2/1000)</f>
        <v>3.3569400000000003</v>
      </c>
      <c r="G46" s="34">
        <v>904.65</v>
      </c>
      <c r="H46" s="65">
        <f t="shared" si="4"/>
        <v>3.0368557709999999</v>
      </c>
      <c r="I46" s="13">
        <f>F46/2*G46</f>
        <v>1518.4278855</v>
      </c>
      <c r="J46" s="23"/>
      <c r="L46" s="19"/>
      <c r="M46" s="20"/>
      <c r="N46" s="21"/>
    </row>
    <row r="47" spans="1:14" ht="15.75" customHeight="1">
      <c r="A47" s="29">
        <v>12</v>
      </c>
      <c r="B47" s="105" t="s">
        <v>53</v>
      </c>
      <c r="C47" s="106" t="s">
        <v>95</v>
      </c>
      <c r="D47" s="105" t="s">
        <v>166</v>
      </c>
      <c r="E47" s="115">
        <v>614.29999999999995</v>
      </c>
      <c r="F47" s="108">
        <f>SUM(E47*5/1000)</f>
        <v>3.0714999999999999</v>
      </c>
      <c r="G47" s="34">
        <v>1809.27</v>
      </c>
      <c r="H47" s="65">
        <f t="shared" si="4"/>
        <v>5.5571728050000004</v>
      </c>
      <c r="I47" s="13">
        <f>F47/5*G47</f>
        <v>1111.4345609999998</v>
      </c>
      <c r="J47" s="23"/>
      <c r="L47" s="19"/>
      <c r="M47" s="20"/>
      <c r="N47" s="21"/>
    </row>
    <row r="48" spans="1:14" ht="30.75" customHeight="1">
      <c r="A48" s="29">
        <v>13</v>
      </c>
      <c r="B48" s="105" t="s">
        <v>107</v>
      </c>
      <c r="C48" s="106" t="s">
        <v>95</v>
      </c>
      <c r="D48" s="105" t="s">
        <v>166</v>
      </c>
      <c r="E48" s="115">
        <v>614.29999999999995</v>
      </c>
      <c r="F48" s="108">
        <f>SUM(E48*2/1000)</f>
        <v>1.2285999999999999</v>
      </c>
      <c r="G48" s="34">
        <v>1809.27</v>
      </c>
      <c r="H48" s="65">
        <f t="shared" si="4"/>
        <v>2.2228691219999996</v>
      </c>
      <c r="I48" s="13">
        <f>G48*F48/2</f>
        <v>1111.4345609999998</v>
      </c>
      <c r="J48" s="23"/>
      <c r="L48" s="19"/>
      <c r="M48" s="20"/>
      <c r="N48" s="21"/>
    </row>
    <row r="49" spans="1:22" ht="28.5" customHeight="1">
      <c r="A49" s="29">
        <v>14</v>
      </c>
      <c r="B49" s="105" t="s">
        <v>108</v>
      </c>
      <c r="C49" s="106" t="s">
        <v>36</v>
      </c>
      <c r="D49" s="105" t="s">
        <v>166</v>
      </c>
      <c r="E49" s="115">
        <v>20</v>
      </c>
      <c r="F49" s="108">
        <f>SUM(E49*2/100)</f>
        <v>0.4</v>
      </c>
      <c r="G49" s="34">
        <v>4070.89</v>
      </c>
      <c r="H49" s="65">
        <f t="shared" si="4"/>
        <v>1.6283559999999999</v>
      </c>
      <c r="I49" s="13">
        <f>G49*F49/2</f>
        <v>814.178</v>
      </c>
      <c r="J49" s="23"/>
      <c r="L49" s="19"/>
      <c r="M49" s="20"/>
      <c r="N49" s="21"/>
    </row>
    <row r="50" spans="1:22" ht="15.75" customHeight="1">
      <c r="A50" s="29">
        <v>15</v>
      </c>
      <c r="B50" s="105" t="s">
        <v>37</v>
      </c>
      <c r="C50" s="106" t="s">
        <v>38</v>
      </c>
      <c r="D50" s="105" t="s">
        <v>166</v>
      </c>
      <c r="E50" s="115">
        <v>1</v>
      </c>
      <c r="F50" s="108">
        <v>0.02</v>
      </c>
      <c r="G50" s="34">
        <v>8426.7199999999993</v>
      </c>
      <c r="H50" s="65">
        <f t="shared" si="4"/>
        <v>0.16853439999999997</v>
      </c>
      <c r="I50" s="13">
        <f>G50*F50/2</f>
        <v>84.267199999999988</v>
      </c>
      <c r="J50" s="23"/>
      <c r="L50" s="19"/>
      <c r="M50" s="20"/>
      <c r="N50" s="21"/>
    </row>
    <row r="51" spans="1:22" ht="15.75" customHeight="1">
      <c r="A51" s="29">
        <v>16</v>
      </c>
      <c r="B51" s="105" t="s">
        <v>39</v>
      </c>
      <c r="C51" s="106" t="s">
        <v>109</v>
      </c>
      <c r="D51" s="130">
        <v>44347</v>
      </c>
      <c r="E51" s="115">
        <v>170</v>
      </c>
      <c r="F51" s="108">
        <f>SUM(E51)*1</f>
        <v>170</v>
      </c>
      <c r="G51" s="129">
        <v>97.93</v>
      </c>
      <c r="H51" s="65">
        <f t="shared" si="4"/>
        <v>16.648100000000003</v>
      </c>
      <c r="I51" s="13">
        <f>G51*E51/3</f>
        <v>5549.3666666666677</v>
      </c>
      <c r="J51" s="23"/>
      <c r="L51" s="19"/>
      <c r="M51" s="20"/>
      <c r="N51" s="21"/>
    </row>
    <row r="52" spans="1:22" ht="15.75" customHeight="1">
      <c r="A52" s="148" t="s">
        <v>132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5.7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17</v>
      </c>
      <c r="B57" s="72" t="s">
        <v>82</v>
      </c>
      <c r="C57" s="71" t="s">
        <v>25</v>
      </c>
      <c r="D57" s="72" t="s">
        <v>167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hidden="1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44</v>
      </c>
      <c r="C59" s="16" t="s">
        <v>109</v>
      </c>
      <c r="D59" s="14" t="s">
        <v>63</v>
      </c>
      <c r="E59" s="18">
        <v>25</v>
      </c>
      <c r="F59" s="64">
        <v>25</v>
      </c>
      <c r="G59" s="13">
        <v>252.96</v>
      </c>
      <c r="H59" s="77">
        <f t="shared" ref="H59:H76" si="5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45</v>
      </c>
      <c r="C60" s="16" t="s">
        <v>109</v>
      </c>
      <c r="D60" s="14" t="s">
        <v>63</v>
      </c>
      <c r="E60" s="18">
        <v>2</v>
      </c>
      <c r="F60" s="64">
        <v>2</v>
      </c>
      <c r="G60" s="13">
        <v>86.74</v>
      </c>
      <c r="H60" s="77">
        <f t="shared" si="5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>
        <v>25</v>
      </c>
      <c r="B61" s="14" t="s">
        <v>46</v>
      </c>
      <c r="C61" s="16" t="s">
        <v>112</v>
      </c>
      <c r="D61" s="14" t="s">
        <v>51</v>
      </c>
      <c r="E61" s="63">
        <v>8692</v>
      </c>
      <c r="F61" s="13">
        <f>SUM(E61/100)</f>
        <v>86.92</v>
      </c>
      <c r="G61" s="13">
        <v>241.31</v>
      </c>
      <c r="H61" s="77">
        <f t="shared" si="5"/>
        <v>20.9746652</v>
      </c>
      <c r="I61" s="13">
        <f>F61*G61</f>
        <v>20974.665199999999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hidden="1" customHeight="1">
      <c r="A62" s="29">
        <v>26</v>
      </c>
      <c r="B62" s="14" t="s">
        <v>47</v>
      </c>
      <c r="C62" s="16" t="s">
        <v>113</v>
      </c>
      <c r="D62" s="14" t="s">
        <v>51</v>
      </c>
      <c r="E62" s="63">
        <v>8692</v>
      </c>
      <c r="F62" s="13">
        <f>SUM(E62/1000)</f>
        <v>8.6920000000000002</v>
      </c>
      <c r="G62" s="13">
        <v>187.91</v>
      </c>
      <c r="H62" s="77">
        <f t="shared" si="5"/>
        <v>1.6333137200000001</v>
      </c>
      <c r="I62" s="13">
        <f>F62*G62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29">
        <v>27</v>
      </c>
      <c r="B63" s="14" t="s">
        <v>48</v>
      </c>
      <c r="C63" s="16" t="s">
        <v>73</v>
      </c>
      <c r="D63" s="14" t="s">
        <v>51</v>
      </c>
      <c r="E63" s="63">
        <v>855</v>
      </c>
      <c r="F63" s="13">
        <f>SUM(E63/100)</f>
        <v>8.5500000000000007</v>
      </c>
      <c r="G63" s="13">
        <v>2359.7199999999998</v>
      </c>
      <c r="H63" s="77">
        <f t="shared" si="5"/>
        <v>20.175605999999998</v>
      </c>
      <c r="I63" s="13">
        <f>F63*G63</f>
        <v>20175.606</v>
      </c>
    </row>
    <row r="64" spans="1:22" ht="15.75" hidden="1" customHeight="1">
      <c r="A64" s="29">
        <v>28</v>
      </c>
      <c r="B64" s="78" t="s">
        <v>114</v>
      </c>
      <c r="C64" s="16" t="s">
        <v>32</v>
      </c>
      <c r="D64" s="14" t="s">
        <v>51</v>
      </c>
      <c r="E64" s="63">
        <v>8.6</v>
      </c>
      <c r="F64" s="13">
        <f>SUM(E64)</f>
        <v>8.6</v>
      </c>
      <c r="G64" s="13">
        <v>42.67</v>
      </c>
      <c r="H64" s="77">
        <f t="shared" si="5"/>
        <v>0.36696200000000001</v>
      </c>
      <c r="I64" s="13">
        <f>F64*G64</f>
        <v>366.96199999999999</v>
      </c>
    </row>
    <row r="65" spans="1:9" ht="15.75" hidden="1" customHeight="1">
      <c r="A65" s="29">
        <v>29</v>
      </c>
      <c r="B65" s="78" t="s">
        <v>115</v>
      </c>
      <c r="C65" s="16" t="s">
        <v>32</v>
      </c>
      <c r="D65" s="14" t="s">
        <v>51</v>
      </c>
      <c r="E65" s="63">
        <v>8.6</v>
      </c>
      <c r="F65" s="13">
        <f>SUM(E65)</f>
        <v>8.6</v>
      </c>
      <c r="G65" s="13">
        <v>39.81</v>
      </c>
      <c r="H65" s="77">
        <f t="shared" si="5"/>
        <v>0.342366</v>
      </c>
      <c r="I65" s="13">
        <f>F65*G65</f>
        <v>342.36599999999999</v>
      </c>
    </row>
    <row r="66" spans="1:9" ht="15.75" hidden="1" customHeight="1">
      <c r="A66" s="29"/>
      <c r="B66" s="14" t="s">
        <v>54</v>
      </c>
      <c r="C66" s="16" t="s">
        <v>55</v>
      </c>
      <c r="D66" s="14" t="s">
        <v>51</v>
      </c>
      <c r="E66" s="18">
        <v>5</v>
      </c>
      <c r="F66" s="64">
        <v>5</v>
      </c>
      <c r="G66" s="13">
        <v>56.74</v>
      </c>
      <c r="H66" s="77">
        <f t="shared" si="5"/>
        <v>0.28370000000000001</v>
      </c>
      <c r="I66" s="13">
        <v>0</v>
      </c>
    </row>
    <row r="67" spans="1:9" ht="21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27.75" customHeight="1">
      <c r="A68" s="29">
        <v>18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5"/>
        <v>0.45427999999999996</v>
      </c>
      <c r="I70" s="13">
        <v>0</v>
      </c>
    </row>
    <row r="71" spans="1:9" ht="15.75" customHeight="1">
      <c r="A71" s="29">
        <v>19</v>
      </c>
      <c r="B71" s="14" t="s">
        <v>69</v>
      </c>
      <c r="C71" s="16" t="s">
        <v>71</v>
      </c>
      <c r="D71" s="14" t="s">
        <v>229</v>
      </c>
      <c r="E71" s="18">
        <v>20</v>
      </c>
      <c r="F71" s="13">
        <v>2</v>
      </c>
      <c r="G71" s="126">
        <v>747.85</v>
      </c>
      <c r="H71" s="77">
        <f t="shared" si="5"/>
        <v>1.4957</v>
      </c>
      <c r="I71" s="13">
        <f>G71*0.9</f>
        <v>673.06500000000005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>
        <v>20</v>
      </c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80" t="s">
        <v>72</v>
      </c>
      <c r="C75" s="16"/>
      <c r="D75" s="14"/>
      <c r="E75" s="18"/>
      <c r="F75" s="13"/>
      <c r="G75" s="13" t="s">
        <v>128</v>
      </c>
      <c r="H75" s="77" t="s">
        <v>128</v>
      </c>
      <c r="I75" s="13"/>
    </row>
    <row r="76" spans="1:9" ht="15.75" hidden="1" customHeight="1">
      <c r="A76" s="29"/>
      <c r="B76" s="43" t="s">
        <v>118</v>
      </c>
      <c r="C76" s="16" t="s">
        <v>73</v>
      </c>
      <c r="D76" s="14"/>
      <c r="E76" s="18"/>
      <c r="F76" s="13">
        <v>1</v>
      </c>
      <c r="G76" s="13">
        <v>3138.63</v>
      </c>
      <c r="H76" s="77">
        <f t="shared" si="5"/>
        <v>3.13863</v>
      </c>
      <c r="I76" s="13">
        <v>0</v>
      </c>
    </row>
    <row r="77" spans="1:9" ht="15.75" hidden="1" customHeight="1">
      <c r="A77" s="29"/>
      <c r="B77" s="54" t="s">
        <v>116</v>
      </c>
      <c r="C77" s="80"/>
      <c r="D77" s="31"/>
      <c r="E77" s="32"/>
      <c r="F77" s="67"/>
      <c r="G77" s="67"/>
      <c r="H77" s="81">
        <f>SUM(H54:H76)</f>
        <v>72.003556879999991</v>
      </c>
      <c r="I77" s="67"/>
    </row>
    <row r="78" spans="1:9" ht="15.75" hidden="1" customHeight="1">
      <c r="A78" s="44"/>
      <c r="B78" s="61" t="s">
        <v>117</v>
      </c>
      <c r="C78" s="16"/>
      <c r="D78" s="14"/>
      <c r="E78" s="57"/>
      <c r="F78" s="13">
        <v>1</v>
      </c>
      <c r="G78" s="13">
        <v>19285</v>
      </c>
      <c r="H78" s="77">
        <f>G78*F78/1000</f>
        <v>19.285</v>
      </c>
      <c r="I78" s="13">
        <v>0</v>
      </c>
    </row>
    <row r="79" spans="1:9" ht="15.75" customHeight="1">
      <c r="A79" s="148" t="s">
        <v>133</v>
      </c>
      <c r="B79" s="149"/>
      <c r="C79" s="149"/>
      <c r="D79" s="149"/>
      <c r="E79" s="149"/>
      <c r="F79" s="149"/>
      <c r="G79" s="149"/>
      <c r="H79" s="149"/>
      <c r="I79" s="150"/>
    </row>
    <row r="80" spans="1:9" ht="15.75" customHeight="1">
      <c r="A80" s="29">
        <v>21</v>
      </c>
      <c r="B80" s="105" t="s">
        <v>119</v>
      </c>
      <c r="C80" s="110" t="s">
        <v>52</v>
      </c>
      <c r="D80" s="124"/>
      <c r="E80" s="34">
        <v>2177.1</v>
      </c>
      <c r="F80" s="34">
        <f>SUM(E80*12)</f>
        <v>26125.199999999997</v>
      </c>
      <c r="G80" s="34">
        <v>3.5</v>
      </c>
      <c r="H80" s="77">
        <f>SUM(F80*G80/1000)</f>
        <v>91.438199999999981</v>
      </c>
      <c r="I80" s="13">
        <f>F80/12*G80</f>
        <v>7619.8499999999995</v>
      </c>
    </row>
    <row r="81" spans="1:9" ht="31.5" customHeight="1">
      <c r="A81" s="29">
        <v>22</v>
      </c>
      <c r="B81" s="35" t="s">
        <v>191</v>
      </c>
      <c r="C81" s="110" t="s">
        <v>52</v>
      </c>
      <c r="D81" s="47"/>
      <c r="E81" s="99">
        <f>E80</f>
        <v>2177.1</v>
      </c>
      <c r="F81" s="34">
        <f>E81*12</f>
        <v>26125.199999999997</v>
      </c>
      <c r="G81" s="34">
        <v>3.24</v>
      </c>
      <c r="H81" s="77">
        <f>F81*G81/1000</f>
        <v>84.645647999999994</v>
      </c>
      <c r="I81" s="13">
        <f>F81/12*G81</f>
        <v>7053.8040000000001</v>
      </c>
    </row>
    <row r="82" spans="1:9" ht="15.75" customHeight="1">
      <c r="A82" s="29"/>
      <c r="B82" s="36" t="s">
        <v>75</v>
      </c>
      <c r="C82" s="80"/>
      <c r="D82" s="79"/>
      <c r="E82" s="67"/>
      <c r="F82" s="67"/>
      <c r="G82" s="67"/>
      <c r="H82" s="81">
        <f>H81</f>
        <v>84.645647999999994</v>
      </c>
      <c r="I82" s="67">
        <f>I81+I80+I74+I71+I68+I57+I51+I50+I49+I48+I47+I46+I45+I44+I43+I31+I30+I29+I28+I18+I17+I16</f>
        <v>55892.576260399997</v>
      </c>
    </row>
    <row r="83" spans="1:9" ht="15.75" customHeight="1">
      <c r="A83" s="151" t="s">
        <v>57</v>
      </c>
      <c r="B83" s="152"/>
      <c r="C83" s="152"/>
      <c r="D83" s="152"/>
      <c r="E83" s="152"/>
      <c r="F83" s="152"/>
      <c r="G83" s="152"/>
      <c r="H83" s="152"/>
      <c r="I83" s="153"/>
    </row>
    <row r="84" spans="1:9" ht="32.25" customHeight="1">
      <c r="A84" s="29">
        <v>23</v>
      </c>
      <c r="B84" s="95" t="s">
        <v>81</v>
      </c>
      <c r="C84" s="48" t="s">
        <v>122</v>
      </c>
      <c r="D84" s="35" t="s">
        <v>240</v>
      </c>
      <c r="E84" s="34"/>
      <c r="F84" s="34">
        <v>2</v>
      </c>
      <c r="G84" s="34">
        <v>697.33</v>
      </c>
      <c r="H84" s="77"/>
      <c r="I84" s="82">
        <f>G84*2</f>
        <v>1394.66</v>
      </c>
    </row>
    <row r="85" spans="1:9" ht="18" customHeight="1">
      <c r="A85" s="29">
        <v>24</v>
      </c>
      <c r="B85" s="95" t="s">
        <v>155</v>
      </c>
      <c r="C85" s="48" t="s">
        <v>38</v>
      </c>
      <c r="D85" s="47" t="s">
        <v>166</v>
      </c>
      <c r="E85" s="34"/>
      <c r="F85" s="34">
        <v>0.01</v>
      </c>
      <c r="G85" s="34">
        <v>28224.75</v>
      </c>
      <c r="H85" s="77"/>
      <c r="I85" s="82">
        <v>0</v>
      </c>
    </row>
    <row r="86" spans="1:9" ht="16.5" customHeight="1">
      <c r="A86" s="29">
        <v>25</v>
      </c>
      <c r="B86" s="95" t="s">
        <v>230</v>
      </c>
      <c r="C86" s="48" t="s">
        <v>29</v>
      </c>
      <c r="D86" s="47"/>
      <c r="E86" s="34"/>
      <c r="F86" s="34">
        <v>0.72</v>
      </c>
      <c r="G86" s="34">
        <v>241.69</v>
      </c>
      <c r="H86" s="77"/>
      <c r="I86" s="82">
        <f>G86*0.72</f>
        <v>174.01679999999999</v>
      </c>
    </row>
    <row r="87" spans="1:9" ht="32.25" customHeight="1">
      <c r="A87" s="29">
        <v>26</v>
      </c>
      <c r="B87" s="95" t="s">
        <v>231</v>
      </c>
      <c r="C87" s="48" t="s">
        <v>194</v>
      </c>
      <c r="D87" s="47" t="s">
        <v>238</v>
      </c>
      <c r="E87" s="34"/>
      <c r="F87" s="34">
        <v>3</v>
      </c>
      <c r="G87" s="34">
        <v>1399.18</v>
      </c>
      <c r="H87" s="77"/>
      <c r="I87" s="82">
        <f>G87*3</f>
        <v>4197.54</v>
      </c>
    </row>
    <row r="88" spans="1:9" ht="32.25" customHeight="1">
      <c r="A88" s="29">
        <v>27</v>
      </c>
      <c r="B88" s="95" t="s">
        <v>232</v>
      </c>
      <c r="C88" s="48" t="s">
        <v>194</v>
      </c>
      <c r="D88" s="47" t="s">
        <v>239</v>
      </c>
      <c r="E88" s="34"/>
      <c r="F88" s="34">
        <v>2</v>
      </c>
      <c r="G88" s="34">
        <v>1061.57</v>
      </c>
      <c r="H88" s="77"/>
      <c r="I88" s="82">
        <f>G88*2</f>
        <v>2123.14</v>
      </c>
    </row>
    <row r="89" spans="1:9" ht="16.5" customHeight="1">
      <c r="A89" s="29">
        <v>28</v>
      </c>
      <c r="B89" s="95" t="s">
        <v>233</v>
      </c>
      <c r="C89" s="48" t="s">
        <v>182</v>
      </c>
      <c r="D89" s="47"/>
      <c r="E89" s="34"/>
      <c r="F89" s="34">
        <v>1</v>
      </c>
      <c r="G89" s="34">
        <v>672.88</v>
      </c>
      <c r="H89" s="77"/>
      <c r="I89" s="82">
        <f>G89*1</f>
        <v>672.88</v>
      </c>
    </row>
    <row r="90" spans="1:9" ht="34.5" customHeight="1">
      <c r="A90" s="29">
        <v>29</v>
      </c>
      <c r="B90" s="95" t="s">
        <v>234</v>
      </c>
      <c r="C90" s="48" t="s">
        <v>149</v>
      </c>
      <c r="D90" s="35" t="s">
        <v>236</v>
      </c>
      <c r="E90" s="34"/>
      <c r="F90" s="34">
        <v>4</v>
      </c>
      <c r="G90" s="34">
        <v>1380.91</v>
      </c>
      <c r="H90" s="77"/>
      <c r="I90" s="82">
        <f>G90*4</f>
        <v>5523.64</v>
      </c>
    </row>
    <row r="91" spans="1:9" ht="16.5" customHeight="1">
      <c r="A91" s="29">
        <v>30</v>
      </c>
      <c r="B91" s="95" t="s">
        <v>235</v>
      </c>
      <c r="C91" s="48" t="s">
        <v>122</v>
      </c>
      <c r="D91" s="47"/>
      <c r="E91" s="34"/>
      <c r="F91" s="34">
        <v>1</v>
      </c>
      <c r="G91" s="34">
        <v>344.83</v>
      </c>
      <c r="H91" s="77"/>
      <c r="I91" s="82">
        <f>G91*1</f>
        <v>344.83</v>
      </c>
    </row>
    <row r="92" spans="1:9" ht="16.5" customHeight="1">
      <c r="A92" s="29">
        <v>31</v>
      </c>
      <c r="B92" s="95" t="s">
        <v>76</v>
      </c>
      <c r="C92" s="48" t="s">
        <v>109</v>
      </c>
      <c r="D92" s="47"/>
      <c r="E92" s="34"/>
      <c r="F92" s="34">
        <v>8</v>
      </c>
      <c r="G92" s="34">
        <v>224.48</v>
      </c>
      <c r="H92" s="77"/>
      <c r="I92" s="82">
        <f>G92*3</f>
        <v>673.43999999999994</v>
      </c>
    </row>
    <row r="93" spans="1:9" ht="16.5" customHeight="1">
      <c r="A93" s="29">
        <v>32</v>
      </c>
      <c r="B93" s="95" t="s">
        <v>177</v>
      </c>
      <c r="C93" s="48" t="s">
        <v>178</v>
      </c>
      <c r="D93" s="47" t="s">
        <v>237</v>
      </c>
      <c r="E93" s="34"/>
      <c r="F93" s="34">
        <v>2</v>
      </c>
      <c r="G93" s="34">
        <v>231.54</v>
      </c>
      <c r="H93" s="77"/>
      <c r="I93" s="82">
        <v>0</v>
      </c>
    </row>
    <row r="94" spans="1:9" ht="16.5" customHeight="1">
      <c r="A94" s="29">
        <v>33</v>
      </c>
      <c r="B94" s="95" t="s">
        <v>153</v>
      </c>
      <c r="C94" s="48" t="s">
        <v>149</v>
      </c>
      <c r="D94" s="47" t="s">
        <v>241</v>
      </c>
      <c r="E94" s="34"/>
      <c r="F94" s="34">
        <v>32</v>
      </c>
      <c r="G94" s="34">
        <v>295.36</v>
      </c>
      <c r="H94" s="77"/>
      <c r="I94" s="82">
        <v>0</v>
      </c>
    </row>
    <row r="95" spans="1:9" ht="15.75" customHeight="1">
      <c r="A95" s="29"/>
      <c r="B95" s="41" t="s">
        <v>49</v>
      </c>
      <c r="C95" s="37"/>
      <c r="D95" s="45"/>
      <c r="E95" s="37">
        <v>1</v>
      </c>
      <c r="F95" s="37"/>
      <c r="G95" s="37"/>
      <c r="H95" s="37"/>
      <c r="I95" s="32">
        <f>SUM(I84:I93)</f>
        <v>15104.146799999999</v>
      </c>
    </row>
    <row r="96" spans="1:9" ht="15.75" customHeight="1">
      <c r="A96" s="29"/>
      <c r="B96" s="43" t="s">
        <v>74</v>
      </c>
      <c r="C96" s="15"/>
      <c r="D96" s="15"/>
      <c r="E96" s="38"/>
      <c r="F96" s="38"/>
      <c r="G96" s="39"/>
      <c r="H96" s="39"/>
      <c r="I96" s="17">
        <v>0</v>
      </c>
    </row>
    <row r="97" spans="1:9" ht="15.75" customHeight="1">
      <c r="A97" s="46"/>
      <c r="B97" s="42" t="s">
        <v>147</v>
      </c>
      <c r="C97" s="33"/>
      <c r="D97" s="33"/>
      <c r="E97" s="33"/>
      <c r="F97" s="33"/>
      <c r="G97" s="33"/>
      <c r="H97" s="33"/>
      <c r="I97" s="40">
        <f>I82+I95</f>
        <v>70996.723060399992</v>
      </c>
    </row>
    <row r="98" spans="1:9" ht="15.75">
      <c r="A98" s="147" t="s">
        <v>242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55"/>
      <c r="B99" s="159" t="s">
        <v>243</v>
      </c>
      <c r="C99" s="159"/>
      <c r="D99" s="159"/>
      <c r="E99" s="159"/>
      <c r="F99" s="159"/>
      <c r="G99" s="159"/>
      <c r="H99" s="60"/>
      <c r="I99" s="3"/>
    </row>
    <row r="100" spans="1:9">
      <c r="A100" s="52"/>
      <c r="B100" s="156" t="s">
        <v>6</v>
      </c>
      <c r="C100" s="156"/>
      <c r="D100" s="156"/>
      <c r="E100" s="156"/>
      <c r="F100" s="156"/>
      <c r="G100" s="156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60" t="s">
        <v>7</v>
      </c>
      <c r="B102" s="160"/>
      <c r="C102" s="160"/>
      <c r="D102" s="160"/>
      <c r="E102" s="160"/>
      <c r="F102" s="160"/>
      <c r="G102" s="160"/>
      <c r="H102" s="160"/>
      <c r="I102" s="160"/>
    </row>
    <row r="103" spans="1:9" ht="15.75">
      <c r="A103" s="160" t="s">
        <v>8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143" t="s">
        <v>58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5.75">
      <c r="A105" s="11"/>
    </row>
    <row r="106" spans="1:9" ht="15.75">
      <c r="A106" s="144" t="s">
        <v>9</v>
      </c>
      <c r="B106" s="144"/>
      <c r="C106" s="144"/>
      <c r="D106" s="144"/>
      <c r="E106" s="144"/>
      <c r="F106" s="144"/>
      <c r="G106" s="144"/>
      <c r="H106" s="144"/>
      <c r="I106" s="144"/>
    </row>
    <row r="107" spans="1:9" ht="15.75">
      <c r="A107" s="4"/>
    </row>
    <row r="108" spans="1:9" ht="15.75">
      <c r="B108" s="50" t="s">
        <v>10</v>
      </c>
      <c r="C108" s="155" t="s">
        <v>183</v>
      </c>
      <c r="D108" s="155"/>
      <c r="E108" s="155"/>
      <c r="F108" s="58"/>
      <c r="I108" s="51"/>
    </row>
    <row r="109" spans="1:9">
      <c r="A109" s="52"/>
      <c r="C109" s="156" t="s">
        <v>11</v>
      </c>
      <c r="D109" s="156"/>
      <c r="E109" s="156"/>
      <c r="F109" s="24"/>
      <c r="I109" s="49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50" t="s">
        <v>13</v>
      </c>
      <c r="C111" s="157"/>
      <c r="D111" s="157"/>
      <c r="E111" s="157"/>
      <c r="F111" s="59"/>
      <c r="I111" s="51"/>
    </row>
    <row r="112" spans="1:9">
      <c r="A112" s="52"/>
      <c r="C112" s="146" t="s">
        <v>11</v>
      </c>
      <c r="D112" s="146"/>
      <c r="E112" s="146"/>
      <c r="F112" s="52"/>
      <c r="I112" s="49" t="s">
        <v>12</v>
      </c>
    </row>
    <row r="113" spans="1:9" ht="15.75">
      <c r="A113" s="4" t="s">
        <v>14</v>
      </c>
    </row>
    <row r="114" spans="1:9">
      <c r="A114" s="158" t="s">
        <v>15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45" customHeight="1">
      <c r="A115" s="154" t="s">
        <v>16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30" customHeight="1">
      <c r="A116" s="154" t="s">
        <v>17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30" customHeight="1">
      <c r="A117" s="154" t="s">
        <v>21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15" customHeight="1">
      <c r="A118" s="154" t="s">
        <v>20</v>
      </c>
      <c r="B118" s="154"/>
      <c r="C118" s="154"/>
      <c r="D118" s="154"/>
      <c r="E118" s="154"/>
      <c r="F118" s="154"/>
      <c r="G118" s="154"/>
      <c r="H118" s="154"/>
      <c r="I118" s="154"/>
    </row>
  </sheetData>
  <autoFilter ref="I12:I56"/>
  <mergeCells count="29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6:I26"/>
    <mergeCell ref="A42:I42"/>
    <mergeCell ref="A52:I52"/>
    <mergeCell ref="A98:I98"/>
    <mergeCell ref="B99:G99"/>
    <mergeCell ref="B100:G100"/>
    <mergeCell ref="A102:I102"/>
    <mergeCell ref="A103:I103"/>
    <mergeCell ref="A83:I83"/>
    <mergeCell ref="R61:U61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78" zoomScale="60" zoomScaleNormal="100" workbookViewId="0">
      <selection activeCell="B81" sqref="B81:I82"/>
    </sheetView>
  </sheetViews>
  <sheetFormatPr defaultRowHeight="15"/>
  <cols>
    <col min="1" max="1" width="7.5703125" customWidth="1"/>
    <col min="2" max="2" width="53.140625" customWidth="1"/>
    <col min="3" max="4" width="18.425781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140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244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86">
        <v>44377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customHeight="1">
      <c r="A19" s="29">
        <v>4</v>
      </c>
      <c r="B19" s="105" t="s">
        <v>86</v>
      </c>
      <c r="C19" s="106" t="s">
        <v>87</v>
      </c>
      <c r="D19" s="105" t="s">
        <v>88</v>
      </c>
      <c r="E19" s="115">
        <v>14.4</v>
      </c>
      <c r="F19" s="108">
        <f>SUM(E19/10)</f>
        <v>1.44</v>
      </c>
      <c r="G19" s="108">
        <v>253.7</v>
      </c>
      <c r="H19" s="65">
        <f t="shared" ref="H19:H24" si="1">SUM(F19*G19/1000)</f>
        <v>0.36532799999999999</v>
      </c>
      <c r="I19" s="13">
        <f>G19*F19</f>
        <v>365.32799999999997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166</v>
      </c>
      <c r="E20" s="63">
        <v>14.64</v>
      </c>
      <c r="F20" s="64">
        <f>SUM(E20*2/100)</f>
        <v>0.2928</v>
      </c>
      <c r="G20" s="64">
        <v>247.82</v>
      </c>
      <c r="H20" s="65">
        <f t="shared" si="1"/>
        <v>7.2561695999999995E-2</v>
      </c>
      <c r="I20" s="13">
        <f>G20*F20/2</f>
        <v>36.280847999999999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166</v>
      </c>
      <c r="E21" s="63">
        <v>10.08</v>
      </c>
      <c r="F21" s="64">
        <f>SUM(E21*2/100)</f>
        <v>0.2016</v>
      </c>
      <c r="G21" s="64">
        <v>245.81</v>
      </c>
      <c r="H21" s="65">
        <f t="shared" si="1"/>
        <v>4.9555295999999999E-2</v>
      </c>
      <c r="I21" s="13">
        <f>G21*F21/2</f>
        <v>24.777647999999999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166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1"/>
        <v>0.65003685</v>
      </c>
      <c r="I22" s="13">
        <f>G22*F22</f>
        <v>650.03684999999996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166</v>
      </c>
      <c r="E23" s="66">
        <v>46.6</v>
      </c>
      <c r="F23" s="64">
        <f>SUM(E23/100)</f>
        <v>0.46600000000000003</v>
      </c>
      <c r="G23" s="64">
        <v>50.37</v>
      </c>
      <c r="H23" s="65">
        <f t="shared" si="1"/>
        <v>2.3472420000000001E-2</v>
      </c>
      <c r="I23" s="13">
        <f>G23*F23</f>
        <v>23.47242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169</v>
      </c>
      <c r="E24" s="63">
        <v>2</v>
      </c>
      <c r="F24" s="64">
        <f>SUM(E24/100)</f>
        <v>0.02</v>
      </c>
      <c r="G24" s="64">
        <v>592.37</v>
      </c>
      <c r="H24" s="65">
        <f t="shared" si="1"/>
        <v>1.1847400000000001E-2</v>
      </c>
      <c r="I24" s="13">
        <f>G24*F24</f>
        <v>11.8474</v>
      </c>
      <c r="J24" s="22"/>
      <c r="K24" s="8"/>
      <c r="L24" s="8"/>
      <c r="M24" s="8"/>
    </row>
    <row r="25" spans="1:13" ht="15.75" hidden="1" customHeight="1">
      <c r="A25" s="29">
        <v>10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5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0" si="2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6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2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hidden="1" customHeight="1">
      <c r="A30" s="29">
        <v>8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2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7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 t="shared" ref="H32:H33" si="3"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 t="shared" si="3"/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4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4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16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4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2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4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3.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4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15.75" hidden="1" customHeight="1">
      <c r="A43" s="29"/>
      <c r="B43" s="61" t="s">
        <v>106</v>
      </c>
      <c r="C43" s="62" t="s">
        <v>95</v>
      </c>
      <c r="D43" s="61" t="s">
        <v>40</v>
      </c>
      <c r="E43" s="63">
        <v>614.29999999999995</v>
      </c>
      <c r="F43" s="64">
        <f>SUM(E43*2/1000)</f>
        <v>1.2285999999999999</v>
      </c>
      <c r="G43" s="13">
        <v>1094.96</v>
      </c>
      <c r="H43" s="65">
        <f t="shared" ref="H43:H51" si="5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1" t="s">
        <v>33</v>
      </c>
      <c r="C44" s="62" t="s">
        <v>95</v>
      </c>
      <c r="D44" s="61" t="s">
        <v>40</v>
      </c>
      <c r="E44" s="63">
        <v>61</v>
      </c>
      <c r="F44" s="64">
        <f>E44*2/1000</f>
        <v>0.122</v>
      </c>
      <c r="G44" s="13">
        <v>3832.4</v>
      </c>
      <c r="H44" s="65">
        <f t="shared" si="5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1" t="s">
        <v>34</v>
      </c>
      <c r="C45" s="62" t="s">
        <v>95</v>
      </c>
      <c r="D45" s="61" t="s">
        <v>40</v>
      </c>
      <c r="E45" s="63">
        <v>3135.64</v>
      </c>
      <c r="F45" s="64">
        <f>SUM(E45*2/1000)</f>
        <v>6.27128</v>
      </c>
      <c r="G45" s="13">
        <v>1564.24</v>
      </c>
      <c r="H45" s="65">
        <f t="shared" si="5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1" t="s">
        <v>35</v>
      </c>
      <c r="C46" s="62" t="s">
        <v>95</v>
      </c>
      <c r="D46" s="61" t="s">
        <v>40</v>
      </c>
      <c r="E46" s="63">
        <v>1678.47</v>
      </c>
      <c r="F46" s="64">
        <f>SUM(E46*2/1000)</f>
        <v>3.3569400000000003</v>
      </c>
      <c r="G46" s="13">
        <v>1078.3599999999999</v>
      </c>
      <c r="H46" s="65">
        <f t="shared" si="5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1" t="s">
        <v>53</v>
      </c>
      <c r="C47" s="62" t="s">
        <v>95</v>
      </c>
      <c r="D47" s="61" t="s">
        <v>135</v>
      </c>
      <c r="E47" s="63">
        <v>614.29999999999995</v>
      </c>
      <c r="F47" s="64">
        <f>SUM(E47*5/1000)</f>
        <v>3.0714999999999999</v>
      </c>
      <c r="G47" s="13">
        <v>1838.49</v>
      </c>
      <c r="H47" s="65">
        <f t="shared" si="5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1" t="s">
        <v>107</v>
      </c>
      <c r="C48" s="62" t="s">
        <v>95</v>
      </c>
      <c r="D48" s="61" t="s">
        <v>40</v>
      </c>
      <c r="E48" s="63">
        <v>614.29999999999995</v>
      </c>
      <c r="F48" s="64">
        <f>SUM(E48*2/1000)</f>
        <v>1.2285999999999999</v>
      </c>
      <c r="G48" s="13">
        <v>1380.31</v>
      </c>
      <c r="H48" s="65">
        <f t="shared" si="5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1" t="s">
        <v>108</v>
      </c>
      <c r="C49" s="62" t="s">
        <v>36</v>
      </c>
      <c r="D49" s="61" t="s">
        <v>40</v>
      </c>
      <c r="E49" s="63">
        <v>20</v>
      </c>
      <c r="F49" s="64">
        <f>SUM(E49*2/100)</f>
        <v>0.4</v>
      </c>
      <c r="G49" s="13">
        <v>3519.56</v>
      </c>
      <c r="H49" s="65">
        <f t="shared" si="5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1" t="s">
        <v>37</v>
      </c>
      <c r="C50" s="62" t="s">
        <v>38</v>
      </c>
      <c r="D50" s="61" t="s">
        <v>40</v>
      </c>
      <c r="E50" s="63">
        <v>1</v>
      </c>
      <c r="F50" s="64">
        <v>0.02</v>
      </c>
      <c r="G50" s="13">
        <v>6428.82</v>
      </c>
      <c r="H50" s="65">
        <f t="shared" si="5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14</v>
      </c>
      <c r="B51" s="61" t="s">
        <v>39</v>
      </c>
      <c r="C51" s="62" t="s">
        <v>109</v>
      </c>
      <c r="D51" s="109">
        <v>43997</v>
      </c>
      <c r="E51" s="63">
        <v>170</v>
      </c>
      <c r="F51" s="64">
        <f>SUM(E51)*3</f>
        <v>510</v>
      </c>
      <c r="G51" s="13">
        <v>74.709999999999994</v>
      </c>
      <c r="H51" s="65">
        <f t="shared" si="5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48" t="s">
        <v>132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5.7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8</v>
      </c>
      <c r="B57" s="72" t="s">
        <v>82</v>
      </c>
      <c r="C57" s="71" t="s">
        <v>25</v>
      </c>
      <c r="D57" s="72" t="s">
        <v>167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31" t="s">
        <v>44</v>
      </c>
      <c r="C59" s="110" t="s">
        <v>109</v>
      </c>
      <c r="D59" s="35"/>
      <c r="E59" s="17">
        <v>11</v>
      </c>
      <c r="F59" s="108">
        <f>E59*1</f>
        <v>11</v>
      </c>
      <c r="G59" s="34">
        <v>331.57</v>
      </c>
      <c r="H59" s="77">
        <f t="shared" ref="H59:H77" si="6">SUM(F59*G59/1000)</f>
        <v>3.6472699999999998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31" t="s">
        <v>45</v>
      </c>
      <c r="C60" s="110" t="s">
        <v>109</v>
      </c>
      <c r="D60" s="35"/>
      <c r="E60" s="17">
        <v>10</v>
      </c>
      <c r="F60" s="108">
        <f>E60</f>
        <v>10</v>
      </c>
      <c r="G60" s="34">
        <v>113.69</v>
      </c>
      <c r="H60" s="77">
        <f t="shared" si="6"/>
        <v>1.1369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>
        <v>9</v>
      </c>
      <c r="B61" s="131" t="s">
        <v>46</v>
      </c>
      <c r="C61" s="132" t="s">
        <v>112</v>
      </c>
      <c r="D61" s="35"/>
      <c r="E61" s="115">
        <v>8692</v>
      </c>
      <c r="F61" s="129">
        <f>SUM(E61/100)</f>
        <v>86.92</v>
      </c>
      <c r="G61" s="34">
        <v>316.3</v>
      </c>
      <c r="H61" s="77">
        <f t="shared" si="6"/>
        <v>27.492796000000002</v>
      </c>
      <c r="I61" s="13">
        <f>G61*F61</f>
        <v>27492.796000000002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customHeight="1">
      <c r="A62" s="29">
        <v>10</v>
      </c>
      <c r="B62" s="131" t="s">
        <v>47</v>
      </c>
      <c r="C62" s="110" t="s">
        <v>113</v>
      </c>
      <c r="D62" s="35"/>
      <c r="E62" s="115">
        <v>8692</v>
      </c>
      <c r="F62" s="34">
        <f>SUM(E62/1000)</f>
        <v>8.6920000000000002</v>
      </c>
      <c r="G62" s="34">
        <v>246.31</v>
      </c>
      <c r="H62" s="77">
        <f t="shared" si="6"/>
        <v>2.1409265199999998</v>
      </c>
      <c r="I62" s="13">
        <f>G62*F62</f>
        <v>2140.92652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29">
        <v>11</v>
      </c>
      <c r="B63" s="131" t="s">
        <v>48</v>
      </c>
      <c r="C63" s="110" t="s">
        <v>73</v>
      </c>
      <c r="D63" s="35"/>
      <c r="E63" s="115">
        <v>855</v>
      </c>
      <c r="F63" s="34">
        <f>SUM(E63/100)</f>
        <v>8.5500000000000007</v>
      </c>
      <c r="G63" s="34">
        <v>3093.06</v>
      </c>
      <c r="H63" s="77">
        <f t="shared" si="6"/>
        <v>26.445663</v>
      </c>
      <c r="I63" s="13">
        <f>G63*F63</f>
        <v>26445.663</v>
      </c>
    </row>
    <row r="64" spans="1:22" ht="15.75" customHeight="1">
      <c r="A64" s="29">
        <v>12</v>
      </c>
      <c r="B64" s="133" t="s">
        <v>114</v>
      </c>
      <c r="C64" s="110" t="s">
        <v>32</v>
      </c>
      <c r="D64" s="35"/>
      <c r="E64" s="115">
        <v>4.3</v>
      </c>
      <c r="F64" s="34">
        <f>SUM(E64)</f>
        <v>4.3</v>
      </c>
      <c r="G64" s="34">
        <v>52.25</v>
      </c>
      <c r="H64" s="77">
        <f t="shared" si="6"/>
        <v>0.22467499999999999</v>
      </c>
      <c r="I64" s="13">
        <f>G64*F64</f>
        <v>224.67499999999998</v>
      </c>
    </row>
    <row r="65" spans="1:9" ht="15.75" customHeight="1">
      <c r="A65" s="29">
        <v>13</v>
      </c>
      <c r="B65" s="133" t="s">
        <v>115</v>
      </c>
      <c r="C65" s="110" t="s">
        <v>32</v>
      </c>
      <c r="D65" s="35"/>
      <c r="E65" s="115">
        <v>4.3</v>
      </c>
      <c r="F65" s="34">
        <f>SUM(E65)</f>
        <v>4.3</v>
      </c>
      <c r="G65" s="34">
        <v>56.35</v>
      </c>
      <c r="H65" s="77">
        <f t="shared" si="6"/>
        <v>0.24230500000000002</v>
      </c>
      <c r="I65" s="13">
        <f>G65*F65</f>
        <v>242.30500000000001</v>
      </c>
    </row>
    <row r="66" spans="1:9" ht="15.75" hidden="1" customHeight="1">
      <c r="A66" s="29"/>
      <c r="B66" s="35" t="s">
        <v>54</v>
      </c>
      <c r="C66" s="110" t="s">
        <v>55</v>
      </c>
      <c r="D66" s="35" t="s">
        <v>51</v>
      </c>
      <c r="E66" s="17">
        <v>2</v>
      </c>
      <c r="F66" s="108">
        <f>E66</f>
        <v>2</v>
      </c>
      <c r="G66" s="34">
        <v>74.37</v>
      </c>
      <c r="H66" s="77">
        <f t="shared" si="6"/>
        <v>0.14874000000000001</v>
      </c>
      <c r="I66" s="13">
        <v>0</v>
      </c>
    </row>
    <row r="67" spans="1:9" ht="15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32.25" customHeight="1">
      <c r="A68" s="29">
        <v>14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6"/>
        <v>0.45427999999999996</v>
      </c>
      <c r="I70" s="13">
        <v>0</v>
      </c>
    </row>
    <row r="71" spans="1:9" ht="15.75" customHeight="1">
      <c r="A71" s="29">
        <v>15</v>
      </c>
      <c r="B71" s="14" t="s">
        <v>69</v>
      </c>
      <c r="C71" s="16" t="s">
        <v>71</v>
      </c>
      <c r="D71" s="14" t="s">
        <v>245</v>
      </c>
      <c r="E71" s="18">
        <v>20</v>
      </c>
      <c r="F71" s="13">
        <v>2</v>
      </c>
      <c r="G71" s="126">
        <v>747.85</v>
      </c>
      <c r="H71" s="77">
        <f t="shared" si="6"/>
        <v>1.4957</v>
      </c>
      <c r="I71" s="13">
        <f>G71*2.6</f>
        <v>1944.41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>
        <v>16</v>
      </c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14"/>
      <c r="C75" s="16"/>
      <c r="D75" s="14"/>
      <c r="E75" s="18"/>
      <c r="F75" s="13"/>
      <c r="G75" s="13"/>
      <c r="H75" s="77"/>
      <c r="I75" s="13"/>
    </row>
    <row r="76" spans="1:9" ht="15.75" hidden="1" customHeight="1">
      <c r="A76" s="29"/>
      <c r="B76" s="80" t="s">
        <v>72</v>
      </c>
      <c r="C76" s="16"/>
      <c r="D76" s="14"/>
      <c r="E76" s="18"/>
      <c r="F76" s="13"/>
      <c r="G76" s="13" t="s">
        <v>128</v>
      </c>
      <c r="H76" s="77" t="s">
        <v>128</v>
      </c>
      <c r="I76" s="13"/>
    </row>
    <row r="77" spans="1:9" ht="15.75" hidden="1" customHeight="1">
      <c r="A77" s="29"/>
      <c r="B77" s="43" t="s">
        <v>118</v>
      </c>
      <c r="C77" s="16" t="s">
        <v>73</v>
      </c>
      <c r="D77" s="14"/>
      <c r="E77" s="18"/>
      <c r="F77" s="13">
        <v>1</v>
      </c>
      <c r="G77" s="13">
        <v>3138.63</v>
      </c>
      <c r="H77" s="77">
        <f t="shared" si="6"/>
        <v>3.13863</v>
      </c>
      <c r="I77" s="13">
        <v>0</v>
      </c>
    </row>
    <row r="78" spans="1:9" ht="15.75" customHeight="1">
      <c r="A78" s="29"/>
      <c r="B78" s="54" t="s">
        <v>116</v>
      </c>
      <c r="C78" s="80"/>
      <c r="D78" s="31"/>
      <c r="E78" s="32"/>
      <c r="F78" s="67"/>
      <c r="G78" s="67"/>
      <c r="H78" s="81">
        <f>SUM(H54:H77)</f>
        <v>83.20873948000002</v>
      </c>
      <c r="I78" s="67"/>
    </row>
    <row r="79" spans="1:9" ht="15.75" customHeight="1">
      <c r="A79" s="29">
        <v>17</v>
      </c>
      <c r="B79" s="61" t="s">
        <v>117</v>
      </c>
      <c r="C79" s="16"/>
      <c r="D79" s="14"/>
      <c r="E79" s="57"/>
      <c r="F79" s="13">
        <v>1</v>
      </c>
      <c r="G79" s="13">
        <v>5162.7</v>
      </c>
      <c r="H79" s="77">
        <f>G79*F79/1000</f>
        <v>5.1627000000000001</v>
      </c>
      <c r="I79" s="13">
        <f>G79*1</f>
        <v>5162.7</v>
      </c>
    </row>
    <row r="80" spans="1:9" ht="15.75" customHeight="1">
      <c r="A80" s="148" t="s">
        <v>133</v>
      </c>
      <c r="B80" s="149"/>
      <c r="C80" s="149"/>
      <c r="D80" s="149"/>
      <c r="E80" s="149"/>
      <c r="F80" s="149"/>
      <c r="G80" s="149"/>
      <c r="H80" s="149"/>
      <c r="I80" s="150"/>
    </row>
    <row r="81" spans="1:9" ht="15.75" customHeight="1">
      <c r="A81" s="29">
        <v>18</v>
      </c>
      <c r="B81" s="105" t="s">
        <v>119</v>
      </c>
      <c r="C81" s="110" t="s">
        <v>52</v>
      </c>
      <c r="D81" s="124"/>
      <c r="E81" s="34">
        <v>2177.1</v>
      </c>
      <c r="F81" s="34">
        <f>SUM(E81*12)</f>
        <v>26125.199999999997</v>
      </c>
      <c r="G81" s="34">
        <v>3.5</v>
      </c>
      <c r="H81" s="77">
        <f>SUM(F81*G81/1000)</f>
        <v>91.438199999999981</v>
      </c>
      <c r="I81" s="13">
        <f>F81/12*G81</f>
        <v>7619.8499999999995</v>
      </c>
    </row>
    <row r="82" spans="1:9" ht="31.5" customHeight="1">
      <c r="A82" s="29">
        <v>19</v>
      </c>
      <c r="B82" s="35" t="s">
        <v>191</v>
      </c>
      <c r="C82" s="110" t="s">
        <v>52</v>
      </c>
      <c r="D82" s="47"/>
      <c r="E82" s="99">
        <f>E81</f>
        <v>2177.1</v>
      </c>
      <c r="F82" s="34">
        <f>E82*12</f>
        <v>26125.199999999997</v>
      </c>
      <c r="G82" s="34">
        <v>3.24</v>
      </c>
      <c r="H82" s="77">
        <f>F82*G82/1000</f>
        <v>84.645647999999994</v>
      </c>
      <c r="I82" s="13">
        <f>F82/12*G82</f>
        <v>7053.8040000000001</v>
      </c>
    </row>
    <row r="83" spans="1:9" ht="15.75" customHeight="1">
      <c r="A83" s="29"/>
      <c r="B83" s="36" t="s">
        <v>75</v>
      </c>
      <c r="C83" s="80"/>
      <c r="D83" s="79"/>
      <c r="E83" s="67"/>
      <c r="F83" s="67"/>
      <c r="G83" s="67"/>
      <c r="H83" s="81">
        <f>H82</f>
        <v>84.645647999999994</v>
      </c>
      <c r="I83" s="67">
        <f>I82+I81+I79+I74+I71+I68+I65+I64+I63+I62+I61+I57+I31+I29+I28+I19+I18+I17+I16</f>
        <v>104416.54781933334</v>
      </c>
    </row>
    <row r="84" spans="1:9" ht="15.75" customHeight="1">
      <c r="A84" s="151" t="s">
        <v>57</v>
      </c>
      <c r="B84" s="152"/>
      <c r="C84" s="152"/>
      <c r="D84" s="152"/>
      <c r="E84" s="152"/>
      <c r="F84" s="152"/>
      <c r="G84" s="152"/>
      <c r="H84" s="152"/>
      <c r="I84" s="153"/>
    </row>
    <row r="85" spans="1:9" ht="16.5" customHeight="1">
      <c r="A85" s="29">
        <v>20</v>
      </c>
      <c r="B85" s="95" t="s">
        <v>155</v>
      </c>
      <c r="C85" s="48" t="s">
        <v>38</v>
      </c>
      <c r="D85" s="47" t="s">
        <v>166</v>
      </c>
      <c r="E85" s="34"/>
      <c r="F85" s="34">
        <v>0.02</v>
      </c>
      <c r="G85" s="34">
        <v>28224.75</v>
      </c>
      <c r="H85" s="13"/>
      <c r="I85" s="82">
        <v>0</v>
      </c>
    </row>
    <row r="86" spans="1:9" ht="15.75" customHeight="1">
      <c r="A86" s="29">
        <v>21</v>
      </c>
      <c r="B86" s="95" t="s">
        <v>230</v>
      </c>
      <c r="C86" s="48" t="s">
        <v>29</v>
      </c>
      <c r="D86" s="47"/>
      <c r="E86" s="34"/>
      <c r="F86" s="34">
        <f>0.72+0.72+0.72</f>
        <v>2.16</v>
      </c>
      <c r="G86" s="34">
        <v>241.69</v>
      </c>
      <c r="H86" s="77"/>
      <c r="I86" s="82">
        <f>G86*1.44</f>
        <v>348.03359999999998</v>
      </c>
    </row>
    <row r="87" spans="1:9" ht="34.5" customHeight="1">
      <c r="A87" s="29">
        <v>22</v>
      </c>
      <c r="B87" s="95" t="s">
        <v>246</v>
      </c>
      <c r="C87" s="48" t="s">
        <v>247</v>
      </c>
      <c r="D87" s="47" t="s">
        <v>250</v>
      </c>
      <c r="E87" s="34"/>
      <c r="F87" s="34">
        <v>0.1</v>
      </c>
      <c r="G87" s="34">
        <v>108.11</v>
      </c>
      <c r="H87" s="77"/>
      <c r="I87" s="82">
        <f>G87*0.1</f>
        <v>10.811</v>
      </c>
    </row>
    <row r="88" spans="1:9" ht="15.75" customHeight="1">
      <c r="A88" s="29">
        <v>23</v>
      </c>
      <c r="B88" s="95" t="s">
        <v>153</v>
      </c>
      <c r="C88" s="48" t="s">
        <v>149</v>
      </c>
      <c r="D88" s="47" t="s">
        <v>252</v>
      </c>
      <c r="E88" s="34"/>
      <c r="F88" s="34">
        <v>35</v>
      </c>
      <c r="G88" s="34">
        <v>295.36</v>
      </c>
      <c r="H88" s="87"/>
      <c r="I88" s="82">
        <v>0</v>
      </c>
    </row>
    <row r="89" spans="1:9" ht="30" customHeight="1">
      <c r="A89" s="29">
        <v>24</v>
      </c>
      <c r="B89" s="95" t="s">
        <v>248</v>
      </c>
      <c r="C89" s="48" t="s">
        <v>170</v>
      </c>
      <c r="D89" s="47"/>
      <c r="E89" s="34"/>
      <c r="F89" s="34">
        <v>0.14000000000000001</v>
      </c>
      <c r="G89" s="34">
        <v>6943.1</v>
      </c>
      <c r="H89" s="87"/>
      <c r="I89" s="82">
        <f>G89*0.14</f>
        <v>972.03400000000011</v>
      </c>
    </row>
    <row r="90" spans="1:9" ht="18" customHeight="1">
      <c r="A90" s="29">
        <v>25</v>
      </c>
      <c r="B90" s="95" t="s">
        <v>249</v>
      </c>
      <c r="C90" s="48" t="s">
        <v>109</v>
      </c>
      <c r="D90" s="47"/>
      <c r="E90" s="34"/>
      <c r="F90" s="34">
        <v>1</v>
      </c>
      <c r="G90" s="34">
        <v>984</v>
      </c>
      <c r="H90" s="87"/>
      <c r="I90" s="82">
        <f>G90*1</f>
        <v>984</v>
      </c>
    </row>
    <row r="91" spans="1:9" ht="15.75" customHeight="1">
      <c r="A91" s="29">
        <v>26</v>
      </c>
      <c r="B91" s="95" t="s">
        <v>83</v>
      </c>
      <c r="C91" s="48" t="s">
        <v>109</v>
      </c>
      <c r="D91" s="47" t="s">
        <v>251</v>
      </c>
      <c r="E91" s="34"/>
      <c r="F91" s="34">
        <v>2</v>
      </c>
      <c r="G91" s="34">
        <v>186.47</v>
      </c>
      <c r="H91" s="87"/>
      <c r="I91" s="82">
        <f>G91*2</f>
        <v>372.94</v>
      </c>
    </row>
    <row r="92" spans="1:9" ht="32.25" customHeight="1">
      <c r="A92" s="29">
        <v>27</v>
      </c>
      <c r="B92" s="95" t="s">
        <v>156</v>
      </c>
      <c r="C92" s="48" t="s">
        <v>36</v>
      </c>
      <c r="D92" s="47" t="s">
        <v>166</v>
      </c>
      <c r="E92" s="34"/>
      <c r="F92" s="34">
        <v>7.0000000000000007E-2</v>
      </c>
      <c r="G92" s="34">
        <v>4233.72</v>
      </c>
      <c r="H92" s="87"/>
      <c r="I92" s="82">
        <v>0</v>
      </c>
    </row>
    <row r="93" spans="1:9" ht="15.75" customHeight="1">
      <c r="A93" s="29"/>
      <c r="B93" s="41" t="s">
        <v>49</v>
      </c>
      <c r="C93" s="37"/>
      <c r="D93" s="45"/>
      <c r="E93" s="37">
        <v>1</v>
      </c>
      <c r="F93" s="37"/>
      <c r="G93" s="37"/>
      <c r="H93" s="37"/>
      <c r="I93" s="32">
        <f>SUM(I85:I91)</f>
        <v>2687.8186000000001</v>
      </c>
    </row>
    <row r="94" spans="1:9" ht="15.75" customHeight="1">
      <c r="A94" s="29"/>
      <c r="B94" s="43" t="s">
        <v>74</v>
      </c>
      <c r="C94" s="15"/>
      <c r="D94" s="15"/>
      <c r="E94" s="38"/>
      <c r="F94" s="38"/>
      <c r="G94" s="39"/>
      <c r="H94" s="39"/>
      <c r="I94" s="17">
        <v>0</v>
      </c>
    </row>
    <row r="95" spans="1:9" ht="15.75" customHeight="1">
      <c r="A95" s="46"/>
      <c r="B95" s="42" t="s">
        <v>147</v>
      </c>
      <c r="C95" s="33"/>
      <c r="D95" s="33"/>
      <c r="E95" s="33"/>
      <c r="F95" s="33"/>
      <c r="G95" s="33"/>
      <c r="H95" s="33"/>
      <c r="I95" s="40">
        <f>I83+I93</f>
        <v>107104.36641933334</v>
      </c>
    </row>
    <row r="96" spans="1:9" ht="15.75">
      <c r="A96" s="147" t="s">
        <v>253</v>
      </c>
      <c r="B96" s="147"/>
      <c r="C96" s="147"/>
      <c r="D96" s="147"/>
      <c r="E96" s="147"/>
      <c r="F96" s="147"/>
      <c r="G96" s="147"/>
      <c r="H96" s="147"/>
      <c r="I96" s="147"/>
    </row>
    <row r="97" spans="1:9" ht="15.75">
      <c r="A97" s="55"/>
      <c r="B97" s="159" t="s">
        <v>254</v>
      </c>
      <c r="C97" s="159"/>
      <c r="D97" s="159"/>
      <c r="E97" s="159"/>
      <c r="F97" s="159"/>
      <c r="G97" s="159"/>
      <c r="H97" s="60"/>
      <c r="I97" s="3"/>
    </row>
    <row r="98" spans="1:9">
      <c r="A98" s="52"/>
      <c r="B98" s="156" t="s">
        <v>6</v>
      </c>
      <c r="C98" s="156"/>
      <c r="D98" s="156"/>
      <c r="E98" s="156"/>
      <c r="F98" s="156"/>
      <c r="G98" s="156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60" t="s">
        <v>7</v>
      </c>
      <c r="B100" s="160"/>
      <c r="C100" s="160"/>
      <c r="D100" s="160"/>
      <c r="E100" s="160"/>
      <c r="F100" s="160"/>
      <c r="G100" s="160"/>
      <c r="H100" s="160"/>
      <c r="I100" s="160"/>
    </row>
    <row r="101" spans="1:9" ht="15.75">
      <c r="A101" s="160" t="s">
        <v>8</v>
      </c>
      <c r="B101" s="160"/>
      <c r="C101" s="160"/>
      <c r="D101" s="160"/>
      <c r="E101" s="160"/>
      <c r="F101" s="160"/>
      <c r="G101" s="160"/>
      <c r="H101" s="160"/>
      <c r="I101" s="160"/>
    </row>
    <row r="102" spans="1:9" ht="15.75">
      <c r="A102" s="143" t="s">
        <v>58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 customHeight="1">
      <c r="A103" s="11"/>
    </row>
    <row r="104" spans="1:9" ht="15.75">
      <c r="A104" s="144" t="s">
        <v>9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5.75">
      <c r="A105" s="4"/>
    </row>
    <row r="106" spans="1:9" ht="15.75">
      <c r="B106" s="50" t="s">
        <v>10</v>
      </c>
      <c r="C106" s="155" t="s">
        <v>183</v>
      </c>
      <c r="D106" s="155"/>
      <c r="E106" s="155"/>
      <c r="F106" s="58"/>
      <c r="I106" s="51"/>
    </row>
    <row r="107" spans="1:9">
      <c r="A107" s="52"/>
      <c r="C107" s="156" t="s">
        <v>11</v>
      </c>
      <c r="D107" s="156"/>
      <c r="E107" s="156"/>
      <c r="F107" s="24"/>
      <c r="I107" s="49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50" t="s">
        <v>13</v>
      </c>
      <c r="C109" s="157"/>
      <c r="D109" s="157"/>
      <c r="E109" s="157"/>
      <c r="F109" s="59"/>
      <c r="I109" s="51"/>
    </row>
    <row r="110" spans="1:9">
      <c r="A110" s="52"/>
      <c r="C110" s="146" t="s">
        <v>11</v>
      </c>
      <c r="D110" s="146"/>
      <c r="E110" s="146"/>
      <c r="F110" s="52"/>
      <c r="I110" s="49" t="s">
        <v>12</v>
      </c>
    </row>
    <row r="111" spans="1:9" ht="15.75">
      <c r="A111" s="4" t="s">
        <v>14</v>
      </c>
    </row>
    <row r="112" spans="1:9">
      <c r="A112" s="158" t="s">
        <v>15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45" customHeight="1">
      <c r="A113" s="154" t="s">
        <v>16</v>
      </c>
      <c r="B113" s="154"/>
      <c r="C113" s="154"/>
      <c r="D113" s="154"/>
      <c r="E113" s="154"/>
      <c r="F113" s="154"/>
      <c r="G113" s="154"/>
      <c r="H113" s="154"/>
      <c r="I113" s="154"/>
    </row>
    <row r="114" spans="1:9" ht="30" customHeight="1">
      <c r="A114" s="154" t="s">
        <v>17</v>
      </c>
      <c r="B114" s="154"/>
      <c r="C114" s="154"/>
      <c r="D114" s="154"/>
      <c r="E114" s="154"/>
      <c r="F114" s="154"/>
      <c r="G114" s="154"/>
      <c r="H114" s="154"/>
      <c r="I114" s="154"/>
    </row>
    <row r="115" spans="1:9" ht="30" customHeight="1">
      <c r="A115" s="154" t="s">
        <v>21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15" customHeight="1">
      <c r="A116" s="154" t="s">
        <v>20</v>
      </c>
      <c r="B116" s="154"/>
      <c r="C116" s="154"/>
      <c r="D116" s="154"/>
      <c r="E116" s="154"/>
      <c r="F116" s="154"/>
      <c r="G116" s="154"/>
      <c r="H116" s="154"/>
      <c r="I116" s="154"/>
    </row>
  </sheetData>
  <autoFilter ref="I12:I56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6:I26"/>
    <mergeCell ref="A42:I42"/>
    <mergeCell ref="A52:I52"/>
    <mergeCell ref="A96:I96"/>
    <mergeCell ref="B97:G97"/>
    <mergeCell ref="B98:G98"/>
    <mergeCell ref="A100:I100"/>
    <mergeCell ref="A101:I101"/>
    <mergeCell ref="A84:I84"/>
    <mergeCell ref="R61:U61"/>
    <mergeCell ref="A80:I80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" header="0.31496062992125984" footer="0.31496062992125984"/>
  <pageSetup paperSize="9" scale="65" orientation="portrait" r:id="rId1"/>
  <rowBreaks count="1" manualBreakCount="1">
    <brk id="103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9"/>
  <sheetViews>
    <sheetView topLeftCell="A89" workbookViewId="0">
      <selection activeCell="B16" sqref="B16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143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255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44408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hidden="1" customHeight="1">
      <c r="A19" s="29">
        <v>4</v>
      </c>
      <c r="B19" s="105" t="s">
        <v>86</v>
      </c>
      <c r="C19" s="106" t="s">
        <v>87</v>
      </c>
      <c r="D19" s="105" t="s">
        <v>88</v>
      </c>
      <c r="E19" s="115">
        <v>14.4</v>
      </c>
      <c r="F19" s="108">
        <f>SUM(E19/10)</f>
        <v>1.44</v>
      </c>
      <c r="G19" s="108">
        <v>253.7</v>
      </c>
      <c r="H19" s="65">
        <f t="shared" ref="H19" si="1">SUM(F19*G19/1000)</f>
        <v>0.36532799999999999</v>
      </c>
      <c r="I19" s="13">
        <f>G19*F19</f>
        <v>365.32799999999997</v>
      </c>
      <c r="J19" s="22"/>
      <c r="K19" s="8"/>
      <c r="L19" s="8"/>
      <c r="M19" s="8"/>
    </row>
    <row r="20" spans="1:13" ht="15.75" customHeight="1">
      <c r="A20" s="29">
        <v>4</v>
      </c>
      <c r="B20" s="105" t="s">
        <v>89</v>
      </c>
      <c r="C20" s="106" t="s">
        <v>85</v>
      </c>
      <c r="D20" s="105" t="s">
        <v>166</v>
      </c>
      <c r="E20" s="115">
        <v>14.64</v>
      </c>
      <c r="F20" s="108">
        <f>SUM(E20*2/100)</f>
        <v>0.2928</v>
      </c>
      <c r="G20" s="108">
        <v>324.83999999999997</v>
      </c>
      <c r="H20" s="65">
        <f t="shared" ref="H20:H24" si="2">SUM(F20*G20/1000)</f>
        <v>9.5113152000000006E-2</v>
      </c>
      <c r="I20" s="13">
        <f>G20*F20/2</f>
        <v>47.556576</v>
      </c>
      <c r="J20" s="22"/>
      <c r="K20" s="8"/>
      <c r="L20" s="8"/>
      <c r="M20" s="8"/>
    </row>
    <row r="21" spans="1:13" ht="15.75" customHeight="1">
      <c r="A21" s="29">
        <v>5</v>
      </c>
      <c r="B21" s="105" t="s">
        <v>90</v>
      </c>
      <c r="C21" s="106" t="s">
        <v>85</v>
      </c>
      <c r="D21" s="105" t="s">
        <v>166</v>
      </c>
      <c r="E21" s="115">
        <v>10.08</v>
      </c>
      <c r="F21" s="108">
        <f>SUM(E21*2/100)</f>
        <v>0.2016</v>
      </c>
      <c r="G21" s="108">
        <v>322.20999999999998</v>
      </c>
      <c r="H21" s="65">
        <f t="shared" si="2"/>
        <v>6.4957535999999996E-2</v>
      </c>
      <c r="I21" s="13">
        <f>G21*F21/2</f>
        <v>32.478767999999995</v>
      </c>
      <c r="J21" s="22"/>
      <c r="K21" s="8"/>
      <c r="L21" s="8"/>
      <c r="M21" s="8"/>
    </row>
    <row r="22" spans="1:13" ht="15.75" customHeight="1">
      <c r="A22" s="29">
        <v>6</v>
      </c>
      <c r="B22" s="105" t="s">
        <v>91</v>
      </c>
      <c r="C22" s="106" t="s">
        <v>50</v>
      </c>
      <c r="D22" s="105" t="s">
        <v>166</v>
      </c>
      <c r="E22" s="115">
        <v>212.25</v>
      </c>
      <c r="F22" s="108">
        <f>SUM(E22/100)</f>
        <v>2.1225000000000001</v>
      </c>
      <c r="G22" s="108">
        <v>401.44</v>
      </c>
      <c r="H22" s="65">
        <f t="shared" si="2"/>
        <v>0.85205640000000005</v>
      </c>
      <c r="I22" s="13">
        <f>G22*F22</f>
        <v>852.05640000000005</v>
      </c>
      <c r="J22" s="22"/>
      <c r="K22" s="8"/>
      <c r="L22" s="8"/>
      <c r="M22" s="8"/>
    </row>
    <row r="23" spans="1:13" ht="15.75" customHeight="1">
      <c r="A23" s="29">
        <v>7</v>
      </c>
      <c r="B23" s="105" t="s">
        <v>92</v>
      </c>
      <c r="C23" s="106" t="s">
        <v>50</v>
      </c>
      <c r="D23" s="105" t="s">
        <v>166</v>
      </c>
      <c r="E23" s="134">
        <v>46.6</v>
      </c>
      <c r="F23" s="108">
        <f>SUM(E23/100)</f>
        <v>0.46600000000000003</v>
      </c>
      <c r="G23" s="108">
        <v>66.03</v>
      </c>
      <c r="H23" s="65">
        <f t="shared" si="2"/>
        <v>3.0769980000000002E-2</v>
      </c>
      <c r="I23" s="13">
        <f>G23*F23</f>
        <v>30.769980000000004</v>
      </c>
      <c r="J23" s="22"/>
      <c r="K23" s="8"/>
      <c r="L23" s="8"/>
      <c r="M23" s="8"/>
    </row>
    <row r="24" spans="1:13" ht="15.75" customHeight="1">
      <c r="A24" s="29">
        <v>8</v>
      </c>
      <c r="B24" s="105" t="s">
        <v>93</v>
      </c>
      <c r="C24" s="106" t="s">
        <v>50</v>
      </c>
      <c r="D24" s="105" t="s">
        <v>166</v>
      </c>
      <c r="E24" s="115">
        <v>2</v>
      </c>
      <c r="F24" s="108">
        <f>SUM(E24/100)</f>
        <v>0.02</v>
      </c>
      <c r="G24" s="108">
        <v>776.46</v>
      </c>
      <c r="H24" s="65">
        <f t="shared" si="2"/>
        <v>1.5529200000000002E-2</v>
      </c>
      <c r="I24" s="13">
        <f>G24*F24</f>
        <v>15.529200000000001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9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0" si="3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10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3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hidden="1" customHeight="1">
      <c r="A30" s="29">
        <v>8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3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11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 t="shared" ref="H32:H33" si="4"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 t="shared" si="4"/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5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5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5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5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5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15.75" hidden="1" customHeight="1">
      <c r="A43" s="29"/>
      <c r="B43" s="61" t="s">
        <v>106</v>
      </c>
      <c r="C43" s="62" t="s">
        <v>95</v>
      </c>
      <c r="D43" s="61" t="s">
        <v>40</v>
      </c>
      <c r="E43" s="63">
        <v>614.29999999999995</v>
      </c>
      <c r="F43" s="64">
        <f>SUM(E43*2/1000)</f>
        <v>1.2285999999999999</v>
      </c>
      <c r="G43" s="13">
        <v>1094.96</v>
      </c>
      <c r="H43" s="65">
        <f t="shared" ref="H43:H51" si="6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1" t="s">
        <v>33</v>
      </c>
      <c r="C44" s="62" t="s">
        <v>95</v>
      </c>
      <c r="D44" s="61" t="s">
        <v>40</v>
      </c>
      <c r="E44" s="63">
        <v>61</v>
      </c>
      <c r="F44" s="64">
        <f>E44*2/1000</f>
        <v>0.122</v>
      </c>
      <c r="G44" s="13">
        <v>3832.4</v>
      </c>
      <c r="H44" s="65">
        <f t="shared" si="6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1" t="s">
        <v>34</v>
      </c>
      <c r="C45" s="62" t="s">
        <v>95</v>
      </c>
      <c r="D45" s="61" t="s">
        <v>40</v>
      </c>
      <c r="E45" s="63">
        <v>3135.64</v>
      </c>
      <c r="F45" s="64">
        <f>SUM(E45*2/1000)</f>
        <v>6.27128</v>
      </c>
      <c r="G45" s="13">
        <v>1564.24</v>
      </c>
      <c r="H45" s="65">
        <f t="shared" si="6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1" t="s">
        <v>35</v>
      </c>
      <c r="C46" s="62" t="s">
        <v>95</v>
      </c>
      <c r="D46" s="61" t="s">
        <v>40</v>
      </c>
      <c r="E46" s="63">
        <v>1678.47</v>
      </c>
      <c r="F46" s="64">
        <f>SUM(E46*2/1000)</f>
        <v>3.3569400000000003</v>
      </c>
      <c r="G46" s="13">
        <v>1078.3599999999999</v>
      </c>
      <c r="H46" s="65">
        <f t="shared" si="6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1" t="s">
        <v>53</v>
      </c>
      <c r="C47" s="62" t="s">
        <v>95</v>
      </c>
      <c r="D47" s="61" t="s">
        <v>135</v>
      </c>
      <c r="E47" s="63">
        <v>614.29999999999995</v>
      </c>
      <c r="F47" s="64">
        <f>SUM(E47*5/1000)</f>
        <v>3.0714999999999999</v>
      </c>
      <c r="G47" s="13">
        <v>1838.49</v>
      </c>
      <c r="H47" s="65">
        <f t="shared" si="6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1" t="s">
        <v>107</v>
      </c>
      <c r="C48" s="62" t="s">
        <v>95</v>
      </c>
      <c r="D48" s="61" t="s">
        <v>40</v>
      </c>
      <c r="E48" s="63">
        <v>614.29999999999995</v>
      </c>
      <c r="F48" s="64">
        <f>SUM(E48*2/1000)</f>
        <v>1.2285999999999999</v>
      </c>
      <c r="G48" s="13">
        <v>1380.31</v>
      </c>
      <c r="H48" s="65">
        <f t="shared" si="6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1" t="s">
        <v>108</v>
      </c>
      <c r="C49" s="62" t="s">
        <v>36</v>
      </c>
      <c r="D49" s="61" t="s">
        <v>40</v>
      </c>
      <c r="E49" s="63">
        <v>20</v>
      </c>
      <c r="F49" s="64">
        <f>SUM(E49*2/100)</f>
        <v>0.4</v>
      </c>
      <c r="G49" s="13">
        <v>3519.56</v>
      </c>
      <c r="H49" s="65">
        <f t="shared" si="6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1" t="s">
        <v>37</v>
      </c>
      <c r="C50" s="62" t="s">
        <v>38</v>
      </c>
      <c r="D50" s="61" t="s">
        <v>40</v>
      </c>
      <c r="E50" s="63">
        <v>1</v>
      </c>
      <c r="F50" s="64">
        <v>0.02</v>
      </c>
      <c r="G50" s="13">
        <v>6428.82</v>
      </c>
      <c r="H50" s="65">
        <f t="shared" si="6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13</v>
      </c>
      <c r="B51" s="61" t="s">
        <v>39</v>
      </c>
      <c r="C51" s="62" t="s">
        <v>109</v>
      </c>
      <c r="D51" s="61" t="s">
        <v>67</v>
      </c>
      <c r="E51" s="63">
        <v>170</v>
      </c>
      <c r="F51" s="64">
        <f>SUM(E51)*3</f>
        <v>510</v>
      </c>
      <c r="G51" s="13">
        <v>74.709999999999994</v>
      </c>
      <c r="H51" s="65">
        <f t="shared" si="6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48" t="s">
        <v>141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5.7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12</v>
      </c>
      <c r="B57" s="72" t="s">
        <v>82</v>
      </c>
      <c r="C57" s="71" t="s">
        <v>25</v>
      </c>
      <c r="D57" s="72" t="s">
        <v>167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hidden="1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44</v>
      </c>
      <c r="C59" s="16" t="s">
        <v>109</v>
      </c>
      <c r="D59" s="14" t="s">
        <v>63</v>
      </c>
      <c r="E59" s="18">
        <v>25</v>
      </c>
      <c r="F59" s="64">
        <v>25</v>
      </c>
      <c r="G59" s="13">
        <v>252.96</v>
      </c>
      <c r="H59" s="77">
        <f t="shared" ref="H59:H76" si="7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45</v>
      </c>
      <c r="C60" s="16" t="s">
        <v>109</v>
      </c>
      <c r="D60" s="14" t="s">
        <v>63</v>
      </c>
      <c r="E60" s="18">
        <v>2</v>
      </c>
      <c r="F60" s="64">
        <v>2</v>
      </c>
      <c r="G60" s="13">
        <v>86.74</v>
      </c>
      <c r="H60" s="77">
        <f t="shared" si="7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>
        <v>9</v>
      </c>
      <c r="B61" s="14" t="s">
        <v>46</v>
      </c>
      <c r="C61" s="16" t="s">
        <v>112</v>
      </c>
      <c r="D61" s="14" t="s">
        <v>51</v>
      </c>
      <c r="E61" s="63">
        <v>8692</v>
      </c>
      <c r="F61" s="13">
        <f>SUM(E61/100)</f>
        <v>86.92</v>
      </c>
      <c r="G61" s="13">
        <v>241.31</v>
      </c>
      <c r="H61" s="77">
        <f t="shared" si="7"/>
        <v>20.9746652</v>
      </c>
      <c r="I61" s="13">
        <f>G61*F61</f>
        <v>20974.665199999999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hidden="1" customHeight="1">
      <c r="A62" s="29">
        <v>10</v>
      </c>
      <c r="B62" s="14" t="s">
        <v>47</v>
      </c>
      <c r="C62" s="16" t="s">
        <v>113</v>
      </c>
      <c r="D62" s="14"/>
      <c r="E62" s="63">
        <v>8692</v>
      </c>
      <c r="F62" s="13">
        <f>SUM(E62/1000)</f>
        <v>8.6920000000000002</v>
      </c>
      <c r="G62" s="13">
        <v>187.91</v>
      </c>
      <c r="H62" s="77">
        <f t="shared" si="7"/>
        <v>1.6333137200000001</v>
      </c>
      <c r="I62" s="13">
        <f>G62*F62</f>
        <v>1633.3137200000001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29">
        <v>11</v>
      </c>
      <c r="B63" s="14" t="s">
        <v>48</v>
      </c>
      <c r="C63" s="16" t="s">
        <v>73</v>
      </c>
      <c r="D63" s="14" t="s">
        <v>51</v>
      </c>
      <c r="E63" s="63">
        <v>855</v>
      </c>
      <c r="F63" s="13">
        <f>SUM(E63/100)</f>
        <v>8.5500000000000007</v>
      </c>
      <c r="G63" s="13">
        <v>2359.7199999999998</v>
      </c>
      <c r="H63" s="77">
        <f t="shared" si="7"/>
        <v>20.175605999999998</v>
      </c>
      <c r="I63" s="13">
        <f>G63*F63</f>
        <v>20175.606</v>
      </c>
    </row>
    <row r="64" spans="1:22" ht="15.75" hidden="1" customHeight="1">
      <c r="A64" s="29">
        <v>12</v>
      </c>
      <c r="B64" s="78" t="s">
        <v>114</v>
      </c>
      <c r="C64" s="16" t="s">
        <v>32</v>
      </c>
      <c r="D64" s="14"/>
      <c r="E64" s="63">
        <v>8.6</v>
      </c>
      <c r="F64" s="13">
        <f>SUM(E64)</f>
        <v>8.6</v>
      </c>
      <c r="G64" s="13">
        <v>42.67</v>
      </c>
      <c r="H64" s="77">
        <f t="shared" si="7"/>
        <v>0.36696200000000001</v>
      </c>
      <c r="I64" s="13">
        <f>G64*F64</f>
        <v>366.96199999999999</v>
      </c>
    </row>
    <row r="65" spans="1:9" ht="15.75" hidden="1" customHeight="1">
      <c r="A65" s="29">
        <v>13</v>
      </c>
      <c r="B65" s="78" t="s">
        <v>115</v>
      </c>
      <c r="C65" s="16" t="s">
        <v>32</v>
      </c>
      <c r="D65" s="14"/>
      <c r="E65" s="63">
        <v>8.6</v>
      </c>
      <c r="F65" s="13">
        <f>SUM(E65)</f>
        <v>8.6</v>
      </c>
      <c r="G65" s="13">
        <v>39.81</v>
      </c>
      <c r="H65" s="77">
        <f t="shared" si="7"/>
        <v>0.342366</v>
      </c>
      <c r="I65" s="13">
        <f>G65*F65</f>
        <v>342.36599999999999</v>
      </c>
    </row>
    <row r="66" spans="1:9" ht="15.75" hidden="1" customHeight="1">
      <c r="A66" s="29"/>
      <c r="B66" s="14" t="s">
        <v>54</v>
      </c>
      <c r="C66" s="16" t="s">
        <v>55</v>
      </c>
      <c r="D66" s="14" t="s">
        <v>51</v>
      </c>
      <c r="E66" s="18">
        <v>5</v>
      </c>
      <c r="F66" s="64">
        <v>5</v>
      </c>
      <c r="G66" s="13">
        <v>56.74</v>
      </c>
      <c r="H66" s="77">
        <f t="shared" si="7"/>
        <v>0.28370000000000001</v>
      </c>
      <c r="I66" s="13">
        <v>0</v>
      </c>
    </row>
    <row r="67" spans="1:9" ht="15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32.25" customHeight="1">
      <c r="A68" s="29">
        <v>13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7"/>
        <v>0.45427999999999996</v>
      </c>
      <c r="I70" s="13">
        <v>0</v>
      </c>
    </row>
    <row r="71" spans="1:9" ht="15.75" customHeight="1">
      <c r="A71" s="29">
        <v>14</v>
      </c>
      <c r="B71" s="14" t="s">
        <v>69</v>
      </c>
      <c r="C71" s="16" t="s">
        <v>71</v>
      </c>
      <c r="D71" s="14" t="s">
        <v>261</v>
      </c>
      <c r="E71" s="18">
        <v>20</v>
      </c>
      <c r="F71" s="13">
        <v>2</v>
      </c>
      <c r="G71" s="126">
        <v>747.85</v>
      </c>
      <c r="H71" s="77">
        <f t="shared" si="7"/>
        <v>1.4957</v>
      </c>
      <c r="I71" s="13">
        <f>G71*0.5</f>
        <v>373.92500000000001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>
        <v>15</v>
      </c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80" t="s">
        <v>72</v>
      </c>
      <c r="C75" s="16"/>
      <c r="D75" s="14"/>
      <c r="E75" s="18"/>
      <c r="F75" s="13"/>
      <c r="G75" s="13" t="s">
        <v>128</v>
      </c>
      <c r="H75" s="77" t="s">
        <v>128</v>
      </c>
      <c r="I75" s="13"/>
    </row>
    <row r="76" spans="1:9" ht="15.75" hidden="1" customHeight="1">
      <c r="A76" s="29"/>
      <c r="B76" s="43" t="s">
        <v>118</v>
      </c>
      <c r="C76" s="16" t="s">
        <v>73</v>
      </c>
      <c r="D76" s="14"/>
      <c r="E76" s="18"/>
      <c r="F76" s="13">
        <v>1</v>
      </c>
      <c r="G76" s="13">
        <v>3138.63</v>
      </c>
      <c r="H76" s="77">
        <f t="shared" si="7"/>
        <v>3.13863</v>
      </c>
      <c r="I76" s="13">
        <v>0</v>
      </c>
    </row>
    <row r="77" spans="1:9" ht="15.75" customHeight="1">
      <c r="A77" s="29"/>
      <c r="B77" s="54" t="s">
        <v>116</v>
      </c>
      <c r="C77" s="80"/>
      <c r="D77" s="31"/>
      <c r="E77" s="32"/>
      <c r="F77" s="67"/>
      <c r="G77" s="67"/>
      <c r="H77" s="81">
        <f>SUM(H54:H76)</f>
        <v>72.003556879999991</v>
      </c>
      <c r="I77" s="67"/>
    </row>
    <row r="78" spans="1:9" ht="15.75" customHeight="1">
      <c r="A78" s="29">
        <v>16</v>
      </c>
      <c r="B78" s="61" t="s">
        <v>117</v>
      </c>
      <c r="C78" s="16"/>
      <c r="D78" s="14"/>
      <c r="E78" s="57"/>
      <c r="F78" s="13">
        <v>1</v>
      </c>
      <c r="G78" s="13">
        <v>5793.2</v>
      </c>
      <c r="H78" s="77">
        <f>G78*F78/1000</f>
        <v>5.7931999999999997</v>
      </c>
      <c r="I78" s="13">
        <f>G78*1</f>
        <v>5793.2</v>
      </c>
    </row>
    <row r="79" spans="1:9" ht="15.75" customHeight="1">
      <c r="A79" s="148" t="s">
        <v>142</v>
      </c>
      <c r="B79" s="149"/>
      <c r="C79" s="149"/>
      <c r="D79" s="149"/>
      <c r="E79" s="149"/>
      <c r="F79" s="149"/>
      <c r="G79" s="149"/>
      <c r="H79" s="149"/>
      <c r="I79" s="150"/>
    </row>
    <row r="80" spans="1:9" ht="15.75" customHeight="1">
      <c r="A80" s="29">
        <v>17</v>
      </c>
      <c r="B80" s="105" t="s">
        <v>119</v>
      </c>
      <c r="C80" s="110" t="s">
        <v>52</v>
      </c>
      <c r="D80" s="124"/>
      <c r="E80" s="34">
        <v>2177.1</v>
      </c>
      <c r="F80" s="34">
        <f>SUM(E80*12)</f>
        <v>26125.199999999997</v>
      </c>
      <c r="G80" s="34">
        <v>3.5</v>
      </c>
      <c r="H80" s="77">
        <f>SUM(F80*G80/1000)</f>
        <v>91.438199999999981</v>
      </c>
      <c r="I80" s="13">
        <f>F80/12*G80</f>
        <v>7619.8499999999995</v>
      </c>
    </row>
    <row r="81" spans="1:9" ht="31.5" customHeight="1">
      <c r="A81" s="29">
        <v>18</v>
      </c>
      <c r="B81" s="35" t="s">
        <v>191</v>
      </c>
      <c r="C81" s="110" t="s">
        <v>52</v>
      </c>
      <c r="D81" s="47"/>
      <c r="E81" s="99">
        <f>E80</f>
        <v>2177.1</v>
      </c>
      <c r="F81" s="34">
        <f>E81*12</f>
        <v>26125.199999999997</v>
      </c>
      <c r="G81" s="34">
        <v>3.24</v>
      </c>
      <c r="H81" s="77">
        <f>F81*G81/1000</f>
        <v>84.645647999999994</v>
      </c>
      <c r="I81" s="13">
        <f>F81/12*G81</f>
        <v>7053.8040000000001</v>
      </c>
    </row>
    <row r="82" spans="1:9" ht="15.75" customHeight="1">
      <c r="A82" s="29"/>
      <c r="B82" s="36" t="s">
        <v>75</v>
      </c>
      <c r="C82" s="80"/>
      <c r="D82" s="79"/>
      <c r="E82" s="67"/>
      <c r="F82" s="67"/>
      <c r="G82" s="67"/>
      <c r="H82" s="81">
        <f>H81</f>
        <v>84.645647999999994</v>
      </c>
      <c r="I82" s="67">
        <f>I81+I80+I78+I74+I71+I68+I57++I31+I29+I28+I24+I23+I22+I21+I20+I18+++++I17+I16</f>
        <v>47543.260223333331</v>
      </c>
    </row>
    <row r="83" spans="1:9" ht="15.75" customHeight="1">
      <c r="A83" s="151" t="s">
        <v>57</v>
      </c>
      <c r="B83" s="152"/>
      <c r="C83" s="152"/>
      <c r="D83" s="152"/>
      <c r="E83" s="152"/>
      <c r="F83" s="152"/>
      <c r="G83" s="152"/>
      <c r="H83" s="152"/>
      <c r="I83" s="153"/>
    </row>
    <row r="84" spans="1:9" ht="33.75" customHeight="1">
      <c r="A84" s="29">
        <v>19</v>
      </c>
      <c r="B84" s="95" t="s">
        <v>256</v>
      </c>
      <c r="C84" s="48" t="s">
        <v>122</v>
      </c>
      <c r="D84" s="47" t="s">
        <v>264</v>
      </c>
      <c r="E84" s="34"/>
      <c r="F84" s="34">
        <v>1</v>
      </c>
      <c r="G84" s="34">
        <v>614.47</v>
      </c>
      <c r="H84" s="77"/>
      <c r="I84" s="82">
        <f>G84*1</f>
        <v>614.47</v>
      </c>
    </row>
    <row r="85" spans="1:9" ht="20.25" customHeight="1">
      <c r="A85" s="29">
        <v>20</v>
      </c>
      <c r="B85" s="95" t="s">
        <v>155</v>
      </c>
      <c r="C85" s="48" t="s">
        <v>38</v>
      </c>
      <c r="D85" s="47" t="s">
        <v>166</v>
      </c>
      <c r="E85" s="34"/>
      <c r="F85" s="34">
        <v>0.04</v>
      </c>
      <c r="G85" s="34">
        <v>28224.75</v>
      </c>
      <c r="H85" s="77"/>
      <c r="I85" s="82">
        <v>0</v>
      </c>
    </row>
    <row r="86" spans="1:9" ht="18.75" customHeight="1">
      <c r="A86" s="29">
        <v>21</v>
      </c>
      <c r="B86" s="95" t="s">
        <v>230</v>
      </c>
      <c r="C86" s="48" t="s">
        <v>29</v>
      </c>
      <c r="D86" s="47"/>
      <c r="E86" s="34"/>
      <c r="F86" s="34">
        <f>0.72+0.72+0.72+0.72</f>
        <v>2.88</v>
      </c>
      <c r="G86" s="34">
        <v>241.69</v>
      </c>
      <c r="H86" s="77"/>
      <c r="I86" s="82">
        <f>G86*0.72</f>
        <v>174.01679999999999</v>
      </c>
    </row>
    <row r="87" spans="1:9" ht="17.25" customHeight="1">
      <c r="A87" s="29">
        <v>22</v>
      </c>
      <c r="B87" s="95" t="s">
        <v>233</v>
      </c>
      <c r="C87" s="48" t="s">
        <v>182</v>
      </c>
      <c r="D87" s="47" t="s">
        <v>265</v>
      </c>
      <c r="E87" s="34"/>
      <c r="F87" s="34">
        <v>2</v>
      </c>
      <c r="G87" s="34">
        <v>672.88</v>
      </c>
      <c r="H87" s="77"/>
      <c r="I87" s="82">
        <f>G87*1</f>
        <v>672.88</v>
      </c>
    </row>
    <row r="88" spans="1:9" ht="17.25" customHeight="1">
      <c r="A88" s="29">
        <v>23</v>
      </c>
      <c r="B88" s="95" t="s">
        <v>153</v>
      </c>
      <c r="C88" s="48" t="s">
        <v>149</v>
      </c>
      <c r="D88" s="47" t="s">
        <v>263</v>
      </c>
      <c r="E88" s="34"/>
      <c r="F88" s="34">
        <v>42</v>
      </c>
      <c r="G88" s="34">
        <v>295.36</v>
      </c>
      <c r="H88" s="77"/>
      <c r="I88" s="82">
        <v>0</v>
      </c>
    </row>
    <row r="89" spans="1:9" ht="33.75" customHeight="1">
      <c r="A89" s="29">
        <v>24</v>
      </c>
      <c r="B89" s="95" t="s">
        <v>257</v>
      </c>
      <c r="C89" s="48" t="s">
        <v>149</v>
      </c>
      <c r="D89" s="35" t="s">
        <v>268</v>
      </c>
      <c r="E89" s="34"/>
      <c r="F89" s="34">
        <v>4</v>
      </c>
      <c r="G89" s="34">
        <v>1584.54</v>
      </c>
      <c r="H89" s="77"/>
      <c r="I89" s="82">
        <f>G89*4</f>
        <v>6338.16</v>
      </c>
    </row>
    <row r="90" spans="1:9" ht="32.25" customHeight="1">
      <c r="A90" s="29">
        <v>25</v>
      </c>
      <c r="B90" s="95" t="s">
        <v>258</v>
      </c>
      <c r="C90" s="48" t="s">
        <v>149</v>
      </c>
      <c r="D90" s="47" t="s">
        <v>262</v>
      </c>
      <c r="E90" s="34"/>
      <c r="F90" s="34">
        <v>8</v>
      </c>
      <c r="G90" s="34">
        <v>1478.55</v>
      </c>
      <c r="H90" s="77"/>
      <c r="I90" s="82">
        <f>G90*8</f>
        <v>11828.4</v>
      </c>
    </row>
    <row r="91" spans="1:9" ht="33" customHeight="1">
      <c r="A91" s="29">
        <v>26</v>
      </c>
      <c r="B91" s="95" t="s">
        <v>259</v>
      </c>
      <c r="C91" s="48" t="s">
        <v>149</v>
      </c>
      <c r="D91" s="47" t="s">
        <v>266</v>
      </c>
      <c r="E91" s="34"/>
      <c r="F91" s="34">
        <v>2</v>
      </c>
      <c r="G91" s="34">
        <v>2533.9299999999998</v>
      </c>
      <c r="H91" s="77"/>
      <c r="I91" s="82">
        <f>G91*2</f>
        <v>5067.8599999999997</v>
      </c>
    </row>
    <row r="92" spans="1:9" ht="33" customHeight="1">
      <c r="A92" s="29">
        <v>27</v>
      </c>
      <c r="B92" s="95" t="s">
        <v>195</v>
      </c>
      <c r="C92" s="48" t="s">
        <v>122</v>
      </c>
      <c r="D92" s="35" t="s">
        <v>267</v>
      </c>
      <c r="E92" s="34"/>
      <c r="F92" s="34">
        <v>2</v>
      </c>
      <c r="G92" s="34">
        <v>1620.57</v>
      </c>
      <c r="H92" s="77"/>
      <c r="I92" s="82">
        <f>G92*2</f>
        <v>3241.14</v>
      </c>
    </row>
    <row r="93" spans="1:9" ht="17.25" customHeight="1">
      <c r="A93" s="29">
        <v>28</v>
      </c>
      <c r="B93" s="95" t="s">
        <v>260</v>
      </c>
      <c r="C93" s="48" t="s">
        <v>109</v>
      </c>
      <c r="D93" s="47" t="s">
        <v>251</v>
      </c>
      <c r="E93" s="34"/>
      <c r="F93" s="34">
        <v>2</v>
      </c>
      <c r="G93" s="34">
        <v>6426</v>
      </c>
      <c r="H93" s="77"/>
      <c r="I93" s="82">
        <f>G93*2</f>
        <v>12852</v>
      </c>
    </row>
    <row r="94" spans="1:9" ht="34.5" customHeight="1">
      <c r="A94" s="29">
        <v>29</v>
      </c>
      <c r="B94" s="95" t="s">
        <v>156</v>
      </c>
      <c r="C94" s="48" t="s">
        <v>36</v>
      </c>
      <c r="D94" s="47" t="s">
        <v>166</v>
      </c>
      <c r="E94" s="34"/>
      <c r="F94" s="34">
        <v>0.08</v>
      </c>
      <c r="G94" s="34">
        <v>4233.72</v>
      </c>
      <c r="H94" s="77"/>
      <c r="I94" s="82">
        <v>0</v>
      </c>
    </row>
    <row r="95" spans="1:9" ht="17.25" customHeight="1">
      <c r="A95" s="29">
        <v>30</v>
      </c>
      <c r="B95" s="95" t="s">
        <v>37</v>
      </c>
      <c r="C95" s="48" t="s">
        <v>269</v>
      </c>
      <c r="D95" s="47" t="s">
        <v>166</v>
      </c>
      <c r="E95" s="34"/>
      <c r="F95" s="34">
        <v>0.01</v>
      </c>
      <c r="G95" s="34">
        <v>8763.7900000000009</v>
      </c>
      <c r="H95" s="77"/>
      <c r="I95" s="82">
        <v>0</v>
      </c>
    </row>
    <row r="96" spans="1:9" ht="15.75" customHeight="1">
      <c r="A96" s="29"/>
      <c r="B96" s="41" t="s">
        <v>49</v>
      </c>
      <c r="C96" s="37"/>
      <c r="D96" s="45"/>
      <c r="E96" s="37">
        <v>1</v>
      </c>
      <c r="F96" s="37"/>
      <c r="G96" s="37"/>
      <c r="H96" s="37"/>
      <c r="I96" s="32">
        <f>SUM(I84:I95)</f>
        <v>40788.926800000001</v>
      </c>
    </row>
    <row r="97" spans="1:9" ht="15.75" customHeight="1">
      <c r="A97" s="29"/>
      <c r="B97" s="43" t="s">
        <v>74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6"/>
      <c r="B98" s="42" t="s">
        <v>147</v>
      </c>
      <c r="C98" s="33"/>
      <c r="D98" s="33"/>
      <c r="E98" s="33"/>
      <c r="F98" s="33"/>
      <c r="G98" s="33"/>
      <c r="H98" s="33"/>
      <c r="I98" s="40">
        <f>I82+I96</f>
        <v>88332.187023333332</v>
      </c>
    </row>
    <row r="99" spans="1:9" ht="15.75">
      <c r="A99" s="147" t="s">
        <v>270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55"/>
      <c r="B100" s="159" t="s">
        <v>271</v>
      </c>
      <c r="C100" s="159"/>
      <c r="D100" s="159"/>
      <c r="E100" s="159"/>
      <c r="F100" s="159"/>
      <c r="G100" s="159"/>
      <c r="H100" s="60"/>
      <c r="I100" s="3"/>
    </row>
    <row r="101" spans="1:9">
      <c r="A101" s="52"/>
      <c r="B101" s="156" t="s">
        <v>6</v>
      </c>
      <c r="C101" s="156"/>
      <c r="D101" s="156"/>
      <c r="E101" s="156"/>
      <c r="F101" s="156"/>
      <c r="G101" s="156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60" t="s">
        <v>7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160" t="s">
        <v>8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143" t="s">
        <v>58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11"/>
    </row>
    <row r="107" spans="1:9" ht="15.75">
      <c r="A107" s="144" t="s">
        <v>9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15.75">
      <c r="A108" s="4"/>
    </row>
    <row r="109" spans="1:9" ht="15.75">
      <c r="B109" s="50" t="s">
        <v>10</v>
      </c>
      <c r="C109" s="155" t="s">
        <v>183</v>
      </c>
      <c r="D109" s="155"/>
      <c r="E109" s="155"/>
      <c r="F109" s="58"/>
      <c r="I109" s="51"/>
    </row>
    <row r="110" spans="1:9">
      <c r="A110" s="52"/>
      <c r="C110" s="156" t="s">
        <v>11</v>
      </c>
      <c r="D110" s="156"/>
      <c r="E110" s="156"/>
      <c r="F110" s="24"/>
      <c r="I110" s="49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50" t="s">
        <v>13</v>
      </c>
      <c r="C112" s="157"/>
      <c r="D112" s="157"/>
      <c r="E112" s="157"/>
      <c r="F112" s="59"/>
      <c r="I112" s="51"/>
    </row>
    <row r="113" spans="1:9">
      <c r="A113" s="52"/>
      <c r="C113" s="146" t="s">
        <v>11</v>
      </c>
      <c r="D113" s="146"/>
      <c r="E113" s="146"/>
      <c r="F113" s="52"/>
      <c r="I113" s="49" t="s">
        <v>12</v>
      </c>
    </row>
    <row r="114" spans="1:9" ht="15.75">
      <c r="A114" s="4" t="s">
        <v>14</v>
      </c>
    </row>
    <row r="115" spans="1:9">
      <c r="A115" s="158" t="s">
        <v>15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45" customHeight="1">
      <c r="A116" s="154" t="s">
        <v>16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30" customHeight="1">
      <c r="A117" s="154" t="s">
        <v>17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30" customHeight="1">
      <c r="A118" s="154" t="s">
        <v>21</v>
      </c>
      <c r="B118" s="154"/>
      <c r="C118" s="154"/>
      <c r="D118" s="154"/>
      <c r="E118" s="154"/>
      <c r="F118" s="154"/>
      <c r="G118" s="154"/>
      <c r="H118" s="154"/>
      <c r="I118" s="154"/>
    </row>
    <row r="119" spans="1:9" ht="15" customHeight="1">
      <c r="A119" s="154" t="s">
        <v>20</v>
      </c>
      <c r="B119" s="154"/>
      <c r="C119" s="154"/>
      <c r="D119" s="154"/>
      <c r="E119" s="154"/>
      <c r="F119" s="154"/>
      <c r="G119" s="154"/>
      <c r="H119" s="154"/>
      <c r="I119" s="154"/>
    </row>
  </sheetData>
  <autoFilter ref="I12:I56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6:I26"/>
    <mergeCell ref="A42:I42"/>
    <mergeCell ref="A52:I52"/>
    <mergeCell ref="A99:I99"/>
    <mergeCell ref="B100:G100"/>
    <mergeCell ref="B101:G101"/>
    <mergeCell ref="A103:I103"/>
    <mergeCell ref="A104:I104"/>
    <mergeCell ref="A83:I83"/>
    <mergeCell ref="R61:U61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1"/>
  <sheetViews>
    <sheetView view="pageBreakPreview" topLeftCell="A67" zoomScale="60" zoomScaleNormal="100" workbookViewId="0">
      <selection activeCell="B67" sqref="B67:I6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144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272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44439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ref="H19:H24" si="1">SUM(F19*G19/1000)</f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1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1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1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1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1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4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0" si="2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5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2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hidden="1" customHeight="1">
      <c r="A30" s="29">
        <v>8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2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6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>SUM(F33*G33/1000)</f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3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3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3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3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3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hidden="1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15.75" hidden="1" customHeight="1">
      <c r="A43" s="29"/>
      <c r="B43" s="61" t="s">
        <v>106</v>
      </c>
      <c r="C43" s="62" t="s">
        <v>95</v>
      </c>
      <c r="D43" s="61" t="s">
        <v>40</v>
      </c>
      <c r="E43" s="63">
        <v>614.29999999999995</v>
      </c>
      <c r="F43" s="64">
        <f>SUM(E43*2/1000)</f>
        <v>1.2285999999999999</v>
      </c>
      <c r="G43" s="13">
        <v>1094.96</v>
      </c>
      <c r="H43" s="65">
        <f t="shared" ref="H43:H51" si="4">SUM(F43*G43/1000)</f>
        <v>1.345267856</v>
      </c>
      <c r="I43" s="13">
        <v>0</v>
      </c>
      <c r="J43" s="23"/>
      <c r="L43" s="19"/>
      <c r="M43" s="20"/>
      <c r="N43" s="21"/>
    </row>
    <row r="44" spans="1:14" ht="15.75" hidden="1" customHeight="1">
      <c r="A44" s="29"/>
      <c r="B44" s="61" t="s">
        <v>33</v>
      </c>
      <c r="C44" s="62" t="s">
        <v>95</v>
      </c>
      <c r="D44" s="61" t="s">
        <v>40</v>
      </c>
      <c r="E44" s="63">
        <v>61</v>
      </c>
      <c r="F44" s="64">
        <f>E44*2/1000</f>
        <v>0.122</v>
      </c>
      <c r="G44" s="13">
        <v>3832.4</v>
      </c>
      <c r="H44" s="65">
        <f t="shared" si="4"/>
        <v>0.46755279999999999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1" t="s">
        <v>34</v>
      </c>
      <c r="C45" s="62" t="s">
        <v>95</v>
      </c>
      <c r="D45" s="61" t="s">
        <v>40</v>
      </c>
      <c r="E45" s="63">
        <v>3135.64</v>
      </c>
      <c r="F45" s="64">
        <f>SUM(E45*2/1000)</f>
        <v>6.27128</v>
      </c>
      <c r="G45" s="13">
        <v>1564.24</v>
      </c>
      <c r="H45" s="65">
        <f t="shared" si="4"/>
        <v>9.8097870272000005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1" t="s">
        <v>35</v>
      </c>
      <c r="C46" s="62" t="s">
        <v>95</v>
      </c>
      <c r="D46" s="61" t="s">
        <v>40</v>
      </c>
      <c r="E46" s="63">
        <v>1678.47</v>
      </c>
      <c r="F46" s="64">
        <f>SUM(E46*2/1000)</f>
        <v>3.3569400000000003</v>
      </c>
      <c r="G46" s="13">
        <v>1078.3599999999999</v>
      </c>
      <c r="H46" s="65">
        <f t="shared" si="4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1" t="s">
        <v>53</v>
      </c>
      <c r="C47" s="62" t="s">
        <v>95</v>
      </c>
      <c r="D47" s="61" t="s">
        <v>135</v>
      </c>
      <c r="E47" s="63">
        <v>614.29999999999995</v>
      </c>
      <c r="F47" s="64">
        <f>SUM(E47*5/1000)</f>
        <v>3.0714999999999999</v>
      </c>
      <c r="G47" s="13">
        <v>1838.49</v>
      </c>
      <c r="H47" s="65">
        <f t="shared" si="4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31.5" hidden="1" customHeight="1">
      <c r="A48" s="29"/>
      <c r="B48" s="61" t="s">
        <v>107</v>
      </c>
      <c r="C48" s="62" t="s">
        <v>95</v>
      </c>
      <c r="D48" s="61" t="s">
        <v>40</v>
      </c>
      <c r="E48" s="63">
        <v>614.29999999999995</v>
      </c>
      <c r="F48" s="64">
        <f>SUM(E48*2/1000)</f>
        <v>1.2285999999999999</v>
      </c>
      <c r="G48" s="13">
        <v>1380.31</v>
      </c>
      <c r="H48" s="65">
        <f t="shared" si="4"/>
        <v>1.6958488659999997</v>
      </c>
      <c r="I48" s="13">
        <v>0</v>
      </c>
      <c r="J48" s="23"/>
      <c r="L48" s="19"/>
      <c r="M48" s="20"/>
      <c r="N48" s="21"/>
    </row>
    <row r="49" spans="1:22" ht="31.5" hidden="1" customHeight="1">
      <c r="A49" s="44"/>
      <c r="B49" s="61" t="s">
        <v>108</v>
      </c>
      <c r="C49" s="62" t="s">
        <v>36</v>
      </c>
      <c r="D49" s="61" t="s">
        <v>40</v>
      </c>
      <c r="E49" s="63">
        <v>20</v>
      </c>
      <c r="F49" s="64">
        <f>SUM(E49*2/100)</f>
        <v>0.4</v>
      </c>
      <c r="G49" s="13">
        <v>3519.56</v>
      </c>
      <c r="H49" s="65">
        <f t="shared" si="4"/>
        <v>1.407824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1" t="s">
        <v>37</v>
      </c>
      <c r="C50" s="62" t="s">
        <v>38</v>
      </c>
      <c r="D50" s="61" t="s">
        <v>40</v>
      </c>
      <c r="E50" s="63">
        <v>1</v>
      </c>
      <c r="F50" s="64">
        <v>0.02</v>
      </c>
      <c r="G50" s="13">
        <v>6428.82</v>
      </c>
      <c r="H50" s="65">
        <f t="shared" si="4"/>
        <v>0.12857640000000001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10</v>
      </c>
      <c r="B51" s="61" t="s">
        <v>39</v>
      </c>
      <c r="C51" s="62" t="s">
        <v>109</v>
      </c>
      <c r="D51" s="61" t="s">
        <v>67</v>
      </c>
      <c r="E51" s="63">
        <v>170</v>
      </c>
      <c r="F51" s="64">
        <f>SUM(E51)*3</f>
        <v>510</v>
      </c>
      <c r="G51" s="13">
        <v>74.709999999999994</v>
      </c>
      <c r="H51" s="65">
        <f t="shared" si="4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48" t="s">
        <v>141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5.7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7</v>
      </c>
      <c r="B57" s="72" t="s">
        <v>82</v>
      </c>
      <c r="C57" s="71" t="s">
        <v>25</v>
      </c>
      <c r="D57" s="72" t="s">
        <v>167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hidden="1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/>
      <c r="B59" s="14" t="s">
        <v>44</v>
      </c>
      <c r="C59" s="16" t="s">
        <v>109</v>
      </c>
      <c r="D59" s="14" t="s">
        <v>63</v>
      </c>
      <c r="E59" s="18">
        <v>25</v>
      </c>
      <c r="F59" s="64">
        <v>25</v>
      </c>
      <c r="G59" s="13">
        <v>252.96</v>
      </c>
      <c r="H59" s="77">
        <f t="shared" ref="H59:H76" si="5">SUM(F59*G59/1000)</f>
        <v>6.3239999999999998</v>
      </c>
      <c r="I59" s="13">
        <v>0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29"/>
      <c r="B60" s="14" t="s">
        <v>45</v>
      </c>
      <c r="C60" s="16" t="s">
        <v>109</v>
      </c>
      <c r="D60" s="14" t="s">
        <v>63</v>
      </c>
      <c r="E60" s="18">
        <v>2</v>
      </c>
      <c r="F60" s="64">
        <v>2</v>
      </c>
      <c r="G60" s="13">
        <v>86.74</v>
      </c>
      <c r="H60" s="77">
        <f t="shared" si="5"/>
        <v>0.17348</v>
      </c>
      <c r="I60" s="13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46</v>
      </c>
      <c r="C61" s="16" t="s">
        <v>112</v>
      </c>
      <c r="D61" s="14" t="s">
        <v>51</v>
      </c>
      <c r="E61" s="63">
        <v>8692</v>
      </c>
      <c r="F61" s="13">
        <f>SUM(E61/100)</f>
        <v>86.92</v>
      </c>
      <c r="G61" s="13">
        <v>241.31</v>
      </c>
      <c r="H61" s="77">
        <f t="shared" si="5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hidden="1" customHeight="1">
      <c r="A62" s="29"/>
      <c r="B62" s="14" t="s">
        <v>47</v>
      </c>
      <c r="C62" s="16" t="s">
        <v>113</v>
      </c>
      <c r="D62" s="14"/>
      <c r="E62" s="63">
        <v>8692</v>
      </c>
      <c r="F62" s="13">
        <f>SUM(E62/1000)</f>
        <v>8.6920000000000002</v>
      </c>
      <c r="G62" s="13">
        <v>187.91</v>
      </c>
      <c r="H62" s="77">
        <f t="shared" si="5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48</v>
      </c>
      <c r="C63" s="16" t="s">
        <v>73</v>
      </c>
      <c r="D63" s="14" t="s">
        <v>51</v>
      </c>
      <c r="E63" s="63">
        <v>855</v>
      </c>
      <c r="F63" s="13">
        <f>SUM(E63/100)</f>
        <v>8.5500000000000007</v>
      </c>
      <c r="G63" s="13">
        <v>2359.7199999999998</v>
      </c>
      <c r="H63" s="77">
        <f t="shared" si="5"/>
        <v>20.175605999999998</v>
      </c>
      <c r="I63" s="13">
        <v>0</v>
      </c>
    </row>
    <row r="64" spans="1:22" ht="15.75" hidden="1" customHeight="1">
      <c r="A64" s="29"/>
      <c r="B64" s="78" t="s">
        <v>114</v>
      </c>
      <c r="C64" s="16" t="s">
        <v>32</v>
      </c>
      <c r="D64" s="14"/>
      <c r="E64" s="63">
        <v>8.6</v>
      </c>
      <c r="F64" s="13">
        <f>SUM(E64)</f>
        <v>8.6</v>
      </c>
      <c r="G64" s="13">
        <v>42.67</v>
      </c>
      <c r="H64" s="77">
        <f t="shared" si="5"/>
        <v>0.36696200000000001</v>
      </c>
      <c r="I64" s="13">
        <v>0</v>
      </c>
    </row>
    <row r="65" spans="1:9" ht="15.75" hidden="1" customHeight="1">
      <c r="A65" s="29"/>
      <c r="B65" s="78" t="s">
        <v>115</v>
      </c>
      <c r="C65" s="16" t="s">
        <v>32</v>
      </c>
      <c r="D65" s="14"/>
      <c r="E65" s="63">
        <v>8.6</v>
      </c>
      <c r="F65" s="13">
        <f>SUM(E65)</f>
        <v>8.6</v>
      </c>
      <c r="G65" s="13">
        <v>39.81</v>
      </c>
      <c r="H65" s="77">
        <f t="shared" si="5"/>
        <v>0.342366</v>
      </c>
      <c r="I65" s="13">
        <v>0</v>
      </c>
    </row>
    <row r="66" spans="1:9" ht="15.75" hidden="1" customHeight="1">
      <c r="A66" s="29"/>
      <c r="B66" s="14" t="s">
        <v>54</v>
      </c>
      <c r="C66" s="16" t="s">
        <v>55</v>
      </c>
      <c r="D66" s="14" t="s">
        <v>51</v>
      </c>
      <c r="E66" s="18">
        <v>5</v>
      </c>
      <c r="F66" s="64">
        <v>5</v>
      </c>
      <c r="G66" s="13">
        <v>56.74</v>
      </c>
      <c r="H66" s="77">
        <f t="shared" si="5"/>
        <v>0.28370000000000001</v>
      </c>
      <c r="I66" s="13">
        <v>0</v>
      </c>
    </row>
    <row r="67" spans="1:9" ht="15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32.25" customHeight="1">
      <c r="A68" s="29">
        <v>8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5"/>
        <v>0.45427999999999996</v>
      </c>
      <c r="I70" s="13">
        <v>0</v>
      </c>
    </row>
    <row r="71" spans="1:9" ht="15.75" customHeight="1">
      <c r="A71" s="29">
        <v>9</v>
      </c>
      <c r="B71" s="14" t="s">
        <v>69</v>
      </c>
      <c r="C71" s="16" t="s">
        <v>71</v>
      </c>
      <c r="D71" s="14" t="s">
        <v>229</v>
      </c>
      <c r="E71" s="18">
        <v>20</v>
      </c>
      <c r="F71" s="13">
        <v>2</v>
      </c>
      <c r="G71" s="126">
        <v>747.85</v>
      </c>
      <c r="H71" s="77">
        <f t="shared" si="5"/>
        <v>1.4957</v>
      </c>
      <c r="I71" s="13">
        <f>G71*0.9</f>
        <v>673.06500000000005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/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80" t="s">
        <v>72</v>
      </c>
      <c r="C75" s="16"/>
      <c r="D75" s="14"/>
      <c r="E75" s="18"/>
      <c r="F75" s="13"/>
      <c r="G75" s="13" t="s">
        <v>128</v>
      </c>
      <c r="H75" s="77" t="s">
        <v>128</v>
      </c>
      <c r="I75" s="13"/>
    </row>
    <row r="76" spans="1:9" ht="15.75" hidden="1" customHeight="1">
      <c r="A76" s="29"/>
      <c r="B76" s="43" t="s">
        <v>118</v>
      </c>
      <c r="C76" s="16" t="s">
        <v>73</v>
      </c>
      <c r="D76" s="14"/>
      <c r="E76" s="18"/>
      <c r="F76" s="13">
        <v>1</v>
      </c>
      <c r="G76" s="13">
        <v>3138.63</v>
      </c>
      <c r="H76" s="77">
        <f t="shared" si="5"/>
        <v>3.13863</v>
      </c>
      <c r="I76" s="13">
        <v>0</v>
      </c>
    </row>
    <row r="77" spans="1:9" ht="15.75" hidden="1" customHeight="1">
      <c r="A77" s="29"/>
      <c r="B77" s="54" t="s">
        <v>116</v>
      </c>
      <c r="C77" s="80"/>
      <c r="D77" s="31"/>
      <c r="E77" s="32"/>
      <c r="F77" s="67"/>
      <c r="G77" s="67"/>
      <c r="H77" s="81">
        <f>SUM(H54:H76)</f>
        <v>72.003556879999991</v>
      </c>
      <c r="I77" s="67"/>
    </row>
    <row r="78" spans="1:9" ht="15.75" hidden="1" customHeight="1">
      <c r="A78" s="44"/>
      <c r="B78" s="61" t="s">
        <v>117</v>
      </c>
      <c r="C78" s="16"/>
      <c r="D78" s="14"/>
      <c r="E78" s="57"/>
      <c r="F78" s="13">
        <v>1</v>
      </c>
      <c r="G78" s="13">
        <v>19285</v>
      </c>
      <c r="H78" s="77">
        <f>G78*F78/1000</f>
        <v>19.285</v>
      </c>
      <c r="I78" s="13">
        <v>0</v>
      </c>
    </row>
    <row r="79" spans="1:9" ht="15.75" customHeight="1">
      <c r="A79" s="148" t="s">
        <v>142</v>
      </c>
      <c r="B79" s="149"/>
      <c r="C79" s="149"/>
      <c r="D79" s="149"/>
      <c r="E79" s="149"/>
      <c r="F79" s="149"/>
      <c r="G79" s="149"/>
      <c r="H79" s="149"/>
      <c r="I79" s="150"/>
    </row>
    <row r="80" spans="1:9" ht="15.75" customHeight="1">
      <c r="A80" s="29">
        <v>10</v>
      </c>
      <c r="B80" s="105" t="s">
        <v>119</v>
      </c>
      <c r="C80" s="110" t="s">
        <v>52</v>
      </c>
      <c r="D80" s="124"/>
      <c r="E80" s="34">
        <v>2177.1</v>
      </c>
      <c r="F80" s="34">
        <f>SUM(E80*12)</f>
        <v>26125.199999999997</v>
      </c>
      <c r="G80" s="34">
        <v>3.5</v>
      </c>
      <c r="H80" s="77">
        <f>SUM(F80*G80/1000)</f>
        <v>91.438199999999981</v>
      </c>
      <c r="I80" s="13">
        <f>F80/12*G80</f>
        <v>7619.8499999999995</v>
      </c>
    </row>
    <row r="81" spans="1:9" ht="31.5" customHeight="1">
      <c r="A81" s="29">
        <v>11</v>
      </c>
      <c r="B81" s="35" t="s">
        <v>191</v>
      </c>
      <c r="C81" s="110" t="s">
        <v>52</v>
      </c>
      <c r="D81" s="47"/>
      <c r="E81" s="99">
        <f>E80</f>
        <v>2177.1</v>
      </c>
      <c r="F81" s="34">
        <f>E81*12</f>
        <v>26125.199999999997</v>
      </c>
      <c r="G81" s="34">
        <v>3.24</v>
      </c>
      <c r="H81" s="77">
        <f>F81*G81/1000</f>
        <v>84.645647999999994</v>
      </c>
      <c r="I81" s="13">
        <f>F81/12*G81</f>
        <v>7053.8040000000001</v>
      </c>
    </row>
    <row r="82" spans="1:9" ht="15.75" customHeight="1">
      <c r="A82" s="29"/>
      <c r="B82" s="36" t="s">
        <v>75</v>
      </c>
      <c r="C82" s="80"/>
      <c r="D82" s="79"/>
      <c r="E82" s="67"/>
      <c r="F82" s="67"/>
      <c r="G82" s="67"/>
      <c r="H82" s="81">
        <f>H81</f>
        <v>84.645647999999994</v>
      </c>
      <c r="I82" s="67">
        <f>I81+I80+I74+I71+I68+I57+I31+I29+I28+I18+I17+I16</f>
        <v>41070.809299333327</v>
      </c>
    </row>
    <row r="83" spans="1:9" ht="15.75" customHeight="1">
      <c r="A83" s="151" t="s">
        <v>57</v>
      </c>
      <c r="B83" s="152"/>
      <c r="C83" s="152"/>
      <c r="D83" s="152"/>
      <c r="E83" s="152"/>
      <c r="F83" s="152"/>
      <c r="G83" s="152"/>
      <c r="H83" s="152"/>
      <c r="I83" s="153"/>
    </row>
    <row r="84" spans="1:9" ht="17.25" customHeight="1">
      <c r="A84" s="29">
        <v>12</v>
      </c>
      <c r="B84" s="103" t="s">
        <v>273</v>
      </c>
      <c r="C84" s="104" t="s">
        <v>274</v>
      </c>
      <c r="D84" s="47"/>
      <c r="E84" s="34"/>
      <c r="F84" s="34">
        <v>1</v>
      </c>
      <c r="G84" s="34">
        <v>1253.21</v>
      </c>
      <c r="H84" s="77"/>
      <c r="I84" s="82">
        <f>G84*1</f>
        <v>1253.21</v>
      </c>
    </row>
    <row r="85" spans="1:9" ht="17.25" customHeight="1">
      <c r="A85" s="29">
        <v>13</v>
      </c>
      <c r="B85" s="95" t="s">
        <v>153</v>
      </c>
      <c r="C85" s="48" t="s">
        <v>149</v>
      </c>
      <c r="D85" s="47" t="s">
        <v>278</v>
      </c>
      <c r="E85" s="34"/>
      <c r="F85" s="34">
        <v>60</v>
      </c>
      <c r="G85" s="34">
        <v>295.36</v>
      </c>
      <c r="H85" s="77"/>
      <c r="I85" s="82">
        <v>0</v>
      </c>
    </row>
    <row r="86" spans="1:9" ht="17.25" customHeight="1">
      <c r="A86" s="29">
        <v>14</v>
      </c>
      <c r="B86" s="95" t="s">
        <v>83</v>
      </c>
      <c r="C86" s="48" t="s">
        <v>109</v>
      </c>
      <c r="D86" s="47" t="s">
        <v>275</v>
      </c>
      <c r="E86" s="34"/>
      <c r="F86" s="34">
        <v>1</v>
      </c>
      <c r="G86" s="34">
        <v>186.47</v>
      </c>
      <c r="H86" s="77"/>
      <c r="I86" s="82">
        <f>G86*1</f>
        <v>186.47</v>
      </c>
    </row>
    <row r="87" spans="1:9" ht="17.25" customHeight="1">
      <c r="A87" s="29">
        <v>15</v>
      </c>
      <c r="B87" s="95" t="s">
        <v>276</v>
      </c>
      <c r="C87" s="48" t="s">
        <v>109</v>
      </c>
      <c r="D87" s="47" t="s">
        <v>277</v>
      </c>
      <c r="E87" s="34"/>
      <c r="F87" s="34">
        <v>1</v>
      </c>
      <c r="G87" s="34">
        <v>101.85</v>
      </c>
      <c r="H87" s="77"/>
      <c r="I87" s="82">
        <v>0</v>
      </c>
    </row>
    <row r="88" spans="1:9" ht="15.75" customHeight="1">
      <c r="A88" s="29"/>
      <c r="B88" s="41" t="s">
        <v>49</v>
      </c>
      <c r="C88" s="37"/>
      <c r="D88" s="45"/>
      <c r="E88" s="37">
        <v>1</v>
      </c>
      <c r="F88" s="37"/>
      <c r="G88" s="37"/>
      <c r="H88" s="37"/>
      <c r="I88" s="32">
        <f>SUM(I84:I86)</f>
        <v>1439.68</v>
      </c>
    </row>
    <row r="89" spans="1:9" ht="15.75" customHeight="1">
      <c r="A89" s="29"/>
      <c r="B89" s="43" t="s">
        <v>74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147</v>
      </c>
      <c r="C90" s="33"/>
      <c r="D90" s="33"/>
      <c r="E90" s="33"/>
      <c r="F90" s="33"/>
      <c r="G90" s="33"/>
      <c r="H90" s="33"/>
      <c r="I90" s="40">
        <f>I82+I88</f>
        <v>42510.489299333327</v>
      </c>
    </row>
    <row r="91" spans="1:9" ht="15.75">
      <c r="A91" s="147" t="s">
        <v>279</v>
      </c>
      <c r="B91" s="147"/>
      <c r="C91" s="147"/>
      <c r="D91" s="147"/>
      <c r="E91" s="147"/>
      <c r="F91" s="147"/>
      <c r="G91" s="147"/>
      <c r="H91" s="147"/>
      <c r="I91" s="147"/>
    </row>
    <row r="92" spans="1:9" ht="15.75">
      <c r="A92" s="55"/>
      <c r="B92" s="159" t="s">
        <v>280</v>
      </c>
      <c r="C92" s="159"/>
      <c r="D92" s="159"/>
      <c r="E92" s="159"/>
      <c r="F92" s="159"/>
      <c r="G92" s="159"/>
      <c r="H92" s="60"/>
      <c r="I92" s="3"/>
    </row>
    <row r="93" spans="1:9">
      <c r="A93" s="52"/>
      <c r="B93" s="156" t="s">
        <v>6</v>
      </c>
      <c r="C93" s="156"/>
      <c r="D93" s="156"/>
      <c r="E93" s="156"/>
      <c r="F93" s="156"/>
      <c r="G93" s="156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60" t="s">
        <v>7</v>
      </c>
      <c r="B95" s="160"/>
      <c r="C95" s="160"/>
      <c r="D95" s="160"/>
      <c r="E95" s="160"/>
      <c r="F95" s="160"/>
      <c r="G95" s="160"/>
      <c r="H95" s="160"/>
      <c r="I95" s="160"/>
    </row>
    <row r="96" spans="1:9" ht="15.75">
      <c r="A96" s="160" t="s">
        <v>8</v>
      </c>
      <c r="B96" s="160"/>
      <c r="C96" s="160"/>
      <c r="D96" s="160"/>
      <c r="E96" s="160"/>
      <c r="F96" s="160"/>
      <c r="G96" s="160"/>
      <c r="H96" s="160"/>
      <c r="I96" s="160"/>
    </row>
    <row r="97" spans="1:9" ht="15.75">
      <c r="A97" s="143" t="s">
        <v>58</v>
      </c>
      <c r="B97" s="143"/>
      <c r="C97" s="143"/>
      <c r="D97" s="143"/>
      <c r="E97" s="143"/>
      <c r="F97" s="143"/>
      <c r="G97" s="143"/>
      <c r="H97" s="143"/>
      <c r="I97" s="143"/>
    </row>
    <row r="98" spans="1:9" ht="15.75">
      <c r="A98" s="11"/>
    </row>
    <row r="99" spans="1:9" ht="15.75">
      <c r="A99" s="144" t="s">
        <v>9</v>
      </c>
      <c r="B99" s="144"/>
      <c r="C99" s="144"/>
      <c r="D99" s="144"/>
      <c r="E99" s="144"/>
      <c r="F99" s="144"/>
      <c r="G99" s="144"/>
      <c r="H99" s="144"/>
      <c r="I99" s="144"/>
    </row>
    <row r="100" spans="1:9" ht="15.75">
      <c r="A100" s="4"/>
    </row>
    <row r="101" spans="1:9" ht="15.75">
      <c r="B101" s="50" t="s">
        <v>10</v>
      </c>
      <c r="C101" s="155" t="s">
        <v>183</v>
      </c>
      <c r="D101" s="155"/>
      <c r="E101" s="155"/>
      <c r="F101" s="58"/>
      <c r="I101" s="51"/>
    </row>
    <row r="102" spans="1:9">
      <c r="A102" s="52"/>
      <c r="C102" s="156" t="s">
        <v>11</v>
      </c>
      <c r="D102" s="156"/>
      <c r="E102" s="156"/>
      <c r="F102" s="24"/>
      <c r="I102" s="49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50" t="s">
        <v>13</v>
      </c>
      <c r="C104" s="157"/>
      <c r="D104" s="157"/>
      <c r="E104" s="157"/>
      <c r="F104" s="59"/>
      <c r="I104" s="51"/>
    </row>
    <row r="105" spans="1:9">
      <c r="A105" s="52"/>
      <c r="C105" s="146" t="s">
        <v>11</v>
      </c>
      <c r="D105" s="146"/>
      <c r="E105" s="146"/>
      <c r="F105" s="52"/>
      <c r="I105" s="49" t="s">
        <v>12</v>
      </c>
    </row>
    <row r="106" spans="1:9" ht="15.75">
      <c r="A106" s="4" t="s">
        <v>14</v>
      </c>
    </row>
    <row r="107" spans="1:9">
      <c r="A107" s="158" t="s">
        <v>15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45" customHeight="1">
      <c r="A108" s="154" t="s">
        <v>16</v>
      </c>
      <c r="B108" s="154"/>
      <c r="C108" s="154"/>
      <c r="D108" s="154"/>
      <c r="E108" s="154"/>
      <c r="F108" s="154"/>
      <c r="G108" s="154"/>
      <c r="H108" s="154"/>
      <c r="I108" s="154"/>
    </row>
    <row r="109" spans="1:9" ht="30" customHeight="1">
      <c r="A109" s="154" t="s">
        <v>17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30" customHeight="1">
      <c r="A110" s="154" t="s">
        <v>21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15" customHeight="1">
      <c r="A111" s="154" t="s">
        <v>20</v>
      </c>
      <c r="B111" s="154"/>
      <c r="C111" s="154"/>
      <c r="D111" s="154"/>
      <c r="E111" s="154"/>
      <c r="F111" s="154"/>
      <c r="G111" s="154"/>
      <c r="H111" s="154"/>
      <c r="I111" s="154"/>
    </row>
  </sheetData>
  <autoFilter ref="I12:I56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6:I26"/>
    <mergeCell ref="A42:I42"/>
    <mergeCell ref="A52:I52"/>
    <mergeCell ref="A91:I91"/>
    <mergeCell ref="B92:G92"/>
    <mergeCell ref="B93:G93"/>
    <mergeCell ref="A95:I95"/>
    <mergeCell ref="A96:I96"/>
    <mergeCell ref="A83:I83"/>
    <mergeCell ref="R61:U61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topLeftCell="A66" workbookViewId="0">
      <selection activeCell="B80" sqref="B80:I8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145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281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44469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290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hidden="1" customHeight="1">
      <c r="A19" s="29">
        <v>4</v>
      </c>
      <c r="B19" s="105" t="s">
        <v>86</v>
      </c>
      <c r="C19" s="106" t="s">
        <v>87</v>
      </c>
      <c r="D19" s="105" t="s">
        <v>88</v>
      </c>
      <c r="E19" s="115">
        <v>14.4</v>
      </c>
      <c r="F19" s="108">
        <f>SUM(E19/10)</f>
        <v>1.44</v>
      </c>
      <c r="G19" s="108">
        <v>253.7</v>
      </c>
      <c r="H19" s="65">
        <f t="shared" ref="H19" si="1">SUM(F19*G19/1000)</f>
        <v>0.36532799999999999</v>
      </c>
      <c r="I19" s="13">
        <f>G19*F19</f>
        <v>365.32799999999997</v>
      </c>
      <c r="J19" s="22"/>
      <c r="K19" s="8"/>
      <c r="L19" s="8"/>
      <c r="M19" s="8"/>
    </row>
    <row r="20" spans="1:13" ht="15.75" customHeight="1">
      <c r="A20" s="29">
        <v>4</v>
      </c>
      <c r="B20" s="105" t="s">
        <v>89</v>
      </c>
      <c r="C20" s="106" t="s">
        <v>85</v>
      </c>
      <c r="D20" s="105" t="s">
        <v>166</v>
      </c>
      <c r="E20" s="115">
        <v>14.64</v>
      </c>
      <c r="F20" s="108">
        <f>SUM(E20*2/100)</f>
        <v>0.2928</v>
      </c>
      <c r="G20" s="108">
        <v>324.83999999999997</v>
      </c>
      <c r="H20" s="65">
        <f t="shared" ref="H20:H21" si="2">SUM(F20*G20/1000)</f>
        <v>9.5113152000000006E-2</v>
      </c>
      <c r="I20" s="13">
        <f>G20*F20/2</f>
        <v>47.556576</v>
      </c>
      <c r="J20" s="22"/>
      <c r="K20" s="8"/>
      <c r="L20" s="8"/>
      <c r="M20" s="8"/>
    </row>
    <row r="21" spans="1:13" ht="15.75" customHeight="1">
      <c r="A21" s="29">
        <v>5</v>
      </c>
      <c r="B21" s="105" t="s">
        <v>90</v>
      </c>
      <c r="C21" s="106" t="s">
        <v>85</v>
      </c>
      <c r="D21" s="105" t="s">
        <v>166</v>
      </c>
      <c r="E21" s="115">
        <v>10.08</v>
      </c>
      <c r="F21" s="108">
        <f>SUM(E21*2/100)</f>
        <v>0.2016</v>
      </c>
      <c r="G21" s="108">
        <v>322.20999999999998</v>
      </c>
      <c r="H21" s="65">
        <f t="shared" si="2"/>
        <v>6.4957535999999996E-2</v>
      </c>
      <c r="I21" s="13">
        <f>G21*F21/2</f>
        <v>32.478767999999995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ref="H22:H24" si="3">SUM(F22*G22/1000)</f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3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3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6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6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0" si="4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7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4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hidden="1" customHeight="1">
      <c r="A30" s="29">
        <v>8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4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8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>SUM(F33*G33/1000)</f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5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5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5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5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5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.75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17.25" customHeight="1">
      <c r="A43" s="29">
        <v>9</v>
      </c>
      <c r="B43" s="105" t="s">
        <v>106</v>
      </c>
      <c r="C43" s="106" t="s">
        <v>95</v>
      </c>
      <c r="D43" s="105" t="s">
        <v>166</v>
      </c>
      <c r="E43" s="115">
        <v>614.29999999999995</v>
      </c>
      <c r="F43" s="108">
        <f>SUM(E43*2/1000)</f>
        <v>1.2285999999999999</v>
      </c>
      <c r="G43" s="34">
        <v>1266.5</v>
      </c>
      <c r="H43" s="65">
        <f t="shared" ref="H43:H51" si="6">SUM(F43*G43/1000)</f>
        <v>1.5560219</v>
      </c>
      <c r="I43" s="13">
        <f>F43/2*G43</f>
        <v>778.01094999999998</v>
      </c>
      <c r="J43" s="23"/>
      <c r="L43" s="19"/>
      <c r="M43" s="20"/>
      <c r="N43" s="21"/>
    </row>
    <row r="44" spans="1:14" ht="16.5" customHeight="1">
      <c r="A44" s="29">
        <v>10</v>
      </c>
      <c r="B44" s="105" t="s">
        <v>33</v>
      </c>
      <c r="C44" s="106" t="s">
        <v>95</v>
      </c>
      <c r="D44" s="105" t="s">
        <v>166</v>
      </c>
      <c r="E44" s="115">
        <v>61</v>
      </c>
      <c r="F44" s="108">
        <f>E44*2/1000</f>
        <v>0.122</v>
      </c>
      <c r="G44" s="34">
        <v>863.92</v>
      </c>
      <c r="H44" s="65">
        <f t="shared" si="6"/>
        <v>0.10539823999999999</v>
      </c>
      <c r="I44" s="13">
        <f>F44/2*G44</f>
        <v>52.699119999999994</v>
      </c>
      <c r="J44" s="23"/>
      <c r="L44" s="19"/>
      <c r="M44" s="20"/>
      <c r="N44" s="21"/>
    </row>
    <row r="45" spans="1:14" ht="18" customHeight="1">
      <c r="A45" s="29">
        <v>11</v>
      </c>
      <c r="B45" s="105" t="s">
        <v>34</v>
      </c>
      <c r="C45" s="106" t="s">
        <v>95</v>
      </c>
      <c r="D45" s="105" t="s">
        <v>166</v>
      </c>
      <c r="E45" s="115">
        <v>3135.64</v>
      </c>
      <c r="F45" s="108">
        <f>SUM(E45*2/1000)</f>
        <v>6.27128</v>
      </c>
      <c r="G45" s="34">
        <v>863.92</v>
      </c>
      <c r="H45" s="65">
        <f t="shared" si="6"/>
        <v>5.4178842176000002</v>
      </c>
      <c r="I45" s="13">
        <f>F45/2*G45</f>
        <v>2708.9421087999999</v>
      </c>
      <c r="J45" s="23"/>
      <c r="L45" s="19"/>
      <c r="M45" s="20"/>
      <c r="N45" s="21"/>
    </row>
    <row r="46" spans="1:14" ht="18" customHeight="1">
      <c r="A46" s="29">
        <v>12</v>
      </c>
      <c r="B46" s="105" t="s">
        <v>35</v>
      </c>
      <c r="C46" s="106" t="s">
        <v>95</v>
      </c>
      <c r="D46" s="105" t="s">
        <v>166</v>
      </c>
      <c r="E46" s="115">
        <v>1678.47</v>
      </c>
      <c r="F46" s="108">
        <f>SUM(E46*2/1000)</f>
        <v>3.3569400000000003</v>
      </c>
      <c r="G46" s="34">
        <v>904.65</v>
      </c>
      <c r="H46" s="65">
        <f t="shared" si="6"/>
        <v>3.0368557709999999</v>
      </c>
      <c r="I46" s="13">
        <f>F46/2*G46</f>
        <v>1518.4278855</v>
      </c>
      <c r="J46" s="23"/>
      <c r="L46" s="19"/>
      <c r="M46" s="20"/>
      <c r="N46" s="21"/>
    </row>
    <row r="47" spans="1:14" ht="30" customHeight="1">
      <c r="A47" s="29">
        <v>13</v>
      </c>
      <c r="B47" s="105" t="s">
        <v>53</v>
      </c>
      <c r="C47" s="106" t="s">
        <v>95</v>
      </c>
      <c r="D47" s="105" t="s">
        <v>166</v>
      </c>
      <c r="E47" s="115">
        <v>614.29999999999995</v>
      </c>
      <c r="F47" s="108">
        <f>SUM(E47*5/1000)</f>
        <v>3.0714999999999999</v>
      </c>
      <c r="G47" s="34">
        <v>1809.27</v>
      </c>
      <c r="H47" s="65">
        <f t="shared" si="6"/>
        <v>5.5571728050000004</v>
      </c>
      <c r="I47" s="13">
        <f>F47/5*G47</f>
        <v>1111.4345609999998</v>
      </c>
      <c r="J47" s="23"/>
      <c r="L47" s="19"/>
      <c r="M47" s="20"/>
      <c r="N47" s="21"/>
    </row>
    <row r="48" spans="1:14" ht="31.5" customHeight="1">
      <c r="A48" s="29">
        <v>14</v>
      </c>
      <c r="B48" s="105" t="s">
        <v>107</v>
      </c>
      <c r="C48" s="106" t="s">
        <v>95</v>
      </c>
      <c r="D48" s="105" t="s">
        <v>166</v>
      </c>
      <c r="E48" s="115">
        <v>614.29999999999995</v>
      </c>
      <c r="F48" s="108">
        <f>SUM(E48*2/1000)</f>
        <v>1.2285999999999999</v>
      </c>
      <c r="G48" s="34">
        <v>1809.27</v>
      </c>
      <c r="H48" s="65">
        <f t="shared" si="6"/>
        <v>2.2228691219999996</v>
      </c>
      <c r="I48" s="13">
        <f>G48*F48/2</f>
        <v>1111.4345609999998</v>
      </c>
      <c r="J48" s="23"/>
      <c r="L48" s="19"/>
      <c r="M48" s="20"/>
      <c r="N48" s="21"/>
    </row>
    <row r="49" spans="1:22" ht="31.5" customHeight="1">
      <c r="A49" s="29">
        <v>15</v>
      </c>
      <c r="B49" s="105" t="s">
        <v>108</v>
      </c>
      <c r="C49" s="106" t="s">
        <v>36</v>
      </c>
      <c r="D49" s="105" t="s">
        <v>166</v>
      </c>
      <c r="E49" s="115">
        <v>20</v>
      </c>
      <c r="F49" s="108">
        <f>SUM(E49*2/100)</f>
        <v>0.4</v>
      </c>
      <c r="G49" s="34">
        <v>4070.89</v>
      </c>
      <c r="H49" s="65">
        <f t="shared" si="6"/>
        <v>1.6283559999999999</v>
      </c>
      <c r="I49" s="13">
        <f>G49*F49/2</f>
        <v>814.178</v>
      </c>
      <c r="J49" s="23"/>
      <c r="L49" s="19"/>
      <c r="M49" s="20"/>
      <c r="N49" s="21"/>
    </row>
    <row r="50" spans="1:22" ht="15.75" customHeight="1">
      <c r="A50" s="29">
        <v>16</v>
      </c>
      <c r="B50" s="105" t="s">
        <v>37</v>
      </c>
      <c r="C50" s="106" t="s">
        <v>38</v>
      </c>
      <c r="D50" s="105" t="s">
        <v>166</v>
      </c>
      <c r="E50" s="115">
        <v>1</v>
      </c>
      <c r="F50" s="108">
        <v>0.02</v>
      </c>
      <c r="G50" s="34">
        <v>8426.7199999999993</v>
      </c>
      <c r="H50" s="65">
        <f t="shared" si="6"/>
        <v>0.16853439999999997</v>
      </c>
      <c r="I50" s="13">
        <f>G50*F50/2</f>
        <v>84.267199999999988</v>
      </c>
      <c r="J50" s="23"/>
      <c r="L50" s="19"/>
      <c r="M50" s="20"/>
      <c r="N50" s="21"/>
    </row>
    <row r="51" spans="1:22" ht="15.75" customHeight="1">
      <c r="A51" s="29">
        <v>17</v>
      </c>
      <c r="B51" s="105" t="s">
        <v>39</v>
      </c>
      <c r="C51" s="106" t="s">
        <v>109</v>
      </c>
      <c r="D51" s="130">
        <v>44440</v>
      </c>
      <c r="E51" s="115">
        <v>170</v>
      </c>
      <c r="F51" s="108">
        <f>SUM(E51)*1</f>
        <v>170</v>
      </c>
      <c r="G51" s="129">
        <v>97.93</v>
      </c>
      <c r="H51" s="65">
        <f t="shared" si="6"/>
        <v>16.648100000000003</v>
      </c>
      <c r="I51" s="13">
        <f>G51*E51/3</f>
        <v>5549.3666666666677</v>
      </c>
      <c r="J51" s="23"/>
      <c r="L51" s="19"/>
      <c r="M51" s="20"/>
      <c r="N51" s="21"/>
    </row>
    <row r="52" spans="1:22" ht="15.75" customHeight="1">
      <c r="A52" s="148" t="s">
        <v>132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5.7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31.5" hidden="1" customHeight="1">
      <c r="A54" s="29">
        <v>14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F54/6*G54</f>
        <v>1109.9689300000002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18</v>
      </c>
      <c r="B57" s="72" t="s">
        <v>82</v>
      </c>
      <c r="C57" s="71" t="s">
        <v>25</v>
      </c>
      <c r="D57" s="72" t="s">
        <v>166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>
        <v>20</v>
      </c>
      <c r="B59" s="14" t="s">
        <v>44</v>
      </c>
      <c r="C59" s="16" t="s">
        <v>109</v>
      </c>
      <c r="D59" s="14" t="s">
        <v>161</v>
      </c>
      <c r="E59" s="18">
        <v>25</v>
      </c>
      <c r="F59" s="64">
        <v>25</v>
      </c>
      <c r="G59" s="13">
        <v>252.96</v>
      </c>
      <c r="H59" s="77">
        <f t="shared" ref="H59:H76" si="7">SUM(F59*G59/1000)</f>
        <v>6.3239999999999998</v>
      </c>
      <c r="I59" s="13">
        <f>G59*2</f>
        <v>505.92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29">
        <v>19</v>
      </c>
      <c r="B60" s="14" t="s">
        <v>45</v>
      </c>
      <c r="C60" s="16" t="s">
        <v>109</v>
      </c>
      <c r="D60" s="14" t="s">
        <v>122</v>
      </c>
      <c r="E60" s="18">
        <v>2</v>
      </c>
      <c r="F60" s="64">
        <v>2</v>
      </c>
      <c r="G60" s="126">
        <v>113.69</v>
      </c>
      <c r="H60" s="77">
        <f t="shared" si="7"/>
        <v>0.22738</v>
      </c>
      <c r="I60" s="13">
        <f>G60*1</f>
        <v>113.69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46</v>
      </c>
      <c r="C61" s="16" t="s">
        <v>112</v>
      </c>
      <c r="D61" s="14" t="s">
        <v>51</v>
      </c>
      <c r="E61" s="63">
        <v>8692</v>
      </c>
      <c r="F61" s="13">
        <f>SUM(E61/100)</f>
        <v>86.92</v>
      </c>
      <c r="G61" s="13">
        <v>241.31</v>
      </c>
      <c r="H61" s="77">
        <f t="shared" si="7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hidden="1" customHeight="1">
      <c r="A62" s="29"/>
      <c r="B62" s="14" t="s">
        <v>47</v>
      </c>
      <c r="C62" s="16" t="s">
        <v>113</v>
      </c>
      <c r="D62" s="14"/>
      <c r="E62" s="63">
        <v>8692</v>
      </c>
      <c r="F62" s="13">
        <f>SUM(E62/1000)</f>
        <v>8.6920000000000002</v>
      </c>
      <c r="G62" s="13">
        <v>187.91</v>
      </c>
      <c r="H62" s="77">
        <f t="shared" si="7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48</v>
      </c>
      <c r="C63" s="16" t="s">
        <v>73</v>
      </c>
      <c r="D63" s="14" t="s">
        <v>51</v>
      </c>
      <c r="E63" s="63">
        <v>855</v>
      </c>
      <c r="F63" s="13">
        <f>SUM(E63/100)</f>
        <v>8.5500000000000007</v>
      </c>
      <c r="G63" s="13">
        <v>2359.7199999999998</v>
      </c>
      <c r="H63" s="77">
        <f t="shared" si="7"/>
        <v>20.175605999999998</v>
      </c>
      <c r="I63" s="13">
        <v>0</v>
      </c>
    </row>
    <row r="64" spans="1:22" ht="15.75" hidden="1" customHeight="1">
      <c r="A64" s="29"/>
      <c r="B64" s="78" t="s">
        <v>114</v>
      </c>
      <c r="C64" s="16" t="s">
        <v>32</v>
      </c>
      <c r="D64" s="14"/>
      <c r="E64" s="63">
        <v>8.6</v>
      </c>
      <c r="F64" s="13">
        <f>SUM(E64)</f>
        <v>8.6</v>
      </c>
      <c r="G64" s="13">
        <v>42.67</v>
      </c>
      <c r="H64" s="77">
        <f t="shared" si="7"/>
        <v>0.36696200000000001</v>
      </c>
      <c r="I64" s="13">
        <v>0</v>
      </c>
    </row>
    <row r="65" spans="1:9" ht="15.75" hidden="1" customHeight="1">
      <c r="A65" s="29"/>
      <c r="B65" s="78" t="s">
        <v>115</v>
      </c>
      <c r="C65" s="16" t="s">
        <v>32</v>
      </c>
      <c r="D65" s="14"/>
      <c r="E65" s="63">
        <v>8.6</v>
      </c>
      <c r="F65" s="13">
        <f>SUM(E65)</f>
        <v>8.6</v>
      </c>
      <c r="G65" s="13">
        <v>39.81</v>
      </c>
      <c r="H65" s="77">
        <f t="shared" si="7"/>
        <v>0.342366</v>
      </c>
      <c r="I65" s="13">
        <v>0</v>
      </c>
    </row>
    <row r="66" spans="1:9" ht="15.75" customHeight="1">
      <c r="A66" s="29">
        <v>20</v>
      </c>
      <c r="B66" s="14" t="s">
        <v>54</v>
      </c>
      <c r="C66" s="16" t="s">
        <v>55</v>
      </c>
      <c r="D66" s="14" t="s">
        <v>166</v>
      </c>
      <c r="E66" s="18">
        <v>5</v>
      </c>
      <c r="F66" s="64">
        <v>5</v>
      </c>
      <c r="G66" s="126">
        <v>74.37</v>
      </c>
      <c r="H66" s="77">
        <f t="shared" si="7"/>
        <v>0.37185000000000001</v>
      </c>
      <c r="I66" s="13">
        <f>G66*2</f>
        <v>148.74</v>
      </c>
    </row>
    <row r="67" spans="1:9" ht="15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31.5" customHeight="1">
      <c r="A68" s="29">
        <v>21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7"/>
        <v>0.45427999999999996</v>
      </c>
      <c r="I70" s="13">
        <v>0</v>
      </c>
    </row>
    <row r="71" spans="1:9" ht="15.75" customHeight="1">
      <c r="A71" s="29">
        <v>22</v>
      </c>
      <c r="B71" s="14" t="s">
        <v>69</v>
      </c>
      <c r="C71" s="16" t="s">
        <v>71</v>
      </c>
      <c r="D71" s="14" t="s">
        <v>282</v>
      </c>
      <c r="E71" s="18">
        <v>20</v>
      </c>
      <c r="F71" s="13">
        <v>2</v>
      </c>
      <c r="G71" s="126">
        <v>747.85</v>
      </c>
      <c r="H71" s="77">
        <f t="shared" si="7"/>
        <v>1.4957</v>
      </c>
      <c r="I71" s="13">
        <f>G71*1.3</f>
        <v>972.20500000000004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>
        <v>23</v>
      </c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80" t="s">
        <v>72</v>
      </c>
      <c r="C75" s="16"/>
      <c r="D75" s="14"/>
      <c r="E75" s="18"/>
      <c r="F75" s="13"/>
      <c r="G75" s="13" t="s">
        <v>128</v>
      </c>
      <c r="H75" s="77" t="s">
        <v>128</v>
      </c>
      <c r="I75" s="13"/>
    </row>
    <row r="76" spans="1:9" ht="15.75" hidden="1" customHeight="1">
      <c r="A76" s="29"/>
      <c r="B76" s="43" t="s">
        <v>118</v>
      </c>
      <c r="C76" s="16" t="s">
        <v>73</v>
      </c>
      <c r="D76" s="14"/>
      <c r="E76" s="18"/>
      <c r="F76" s="13">
        <v>1</v>
      </c>
      <c r="G76" s="13">
        <v>3138.63</v>
      </c>
      <c r="H76" s="77">
        <f t="shared" si="7"/>
        <v>3.13863</v>
      </c>
      <c r="I76" s="13">
        <v>0</v>
      </c>
    </row>
    <row r="77" spans="1:9" ht="15.75" hidden="1" customHeight="1">
      <c r="A77" s="29"/>
      <c r="B77" s="54" t="s">
        <v>116</v>
      </c>
      <c r="C77" s="80"/>
      <c r="D77" s="31"/>
      <c r="E77" s="32"/>
      <c r="F77" s="67"/>
      <c r="G77" s="67"/>
      <c r="H77" s="81">
        <f>SUM(H54:H76)</f>
        <v>72.145606879999988</v>
      </c>
      <c r="I77" s="67"/>
    </row>
    <row r="78" spans="1:9" ht="15.75" hidden="1" customHeight="1">
      <c r="A78" s="44"/>
      <c r="B78" s="61" t="s">
        <v>117</v>
      </c>
      <c r="C78" s="16"/>
      <c r="D78" s="14"/>
      <c r="E78" s="57"/>
      <c r="F78" s="13">
        <v>1</v>
      </c>
      <c r="G78" s="13">
        <v>19285</v>
      </c>
      <c r="H78" s="77">
        <f>G78*F78/1000</f>
        <v>19.285</v>
      </c>
      <c r="I78" s="13">
        <v>0</v>
      </c>
    </row>
    <row r="79" spans="1:9" ht="15.75" customHeight="1">
      <c r="A79" s="148" t="s">
        <v>133</v>
      </c>
      <c r="B79" s="149"/>
      <c r="C79" s="149"/>
      <c r="D79" s="149"/>
      <c r="E79" s="149"/>
      <c r="F79" s="149"/>
      <c r="G79" s="149"/>
      <c r="H79" s="149"/>
      <c r="I79" s="150"/>
    </row>
    <row r="80" spans="1:9" ht="15.75" customHeight="1">
      <c r="A80" s="29">
        <v>24</v>
      </c>
      <c r="B80" s="105" t="s">
        <v>119</v>
      </c>
      <c r="C80" s="110" t="s">
        <v>52</v>
      </c>
      <c r="D80" s="124"/>
      <c r="E80" s="34">
        <v>2177.1</v>
      </c>
      <c r="F80" s="34">
        <f>SUM(E80*12)</f>
        <v>26125.199999999997</v>
      </c>
      <c r="G80" s="34">
        <v>3.5</v>
      </c>
      <c r="H80" s="77">
        <f>SUM(F80*G80/1000)</f>
        <v>91.438199999999981</v>
      </c>
      <c r="I80" s="13">
        <f>F80/12*G80</f>
        <v>7619.8499999999995</v>
      </c>
    </row>
    <row r="81" spans="1:9" ht="31.5" customHeight="1">
      <c r="A81" s="29">
        <v>25</v>
      </c>
      <c r="B81" s="35" t="s">
        <v>191</v>
      </c>
      <c r="C81" s="110" t="s">
        <v>52</v>
      </c>
      <c r="D81" s="47"/>
      <c r="E81" s="99">
        <f>E80</f>
        <v>2177.1</v>
      </c>
      <c r="F81" s="34">
        <f>E81*12</f>
        <v>26125.199999999997</v>
      </c>
      <c r="G81" s="34">
        <v>3.24</v>
      </c>
      <c r="H81" s="77">
        <f>F81*G81/1000</f>
        <v>84.645647999999994</v>
      </c>
      <c r="I81" s="13">
        <f>F81/12*G81</f>
        <v>7053.8040000000001</v>
      </c>
    </row>
    <row r="82" spans="1:9" ht="15.75" customHeight="1">
      <c r="A82" s="29"/>
      <c r="B82" s="36" t="s">
        <v>75</v>
      </c>
      <c r="C82" s="80"/>
      <c r="D82" s="79"/>
      <c r="E82" s="67"/>
      <c r="F82" s="67"/>
      <c r="G82" s="67"/>
      <c r="H82" s="81">
        <f>H81</f>
        <v>84.645647999999994</v>
      </c>
      <c r="I82" s="67">
        <f>I81+I80+I71+I60+I57+I51+I50+I49+I48+I47+I46+I45+I44+I43+I31+I29+I28+I21+I20+I18+I17+I16+I66+I74+I68</f>
        <v>55441.175696299986</v>
      </c>
    </row>
    <row r="83" spans="1:9" ht="15.75" customHeight="1">
      <c r="A83" s="151" t="s">
        <v>57</v>
      </c>
      <c r="B83" s="152"/>
      <c r="C83" s="152"/>
      <c r="D83" s="152"/>
      <c r="E83" s="152"/>
      <c r="F83" s="152"/>
      <c r="G83" s="152"/>
      <c r="H83" s="152"/>
      <c r="I83" s="153"/>
    </row>
    <row r="84" spans="1:9" ht="15.75" customHeight="1">
      <c r="A84" s="29">
        <v>26</v>
      </c>
      <c r="B84" s="95" t="s">
        <v>230</v>
      </c>
      <c r="C84" s="48" t="s">
        <v>29</v>
      </c>
      <c r="D84" s="47"/>
      <c r="E84" s="34"/>
      <c r="F84" s="34">
        <f>0.72+0.72+0.72+0.72+0.72</f>
        <v>3.5999999999999996</v>
      </c>
      <c r="G84" s="34">
        <v>241.69</v>
      </c>
      <c r="H84" s="87"/>
      <c r="I84" s="82">
        <f>G84*0.72</f>
        <v>174.01679999999999</v>
      </c>
    </row>
    <row r="85" spans="1:9" ht="18.75" customHeight="1">
      <c r="A85" s="29">
        <v>27</v>
      </c>
      <c r="B85" s="95" t="s">
        <v>193</v>
      </c>
      <c r="C85" s="48" t="s">
        <v>171</v>
      </c>
      <c r="D85" s="47" t="s">
        <v>286</v>
      </c>
      <c r="E85" s="34"/>
      <c r="F85" s="34">
        <v>1</v>
      </c>
      <c r="G85" s="34">
        <v>784.27</v>
      </c>
      <c r="H85" s="87"/>
      <c r="I85" s="82">
        <f>G85*1</f>
        <v>784.27</v>
      </c>
    </row>
    <row r="86" spans="1:9" ht="15.75" customHeight="1">
      <c r="A86" s="29">
        <v>28</v>
      </c>
      <c r="B86" s="95" t="s">
        <v>83</v>
      </c>
      <c r="C86" s="48" t="s">
        <v>109</v>
      </c>
      <c r="D86" s="47" t="s">
        <v>285</v>
      </c>
      <c r="E86" s="34"/>
      <c r="F86" s="34">
        <v>3</v>
      </c>
      <c r="G86" s="34">
        <v>186.47</v>
      </c>
      <c r="H86" s="87"/>
      <c r="I86" s="82">
        <f>G86*2</f>
        <v>372.94</v>
      </c>
    </row>
    <row r="87" spans="1:9" ht="15.75" customHeight="1">
      <c r="A87" s="29">
        <v>29</v>
      </c>
      <c r="B87" s="95" t="s">
        <v>287</v>
      </c>
      <c r="C87" s="48" t="s">
        <v>29</v>
      </c>
      <c r="D87" s="47" t="s">
        <v>288</v>
      </c>
      <c r="E87" s="34"/>
      <c r="F87" s="34">
        <v>0.3</v>
      </c>
      <c r="G87" s="34">
        <v>1352.12</v>
      </c>
      <c r="H87" s="87"/>
      <c r="I87" s="82">
        <v>0</v>
      </c>
    </row>
    <row r="88" spans="1:9" ht="15.75" customHeight="1">
      <c r="A88" s="29"/>
      <c r="B88" s="41" t="s">
        <v>49</v>
      </c>
      <c r="C88" s="37"/>
      <c r="D88" s="45"/>
      <c r="E88" s="37">
        <v>1</v>
      </c>
      <c r="F88" s="37"/>
      <c r="G88" s="37"/>
      <c r="H88" s="37"/>
      <c r="I88" s="32">
        <f>SUM(I84:I86)</f>
        <v>1331.2267999999999</v>
      </c>
    </row>
    <row r="89" spans="1:9" ht="15.75" customHeight="1">
      <c r="A89" s="29"/>
      <c r="B89" s="43" t="s">
        <v>74</v>
      </c>
      <c r="C89" s="15"/>
      <c r="D89" s="15"/>
      <c r="E89" s="38"/>
      <c r="F89" s="38"/>
      <c r="G89" s="39"/>
      <c r="H89" s="39"/>
      <c r="I89" s="17">
        <v>0</v>
      </c>
    </row>
    <row r="90" spans="1:9" ht="15.75" customHeight="1">
      <c r="A90" s="46"/>
      <c r="B90" s="42" t="s">
        <v>147</v>
      </c>
      <c r="C90" s="33"/>
      <c r="D90" s="33"/>
      <c r="E90" s="33"/>
      <c r="F90" s="33"/>
      <c r="G90" s="33"/>
      <c r="H90" s="33"/>
      <c r="I90" s="40">
        <f>I82+I88</f>
        <v>56772.402496299983</v>
      </c>
    </row>
    <row r="91" spans="1:9" ht="15.75">
      <c r="A91" s="147" t="s">
        <v>283</v>
      </c>
      <c r="B91" s="147"/>
      <c r="C91" s="147"/>
      <c r="D91" s="147"/>
      <c r="E91" s="147"/>
      <c r="F91" s="147"/>
      <c r="G91" s="147"/>
      <c r="H91" s="147"/>
      <c r="I91" s="147"/>
    </row>
    <row r="92" spans="1:9" ht="15.75">
      <c r="A92" s="55"/>
      <c r="B92" s="159" t="s">
        <v>284</v>
      </c>
      <c r="C92" s="159"/>
      <c r="D92" s="159"/>
      <c r="E92" s="159"/>
      <c r="F92" s="159"/>
      <c r="G92" s="159"/>
      <c r="H92" s="60"/>
      <c r="I92" s="3"/>
    </row>
    <row r="93" spans="1:9">
      <c r="A93" s="52"/>
      <c r="B93" s="156" t="s">
        <v>6</v>
      </c>
      <c r="C93" s="156"/>
      <c r="D93" s="156"/>
      <c r="E93" s="156"/>
      <c r="F93" s="156"/>
      <c r="G93" s="156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60" t="s">
        <v>7</v>
      </c>
      <c r="B95" s="160"/>
      <c r="C95" s="160"/>
      <c r="D95" s="160"/>
      <c r="E95" s="160"/>
      <c r="F95" s="160"/>
      <c r="G95" s="160"/>
      <c r="H95" s="160"/>
      <c r="I95" s="160"/>
    </row>
    <row r="96" spans="1:9" ht="15.75">
      <c r="A96" s="160" t="s">
        <v>8</v>
      </c>
      <c r="B96" s="160"/>
      <c r="C96" s="160"/>
      <c r="D96" s="160"/>
      <c r="E96" s="160"/>
      <c r="F96" s="160"/>
      <c r="G96" s="160"/>
      <c r="H96" s="160"/>
      <c r="I96" s="160"/>
    </row>
    <row r="97" spans="1:9" ht="15.75">
      <c r="A97" s="143" t="s">
        <v>58</v>
      </c>
      <c r="B97" s="143"/>
      <c r="C97" s="143"/>
      <c r="D97" s="143"/>
      <c r="E97" s="143"/>
      <c r="F97" s="143"/>
      <c r="G97" s="143"/>
      <c r="H97" s="143"/>
      <c r="I97" s="143"/>
    </row>
    <row r="98" spans="1:9" ht="15.75">
      <c r="A98" s="11"/>
    </row>
    <row r="99" spans="1:9" ht="15.75">
      <c r="A99" s="144" t="s">
        <v>9</v>
      </c>
      <c r="B99" s="144"/>
      <c r="C99" s="144"/>
      <c r="D99" s="144"/>
      <c r="E99" s="144"/>
      <c r="F99" s="144"/>
      <c r="G99" s="144"/>
      <c r="H99" s="144"/>
      <c r="I99" s="144"/>
    </row>
    <row r="100" spans="1:9" ht="15.75">
      <c r="A100" s="4"/>
    </row>
    <row r="101" spans="1:9" ht="15.75">
      <c r="B101" s="50" t="s">
        <v>10</v>
      </c>
      <c r="C101" s="155" t="s">
        <v>183</v>
      </c>
      <c r="D101" s="155"/>
      <c r="E101" s="155"/>
      <c r="F101" s="58"/>
      <c r="I101" s="51"/>
    </row>
    <row r="102" spans="1:9">
      <c r="A102" s="52"/>
      <c r="C102" s="156" t="s">
        <v>11</v>
      </c>
      <c r="D102" s="156"/>
      <c r="E102" s="156"/>
      <c r="F102" s="24"/>
      <c r="I102" s="49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50" t="s">
        <v>13</v>
      </c>
      <c r="C104" s="157"/>
      <c r="D104" s="157"/>
      <c r="E104" s="157"/>
      <c r="F104" s="59"/>
      <c r="I104" s="51"/>
    </row>
    <row r="105" spans="1:9">
      <c r="A105" s="52"/>
      <c r="C105" s="146" t="s">
        <v>11</v>
      </c>
      <c r="D105" s="146"/>
      <c r="E105" s="146"/>
      <c r="F105" s="52"/>
      <c r="I105" s="49" t="s">
        <v>12</v>
      </c>
    </row>
    <row r="106" spans="1:9" ht="15.75">
      <c r="A106" s="4" t="s">
        <v>14</v>
      </c>
    </row>
    <row r="107" spans="1:9">
      <c r="A107" s="158" t="s">
        <v>15</v>
      </c>
      <c r="B107" s="158"/>
      <c r="C107" s="158"/>
      <c r="D107" s="158"/>
      <c r="E107" s="158"/>
      <c r="F107" s="158"/>
      <c r="G107" s="158"/>
      <c r="H107" s="158"/>
      <c r="I107" s="158"/>
    </row>
    <row r="108" spans="1:9" ht="45" customHeight="1">
      <c r="A108" s="154" t="s">
        <v>16</v>
      </c>
      <c r="B108" s="154"/>
      <c r="C108" s="154"/>
      <c r="D108" s="154"/>
      <c r="E108" s="154"/>
      <c r="F108" s="154"/>
      <c r="G108" s="154"/>
      <c r="H108" s="154"/>
      <c r="I108" s="154"/>
    </row>
    <row r="109" spans="1:9" ht="30" customHeight="1">
      <c r="A109" s="154" t="s">
        <v>17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30" customHeight="1">
      <c r="A110" s="154" t="s">
        <v>21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15" customHeight="1">
      <c r="A111" s="154" t="s">
        <v>20</v>
      </c>
      <c r="B111" s="154"/>
      <c r="C111" s="154"/>
      <c r="D111" s="154"/>
      <c r="E111" s="154"/>
      <c r="F111" s="154"/>
      <c r="G111" s="154"/>
      <c r="H111" s="154"/>
      <c r="I111" s="154"/>
    </row>
  </sheetData>
  <autoFilter ref="I12:I56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6:I26"/>
    <mergeCell ref="A42:I42"/>
    <mergeCell ref="A52:I52"/>
    <mergeCell ref="A91:I91"/>
    <mergeCell ref="B92:G92"/>
    <mergeCell ref="B93:G93"/>
    <mergeCell ref="A95:I95"/>
    <mergeCell ref="A96:I96"/>
    <mergeCell ref="A83:I83"/>
    <mergeCell ref="R61:U61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67"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71093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146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289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53"/>
      <c r="C6" s="53"/>
      <c r="D6" s="53"/>
      <c r="E6" s="53"/>
      <c r="F6" s="53"/>
      <c r="G6" s="53"/>
      <c r="H6" s="53"/>
      <c r="I6" s="30">
        <v>44500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18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161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G18*F18/18*2</f>
        <v>6782.9788799999997</v>
      </c>
      <c r="J18" s="22"/>
      <c r="K18" s="8"/>
      <c r="L18" s="8"/>
      <c r="M18" s="8"/>
    </row>
    <row r="19" spans="1:13" ht="15.75" hidden="1" customHeight="1">
      <c r="A19" s="29">
        <v>4</v>
      </c>
      <c r="B19" s="105" t="s">
        <v>86</v>
      </c>
      <c r="C19" s="106" t="s">
        <v>87</v>
      </c>
      <c r="D19" s="105" t="s">
        <v>88</v>
      </c>
      <c r="E19" s="115">
        <v>14.4</v>
      </c>
      <c r="F19" s="108">
        <f>SUM(E19/10)</f>
        <v>1.44</v>
      </c>
      <c r="G19" s="108">
        <v>253.7</v>
      </c>
      <c r="H19" s="65">
        <f t="shared" ref="H19" si="1">SUM(F19*G19/1000)</f>
        <v>0.36532799999999999</v>
      </c>
      <c r="I19" s="13">
        <f>G19*F19</f>
        <v>365.32799999999997</v>
      </c>
      <c r="J19" s="22"/>
      <c r="K19" s="8"/>
      <c r="L19" s="8"/>
      <c r="M19" s="8"/>
    </row>
    <row r="20" spans="1:13" ht="15.75" hidden="1" customHeight="1">
      <c r="A20" s="29">
        <v>5</v>
      </c>
      <c r="B20" s="105" t="s">
        <v>89</v>
      </c>
      <c r="C20" s="106" t="s">
        <v>85</v>
      </c>
      <c r="D20" s="105" t="s">
        <v>166</v>
      </c>
      <c r="E20" s="115">
        <v>14.64</v>
      </c>
      <c r="F20" s="108">
        <f>SUM(E20*2/100)</f>
        <v>0.2928</v>
      </c>
      <c r="G20" s="108">
        <v>324.83999999999997</v>
      </c>
      <c r="H20" s="65">
        <f t="shared" ref="H20:H21" si="2">SUM(F20*G20/1000)</f>
        <v>9.5113152000000006E-2</v>
      </c>
      <c r="I20" s="13">
        <f>G20*F20/2</f>
        <v>47.556576</v>
      </c>
      <c r="J20" s="22"/>
      <c r="K20" s="8"/>
      <c r="L20" s="8"/>
      <c r="M20" s="8"/>
    </row>
    <row r="21" spans="1:13" ht="15.75" hidden="1" customHeight="1">
      <c r="A21" s="29">
        <v>6</v>
      </c>
      <c r="B21" s="105" t="s">
        <v>90</v>
      </c>
      <c r="C21" s="106" t="s">
        <v>85</v>
      </c>
      <c r="D21" s="105" t="s">
        <v>166</v>
      </c>
      <c r="E21" s="115">
        <v>10.08</v>
      </c>
      <c r="F21" s="108">
        <f>SUM(E21*2/100)</f>
        <v>0.2016</v>
      </c>
      <c r="G21" s="108">
        <v>322.20999999999998</v>
      </c>
      <c r="H21" s="65">
        <f t="shared" si="2"/>
        <v>6.4957535999999996E-2</v>
      </c>
      <c r="I21" s="13">
        <f>G21*F21/2</f>
        <v>32.478767999999995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ref="H22:H24" si="3">SUM(F22*G22/1000)</f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3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3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10.39</v>
      </c>
      <c r="H25" s="65">
        <f>SUM(F25*G25/1000)</f>
        <v>7.2644802000000004</v>
      </c>
      <c r="I25" s="13">
        <f>F25/12*G25</f>
        <v>605.37334999999996</v>
      </c>
      <c r="J25" s="22"/>
      <c r="K25" s="8"/>
      <c r="L25" s="8"/>
      <c r="M25" s="8"/>
    </row>
    <row r="26" spans="1:13" ht="15.75" customHeight="1">
      <c r="A26" s="148" t="s">
        <v>78</v>
      </c>
      <c r="B26" s="149"/>
      <c r="C26" s="149"/>
      <c r="D26" s="149"/>
      <c r="E26" s="149"/>
      <c r="F26" s="149"/>
      <c r="G26" s="149"/>
      <c r="H26" s="149"/>
      <c r="I26" s="150"/>
      <c r="J26" s="22"/>
      <c r="K26" s="8"/>
      <c r="L26" s="8"/>
      <c r="M26" s="8"/>
    </row>
    <row r="27" spans="1:13" ht="15.75" customHeight="1">
      <c r="A27" s="29"/>
      <c r="B27" s="83" t="s">
        <v>28</v>
      </c>
      <c r="C27" s="62"/>
      <c r="D27" s="61"/>
      <c r="E27" s="63"/>
      <c r="F27" s="64"/>
      <c r="G27" s="64"/>
      <c r="H27" s="65"/>
      <c r="I27" s="13"/>
      <c r="J27" s="22"/>
      <c r="K27" s="8"/>
      <c r="L27" s="8"/>
      <c r="M27" s="8"/>
    </row>
    <row r="28" spans="1:13" ht="15.75" customHeight="1">
      <c r="A28" s="29">
        <v>4</v>
      </c>
      <c r="B28" s="105" t="s">
        <v>94</v>
      </c>
      <c r="C28" s="106" t="s">
        <v>124</v>
      </c>
      <c r="D28" s="105" t="s">
        <v>165</v>
      </c>
      <c r="E28" s="108">
        <v>242.73</v>
      </c>
      <c r="F28" s="108">
        <f>SUM(E28*24/1000)</f>
        <v>5.8255199999999991</v>
      </c>
      <c r="G28" s="108">
        <v>232.4</v>
      </c>
      <c r="H28" s="65">
        <f t="shared" ref="H28:H30" si="4">SUM(F28*G28/1000)</f>
        <v>1.3538508479999998</v>
      </c>
      <c r="I28" s="13">
        <f>F28/6*G28</f>
        <v>225.64180799999997</v>
      </c>
      <c r="J28" s="22"/>
      <c r="K28" s="8"/>
      <c r="L28" s="8"/>
      <c r="M28" s="8"/>
    </row>
    <row r="29" spans="1:13" ht="31.5" customHeight="1">
      <c r="A29" s="29">
        <v>5</v>
      </c>
      <c r="B29" s="105" t="s">
        <v>134</v>
      </c>
      <c r="C29" s="106" t="s">
        <v>95</v>
      </c>
      <c r="D29" s="105" t="s">
        <v>228</v>
      </c>
      <c r="E29" s="108">
        <v>53.69</v>
      </c>
      <c r="F29" s="108">
        <f>SUM(E29*72/1000)</f>
        <v>3.8656799999999998</v>
      </c>
      <c r="G29" s="108">
        <v>385.6</v>
      </c>
      <c r="H29" s="65">
        <f t="shared" si="4"/>
        <v>1.490606208</v>
      </c>
      <c r="I29" s="13">
        <f>F29/6*G29</f>
        <v>248.43436800000001</v>
      </c>
      <c r="J29" s="22"/>
      <c r="K29" s="8"/>
      <c r="L29" s="8"/>
      <c r="M29" s="8"/>
    </row>
    <row r="30" spans="1:13" ht="15.75" hidden="1" customHeight="1">
      <c r="A30" s="29">
        <v>8</v>
      </c>
      <c r="B30" s="105" t="s">
        <v>27</v>
      </c>
      <c r="C30" s="106" t="s">
        <v>95</v>
      </c>
      <c r="D30" s="105" t="s">
        <v>167</v>
      </c>
      <c r="E30" s="108">
        <v>242.73</v>
      </c>
      <c r="F30" s="108">
        <f>SUM(E30/1000)</f>
        <v>0.24273</v>
      </c>
      <c r="G30" s="108">
        <v>4502.97</v>
      </c>
      <c r="H30" s="65">
        <f t="shared" si="4"/>
        <v>1.0930059081000001</v>
      </c>
      <c r="I30" s="13">
        <f>F30*G30</f>
        <v>1093.0059081000002</v>
      </c>
      <c r="J30" s="22"/>
      <c r="K30" s="8"/>
      <c r="L30" s="8"/>
      <c r="M30" s="8"/>
    </row>
    <row r="31" spans="1:13" ht="15.75" customHeight="1">
      <c r="A31" s="29">
        <v>6</v>
      </c>
      <c r="B31" s="105" t="s">
        <v>98</v>
      </c>
      <c r="C31" s="106" t="s">
        <v>38</v>
      </c>
      <c r="D31" s="105" t="s">
        <v>164</v>
      </c>
      <c r="E31" s="108">
        <v>2</v>
      </c>
      <c r="F31" s="108">
        <v>3.1</v>
      </c>
      <c r="G31" s="108">
        <v>1941.17</v>
      </c>
      <c r="H31" s="65">
        <f>G31*F31/1000</f>
        <v>6.0176270000000001</v>
      </c>
      <c r="I31" s="13">
        <f>F31/6*G31</f>
        <v>1002.9378333333335</v>
      </c>
      <c r="J31" s="22"/>
      <c r="K31" s="8"/>
      <c r="L31" s="8"/>
      <c r="M31" s="8"/>
    </row>
    <row r="32" spans="1:13" ht="15.75" hidden="1" customHeight="1">
      <c r="A32" s="29"/>
      <c r="B32" s="61" t="s">
        <v>61</v>
      </c>
      <c r="C32" s="62" t="s">
        <v>32</v>
      </c>
      <c r="D32" s="61" t="s">
        <v>127</v>
      </c>
      <c r="E32" s="63"/>
      <c r="F32" s="64">
        <v>2</v>
      </c>
      <c r="G32" s="64">
        <v>217.61</v>
      </c>
      <c r="H32" s="65">
        <f>SUM(F32*G32/1000)</f>
        <v>0.43522000000000005</v>
      </c>
      <c r="I32" s="13">
        <v>0</v>
      </c>
      <c r="J32" s="22"/>
      <c r="K32" s="8"/>
    </row>
    <row r="33" spans="1:14" ht="15.75" hidden="1" customHeight="1">
      <c r="A33" s="29"/>
      <c r="B33" s="61" t="s">
        <v>62</v>
      </c>
      <c r="C33" s="62" t="s">
        <v>31</v>
      </c>
      <c r="D33" s="61" t="s">
        <v>127</v>
      </c>
      <c r="E33" s="63"/>
      <c r="F33" s="64">
        <v>1</v>
      </c>
      <c r="G33" s="64">
        <v>1292.47</v>
      </c>
      <c r="H33" s="65">
        <f>SUM(F33*G33/1000)</f>
        <v>1.29247</v>
      </c>
      <c r="I33" s="13">
        <v>0</v>
      </c>
      <c r="J33" s="23"/>
    </row>
    <row r="34" spans="1:14" ht="15.75" hidden="1" customHeight="1">
      <c r="A34" s="70"/>
      <c r="B34" s="83" t="s">
        <v>5</v>
      </c>
      <c r="C34" s="62"/>
      <c r="D34" s="61"/>
      <c r="E34" s="63"/>
      <c r="F34" s="64"/>
      <c r="G34" s="64"/>
      <c r="H34" s="65" t="s">
        <v>128</v>
      </c>
      <c r="I34" s="13"/>
      <c r="J34" s="23"/>
    </row>
    <row r="35" spans="1:14" ht="15.75" hidden="1" customHeight="1">
      <c r="A35" s="70">
        <v>6</v>
      </c>
      <c r="B35" s="61" t="s">
        <v>26</v>
      </c>
      <c r="C35" s="62" t="s">
        <v>31</v>
      </c>
      <c r="D35" s="61"/>
      <c r="E35" s="63"/>
      <c r="F35" s="64">
        <v>6</v>
      </c>
      <c r="G35" s="64">
        <v>1737.08</v>
      </c>
      <c r="H35" s="65">
        <f t="shared" ref="H35:H41" si="5">SUM(F35*G35/1000)</f>
        <v>10.42248</v>
      </c>
      <c r="I35" s="13">
        <f>F35/6*G35</f>
        <v>1737.08</v>
      </c>
      <c r="J35" s="23"/>
    </row>
    <row r="36" spans="1:14" ht="15.75" hidden="1" customHeight="1">
      <c r="A36" s="70">
        <v>7</v>
      </c>
      <c r="B36" s="61" t="s">
        <v>100</v>
      </c>
      <c r="C36" s="62" t="s">
        <v>29</v>
      </c>
      <c r="D36" s="61" t="s">
        <v>129</v>
      </c>
      <c r="E36" s="63">
        <v>48.36</v>
      </c>
      <c r="F36" s="64">
        <f>E36*30/1000</f>
        <v>1.4507999999999999</v>
      </c>
      <c r="G36" s="64">
        <v>2391.67</v>
      </c>
      <c r="H36" s="65">
        <f>G36*F36/1000</f>
        <v>3.469834836</v>
      </c>
      <c r="I36" s="13">
        <f>F36/6*G36</f>
        <v>578.30580599999996</v>
      </c>
      <c r="J36" s="23"/>
    </row>
    <row r="37" spans="1:14" ht="15.75" hidden="1" customHeight="1">
      <c r="A37" s="70">
        <v>8</v>
      </c>
      <c r="B37" s="61" t="s">
        <v>101</v>
      </c>
      <c r="C37" s="62" t="s">
        <v>102</v>
      </c>
      <c r="D37" s="61" t="s">
        <v>63</v>
      </c>
      <c r="E37" s="63"/>
      <c r="F37" s="64">
        <v>65</v>
      </c>
      <c r="G37" s="64">
        <v>226.85</v>
      </c>
      <c r="H37" s="65">
        <f>G37*F37/1000</f>
        <v>14.74525</v>
      </c>
      <c r="I37" s="13">
        <v>0</v>
      </c>
      <c r="J37" s="23"/>
      <c r="L37" s="19"/>
      <c r="M37" s="20"/>
      <c r="N37" s="21"/>
    </row>
    <row r="38" spans="1:14" ht="15.75" hidden="1" customHeight="1">
      <c r="A38" s="70">
        <v>8</v>
      </c>
      <c r="B38" s="61" t="s">
        <v>64</v>
      </c>
      <c r="C38" s="62" t="s">
        <v>29</v>
      </c>
      <c r="D38" s="61" t="s">
        <v>103</v>
      </c>
      <c r="E38" s="64">
        <v>53.69</v>
      </c>
      <c r="F38" s="64">
        <f>SUM(E38*155/1000)</f>
        <v>8.3219499999999993</v>
      </c>
      <c r="G38" s="64">
        <v>398.95</v>
      </c>
      <c r="H38" s="65">
        <f t="shared" si="5"/>
        <v>3.3200419524999996</v>
      </c>
      <c r="I38" s="13">
        <f>F38/6*G38</f>
        <v>553.34032541666659</v>
      </c>
      <c r="J38" s="23"/>
      <c r="L38" s="19"/>
      <c r="M38" s="20"/>
      <c r="N38" s="21"/>
    </row>
    <row r="39" spans="1:14" ht="31.5" hidden="1" customHeight="1">
      <c r="A39" s="70">
        <v>9</v>
      </c>
      <c r="B39" s="61" t="s">
        <v>77</v>
      </c>
      <c r="C39" s="62" t="s">
        <v>95</v>
      </c>
      <c r="D39" s="61" t="s">
        <v>104</v>
      </c>
      <c r="E39" s="64">
        <v>23.93</v>
      </c>
      <c r="F39" s="64">
        <f>SUM(E39*24/1000)</f>
        <v>0.57431999999999994</v>
      </c>
      <c r="G39" s="64">
        <v>6600.74</v>
      </c>
      <c r="H39" s="65">
        <f t="shared" si="5"/>
        <v>3.7909369967999997</v>
      </c>
      <c r="I39" s="13">
        <f>F39/6*G39</f>
        <v>631.8228327999999</v>
      </c>
      <c r="J39" s="23"/>
      <c r="L39" s="19"/>
      <c r="M39" s="20"/>
      <c r="N39" s="21"/>
    </row>
    <row r="40" spans="1:14" ht="15.75" hidden="1" customHeight="1">
      <c r="A40" s="29">
        <v>10</v>
      </c>
      <c r="B40" s="61" t="s">
        <v>105</v>
      </c>
      <c r="C40" s="62" t="s">
        <v>95</v>
      </c>
      <c r="D40" s="61" t="s">
        <v>65</v>
      </c>
      <c r="E40" s="64">
        <v>48.36</v>
      </c>
      <c r="F40" s="64">
        <f>SUM(E40*45/1000)</f>
        <v>2.1761999999999997</v>
      </c>
      <c r="G40" s="64">
        <v>487.61</v>
      </c>
      <c r="H40" s="65">
        <f t="shared" si="5"/>
        <v>1.0611368819999998</v>
      </c>
      <c r="I40" s="13">
        <f>F40/6*G40</f>
        <v>176.85614699999999</v>
      </c>
      <c r="J40" s="23"/>
      <c r="L40" s="19"/>
      <c r="M40" s="20"/>
      <c r="N40" s="21"/>
    </row>
    <row r="41" spans="1:14" ht="15.75" hidden="1" customHeight="1">
      <c r="A41" s="29">
        <v>11</v>
      </c>
      <c r="B41" s="61" t="s">
        <v>66</v>
      </c>
      <c r="C41" s="62" t="s">
        <v>32</v>
      </c>
      <c r="D41" s="61"/>
      <c r="E41" s="63"/>
      <c r="F41" s="64">
        <v>0.9</v>
      </c>
      <c r="G41" s="64">
        <v>907.66</v>
      </c>
      <c r="H41" s="65">
        <f t="shared" si="5"/>
        <v>0.81689400000000001</v>
      </c>
      <c r="I41" s="13">
        <f>F41/6*G41</f>
        <v>136.149</v>
      </c>
      <c r="J41" s="23"/>
      <c r="L41" s="19"/>
      <c r="M41" s="20"/>
      <c r="N41" s="21"/>
    </row>
    <row r="42" spans="1:14" ht="15" hidden="1" customHeight="1">
      <c r="A42" s="148" t="s">
        <v>131</v>
      </c>
      <c r="B42" s="149"/>
      <c r="C42" s="149"/>
      <c r="D42" s="149"/>
      <c r="E42" s="149"/>
      <c r="F42" s="149"/>
      <c r="G42" s="149"/>
      <c r="H42" s="149"/>
      <c r="I42" s="150"/>
      <c r="J42" s="23"/>
      <c r="L42" s="19"/>
      <c r="M42" s="20"/>
      <c r="N42" s="21"/>
    </row>
    <row r="43" spans="1:14" ht="21" hidden="1" customHeight="1">
      <c r="A43" s="29"/>
      <c r="B43" s="61" t="s">
        <v>106</v>
      </c>
      <c r="C43" s="62" t="s">
        <v>95</v>
      </c>
      <c r="D43" s="61" t="s">
        <v>40</v>
      </c>
      <c r="E43" s="63">
        <v>614.29999999999995</v>
      </c>
      <c r="F43" s="64">
        <f>SUM(E43*2/1000)</f>
        <v>1.2285999999999999</v>
      </c>
      <c r="G43" s="13">
        <v>1094.96</v>
      </c>
      <c r="H43" s="65">
        <f t="shared" ref="H43:H51" si="6">SUM(F43*G43/1000)</f>
        <v>1.345267856</v>
      </c>
      <c r="I43" s="13">
        <v>0</v>
      </c>
      <c r="J43" s="23"/>
      <c r="L43" s="19"/>
      <c r="M43" s="20"/>
      <c r="N43" s="21"/>
    </row>
    <row r="44" spans="1:14" ht="16.5" hidden="1" customHeight="1">
      <c r="A44" s="29"/>
      <c r="B44" s="61" t="s">
        <v>33</v>
      </c>
      <c r="C44" s="62" t="s">
        <v>95</v>
      </c>
      <c r="D44" s="61" t="s">
        <v>40</v>
      </c>
      <c r="E44" s="63">
        <v>61</v>
      </c>
      <c r="F44" s="64">
        <f>E44*2/1000</f>
        <v>0.122</v>
      </c>
      <c r="G44" s="13">
        <v>3832.4</v>
      </c>
      <c r="H44" s="65">
        <f t="shared" si="6"/>
        <v>0.46755279999999999</v>
      </c>
      <c r="I44" s="13">
        <v>0</v>
      </c>
      <c r="J44" s="23"/>
      <c r="L44" s="19"/>
      <c r="M44" s="20"/>
      <c r="N44" s="21"/>
    </row>
    <row r="45" spans="1:14" ht="21" hidden="1" customHeight="1">
      <c r="A45" s="29"/>
      <c r="B45" s="61" t="s">
        <v>34</v>
      </c>
      <c r="C45" s="62" t="s">
        <v>95</v>
      </c>
      <c r="D45" s="61" t="s">
        <v>40</v>
      </c>
      <c r="E45" s="63">
        <v>3135.64</v>
      </c>
      <c r="F45" s="64">
        <f>SUM(E45*2/1000)</f>
        <v>6.27128</v>
      </c>
      <c r="G45" s="13">
        <v>1564.24</v>
      </c>
      <c r="H45" s="65">
        <f t="shared" si="6"/>
        <v>9.8097870272000005</v>
      </c>
      <c r="I45" s="13">
        <v>0</v>
      </c>
      <c r="J45" s="23"/>
      <c r="L45" s="19"/>
      <c r="M45" s="20"/>
      <c r="N45" s="21"/>
    </row>
    <row r="46" spans="1:14" ht="24.75" hidden="1" customHeight="1">
      <c r="A46" s="29"/>
      <c r="B46" s="61" t="s">
        <v>35</v>
      </c>
      <c r="C46" s="62" t="s">
        <v>95</v>
      </c>
      <c r="D46" s="61" t="s">
        <v>40</v>
      </c>
      <c r="E46" s="63">
        <v>1678.47</v>
      </c>
      <c r="F46" s="64">
        <f>SUM(E46*2/1000)</f>
        <v>3.3569400000000003</v>
      </c>
      <c r="G46" s="13">
        <v>1078.3599999999999</v>
      </c>
      <c r="H46" s="65">
        <f t="shared" si="6"/>
        <v>3.6199898183999997</v>
      </c>
      <c r="I46" s="13">
        <v>0</v>
      </c>
      <c r="J46" s="23"/>
      <c r="L46" s="19"/>
      <c r="M46" s="20"/>
      <c r="N46" s="21"/>
    </row>
    <row r="47" spans="1:14" ht="31.5" hidden="1" customHeight="1">
      <c r="A47" s="29">
        <v>12</v>
      </c>
      <c r="B47" s="61" t="s">
        <v>53</v>
      </c>
      <c r="C47" s="62" t="s">
        <v>95</v>
      </c>
      <c r="D47" s="61" t="s">
        <v>135</v>
      </c>
      <c r="E47" s="63">
        <v>614.29999999999995</v>
      </c>
      <c r="F47" s="64">
        <f>SUM(E47*5/1000)</f>
        <v>3.0714999999999999</v>
      </c>
      <c r="G47" s="13">
        <v>1838.49</v>
      </c>
      <c r="H47" s="65">
        <f t="shared" si="6"/>
        <v>5.6469220349999993</v>
      </c>
      <c r="I47" s="13">
        <f>F47/5*G47</f>
        <v>1129.384407</v>
      </c>
      <c r="J47" s="23"/>
      <c r="L47" s="19"/>
      <c r="M47" s="20"/>
      <c r="N47" s="21"/>
    </row>
    <row r="48" spans="1:14" ht="29.25" hidden="1" customHeight="1">
      <c r="A48" s="29">
        <v>10</v>
      </c>
      <c r="B48" s="61" t="s">
        <v>107</v>
      </c>
      <c r="C48" s="62" t="s">
        <v>95</v>
      </c>
      <c r="D48" s="61" t="s">
        <v>40</v>
      </c>
      <c r="E48" s="63">
        <v>614.29999999999995</v>
      </c>
      <c r="F48" s="64">
        <f>SUM(E48*2/1000)</f>
        <v>1.2285999999999999</v>
      </c>
      <c r="G48" s="13">
        <v>1380.31</v>
      </c>
      <c r="H48" s="65">
        <f t="shared" si="6"/>
        <v>1.6958488659999997</v>
      </c>
      <c r="I48" s="13">
        <f>G48*F48/2</f>
        <v>847.92443299999991</v>
      </c>
      <c r="J48" s="23"/>
      <c r="L48" s="19"/>
      <c r="M48" s="20"/>
      <c r="N48" s="21"/>
    </row>
    <row r="49" spans="1:22" ht="31.5" hidden="1" customHeight="1">
      <c r="A49" s="29">
        <v>11</v>
      </c>
      <c r="B49" s="61" t="s">
        <v>108</v>
      </c>
      <c r="C49" s="62" t="s">
        <v>36</v>
      </c>
      <c r="D49" s="61" t="s">
        <v>40</v>
      </c>
      <c r="E49" s="63">
        <v>20</v>
      </c>
      <c r="F49" s="64">
        <f>SUM(E49*2/100)</f>
        <v>0.4</v>
      </c>
      <c r="G49" s="13">
        <v>3519.56</v>
      </c>
      <c r="H49" s="65">
        <f t="shared" si="6"/>
        <v>1.407824</v>
      </c>
      <c r="I49" s="13">
        <f>G49*F49/2</f>
        <v>703.91200000000003</v>
      </c>
      <c r="J49" s="23"/>
      <c r="L49" s="19"/>
      <c r="M49" s="20"/>
      <c r="N49" s="21"/>
    </row>
    <row r="50" spans="1:22" ht="15" hidden="1" customHeight="1">
      <c r="A50" s="29">
        <v>12</v>
      </c>
      <c r="B50" s="61" t="s">
        <v>37</v>
      </c>
      <c r="C50" s="62" t="s">
        <v>38</v>
      </c>
      <c r="D50" s="61" t="s">
        <v>40</v>
      </c>
      <c r="E50" s="63">
        <v>1</v>
      </c>
      <c r="F50" s="64">
        <v>0.02</v>
      </c>
      <c r="G50" s="13">
        <v>6428.82</v>
      </c>
      <c r="H50" s="65">
        <f t="shared" si="6"/>
        <v>0.12857640000000001</v>
      </c>
      <c r="I50" s="13">
        <f>G50*F50/2</f>
        <v>64.288200000000003</v>
      </c>
      <c r="J50" s="23"/>
      <c r="L50" s="19"/>
      <c r="M50" s="20"/>
      <c r="N50" s="21"/>
    </row>
    <row r="51" spans="1:22" ht="25.5" hidden="1" customHeight="1">
      <c r="A51" s="29">
        <v>13</v>
      </c>
      <c r="B51" s="61" t="s">
        <v>39</v>
      </c>
      <c r="C51" s="62" t="s">
        <v>109</v>
      </c>
      <c r="D51" s="61" t="s">
        <v>67</v>
      </c>
      <c r="E51" s="63">
        <v>170</v>
      </c>
      <c r="F51" s="64">
        <f>SUM(E51)*3</f>
        <v>510</v>
      </c>
      <c r="G51" s="13">
        <v>74.709999999999994</v>
      </c>
      <c r="H51" s="65">
        <f t="shared" si="6"/>
        <v>38.1021</v>
      </c>
      <c r="I51" s="13">
        <f>G51*E51</f>
        <v>12700.699999999999</v>
      </c>
      <c r="J51" s="23"/>
      <c r="L51" s="19"/>
      <c r="M51" s="20"/>
      <c r="N51" s="21"/>
    </row>
    <row r="52" spans="1:22" ht="15.75" customHeight="1">
      <c r="A52" s="148" t="s">
        <v>141</v>
      </c>
      <c r="B52" s="149"/>
      <c r="C52" s="149"/>
      <c r="D52" s="149"/>
      <c r="E52" s="149"/>
      <c r="F52" s="149"/>
      <c r="G52" s="149"/>
      <c r="H52" s="149"/>
      <c r="I52" s="150"/>
      <c r="J52" s="23"/>
      <c r="L52" s="19"/>
      <c r="M52" s="20"/>
      <c r="N52" s="21"/>
    </row>
    <row r="53" spans="1:22" ht="17.25" hidden="1" customHeight="1">
      <c r="A53" s="29"/>
      <c r="B53" s="83" t="s">
        <v>41</v>
      </c>
      <c r="C53" s="62"/>
      <c r="D53" s="61"/>
      <c r="E53" s="63"/>
      <c r="F53" s="64"/>
      <c r="G53" s="64"/>
      <c r="H53" s="65"/>
      <c r="I53" s="13"/>
      <c r="J53" s="23"/>
      <c r="L53" s="19"/>
      <c r="M53" s="20"/>
      <c r="N53" s="21"/>
    </row>
    <row r="54" spans="1:22" ht="28.5" hidden="1" customHeight="1">
      <c r="A54" s="29">
        <v>13</v>
      </c>
      <c r="B54" s="61" t="s">
        <v>110</v>
      </c>
      <c r="C54" s="62" t="s">
        <v>85</v>
      </c>
      <c r="D54" s="61" t="s">
        <v>111</v>
      </c>
      <c r="E54" s="63">
        <v>63.07</v>
      </c>
      <c r="F54" s="64">
        <f>SUM(E54*6/100)</f>
        <v>3.7842000000000002</v>
      </c>
      <c r="G54" s="13">
        <v>1759.9</v>
      </c>
      <c r="H54" s="65">
        <f>SUM(F54*G54/1000)</f>
        <v>6.6598135800000007</v>
      </c>
      <c r="I54" s="13">
        <f>G54*0.205</f>
        <v>360.77949999999998</v>
      </c>
      <c r="J54" s="23"/>
      <c r="L54" s="19"/>
    </row>
    <row r="55" spans="1:22" ht="15.75" customHeight="1">
      <c r="A55" s="29"/>
      <c r="B55" s="84" t="s">
        <v>42</v>
      </c>
      <c r="C55" s="71"/>
      <c r="D55" s="72"/>
      <c r="E55" s="73"/>
      <c r="F55" s="74"/>
      <c r="G55" s="13"/>
      <c r="H55" s="75"/>
      <c r="I55" s="13"/>
    </row>
    <row r="56" spans="1:22" ht="15.75" hidden="1" customHeight="1">
      <c r="A56" s="29"/>
      <c r="B56" s="72" t="s">
        <v>130</v>
      </c>
      <c r="C56" s="71" t="s">
        <v>50</v>
      </c>
      <c r="D56" s="72" t="s">
        <v>51</v>
      </c>
      <c r="E56" s="73">
        <v>614.29999999999995</v>
      </c>
      <c r="F56" s="74">
        <v>6.1429999999999998</v>
      </c>
      <c r="G56" s="13">
        <v>902.66</v>
      </c>
      <c r="H56" s="75">
        <f>F56*G56/1000</f>
        <v>5.5450403799999997</v>
      </c>
      <c r="I56" s="13">
        <v>0</v>
      </c>
    </row>
    <row r="57" spans="1:22" ht="15.75" customHeight="1">
      <c r="A57" s="29">
        <v>7</v>
      </c>
      <c r="B57" s="72" t="s">
        <v>82</v>
      </c>
      <c r="C57" s="71" t="s">
        <v>25</v>
      </c>
      <c r="D57" s="72" t="s">
        <v>166</v>
      </c>
      <c r="E57" s="73">
        <v>100</v>
      </c>
      <c r="F57" s="76">
        <f>E57*12</f>
        <v>1200</v>
      </c>
      <c r="G57" s="56">
        <v>1.4</v>
      </c>
      <c r="H57" s="74">
        <f>F57*G57/1000</f>
        <v>1.68</v>
      </c>
      <c r="I57" s="13">
        <f>F57/12*G57</f>
        <v>140</v>
      </c>
    </row>
    <row r="58" spans="1:22" ht="15.75" customHeight="1">
      <c r="A58" s="29"/>
      <c r="B58" s="84" t="s">
        <v>43</v>
      </c>
      <c r="C58" s="71"/>
      <c r="D58" s="72"/>
      <c r="E58" s="73"/>
      <c r="F58" s="76"/>
      <c r="G58" s="76"/>
      <c r="H58" s="74" t="s">
        <v>128</v>
      </c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>
        <v>9</v>
      </c>
      <c r="B59" s="14" t="s">
        <v>44</v>
      </c>
      <c r="C59" s="16" t="s">
        <v>109</v>
      </c>
      <c r="D59" s="14" t="s">
        <v>165</v>
      </c>
      <c r="E59" s="18">
        <v>25</v>
      </c>
      <c r="F59" s="64">
        <v>25</v>
      </c>
      <c r="G59" s="13">
        <v>252.96</v>
      </c>
      <c r="H59" s="77">
        <f t="shared" ref="H59:H76" si="7">SUM(F59*G59/1000)</f>
        <v>6.3239999999999998</v>
      </c>
      <c r="I59" s="13">
        <f>G59*4</f>
        <v>1011.84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29">
        <v>8</v>
      </c>
      <c r="B60" s="14" t="s">
        <v>45</v>
      </c>
      <c r="C60" s="16" t="s">
        <v>109</v>
      </c>
      <c r="D60" s="14" t="s">
        <v>166</v>
      </c>
      <c r="E60" s="18">
        <v>2</v>
      </c>
      <c r="F60" s="64">
        <v>2</v>
      </c>
      <c r="G60" s="126">
        <v>113.69</v>
      </c>
      <c r="H60" s="77">
        <f t="shared" si="7"/>
        <v>0.22738</v>
      </c>
      <c r="I60" s="13">
        <f>G60*1</f>
        <v>113.69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hidden="1" customHeight="1">
      <c r="A61" s="29"/>
      <c r="B61" s="14" t="s">
        <v>46</v>
      </c>
      <c r="C61" s="16" t="s">
        <v>112</v>
      </c>
      <c r="D61" s="14" t="s">
        <v>51</v>
      </c>
      <c r="E61" s="63">
        <v>8692</v>
      </c>
      <c r="F61" s="13">
        <f>SUM(E61/100)</f>
        <v>86.92</v>
      </c>
      <c r="G61" s="13">
        <v>241.31</v>
      </c>
      <c r="H61" s="77">
        <f t="shared" si="7"/>
        <v>20.9746652</v>
      </c>
      <c r="I61" s="13">
        <v>0</v>
      </c>
      <c r="J61" s="5"/>
      <c r="K61" s="5"/>
      <c r="L61" s="5"/>
      <c r="M61" s="5"/>
      <c r="N61" s="5"/>
      <c r="O61" s="5"/>
      <c r="P61" s="5"/>
      <c r="Q61" s="5"/>
      <c r="R61" s="146"/>
      <c r="S61" s="146"/>
      <c r="T61" s="146"/>
      <c r="U61" s="146"/>
    </row>
    <row r="62" spans="1:22" ht="15.75" hidden="1" customHeight="1">
      <c r="A62" s="29"/>
      <c r="B62" s="14" t="s">
        <v>47</v>
      </c>
      <c r="C62" s="16" t="s">
        <v>113</v>
      </c>
      <c r="D62" s="14"/>
      <c r="E62" s="63">
        <v>8692</v>
      </c>
      <c r="F62" s="13">
        <f>SUM(E62/1000)</f>
        <v>8.6920000000000002</v>
      </c>
      <c r="G62" s="13">
        <v>187.91</v>
      </c>
      <c r="H62" s="77">
        <f t="shared" si="7"/>
        <v>1.6333137200000001</v>
      </c>
      <c r="I62" s="13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hidden="1" customHeight="1">
      <c r="A63" s="44"/>
      <c r="B63" s="14" t="s">
        <v>48</v>
      </c>
      <c r="C63" s="16" t="s">
        <v>73</v>
      </c>
      <c r="D63" s="14" t="s">
        <v>51</v>
      </c>
      <c r="E63" s="63">
        <v>855</v>
      </c>
      <c r="F63" s="13">
        <f>SUM(E63/100)</f>
        <v>8.5500000000000007</v>
      </c>
      <c r="G63" s="13">
        <v>2359.7199999999998</v>
      </c>
      <c r="H63" s="77">
        <f t="shared" si="7"/>
        <v>20.175605999999998</v>
      </c>
      <c r="I63" s="13">
        <v>0</v>
      </c>
    </row>
    <row r="64" spans="1:22" ht="15.75" hidden="1" customHeight="1">
      <c r="A64" s="29"/>
      <c r="B64" s="78" t="s">
        <v>114</v>
      </c>
      <c r="C64" s="16" t="s">
        <v>32</v>
      </c>
      <c r="D64" s="14"/>
      <c r="E64" s="63">
        <v>8.6</v>
      </c>
      <c r="F64" s="13">
        <f>SUM(E64)</f>
        <v>8.6</v>
      </c>
      <c r="G64" s="13">
        <v>42.67</v>
      </c>
      <c r="H64" s="77">
        <f t="shared" si="7"/>
        <v>0.36696200000000001</v>
      </c>
      <c r="I64" s="13">
        <v>0</v>
      </c>
    </row>
    <row r="65" spans="1:9" ht="15.75" hidden="1" customHeight="1">
      <c r="A65" s="29"/>
      <c r="B65" s="78" t="s">
        <v>115</v>
      </c>
      <c r="C65" s="16" t="s">
        <v>32</v>
      </c>
      <c r="D65" s="14"/>
      <c r="E65" s="63">
        <v>8.6</v>
      </c>
      <c r="F65" s="13">
        <f>SUM(E65)</f>
        <v>8.6</v>
      </c>
      <c r="G65" s="13">
        <v>39.81</v>
      </c>
      <c r="H65" s="77">
        <f t="shared" si="7"/>
        <v>0.342366</v>
      </c>
      <c r="I65" s="13">
        <v>0</v>
      </c>
    </row>
    <row r="66" spans="1:9" ht="15.75" hidden="1" customHeight="1">
      <c r="A66" s="29"/>
      <c r="B66" s="14" t="s">
        <v>54</v>
      </c>
      <c r="C66" s="16" t="s">
        <v>55</v>
      </c>
      <c r="D66" s="14" t="s">
        <v>51</v>
      </c>
      <c r="E66" s="18">
        <v>5</v>
      </c>
      <c r="F66" s="64">
        <v>5</v>
      </c>
      <c r="G66" s="13">
        <v>56.74</v>
      </c>
      <c r="H66" s="77">
        <f t="shared" si="7"/>
        <v>0.28370000000000001</v>
      </c>
      <c r="I66" s="13">
        <v>0</v>
      </c>
    </row>
    <row r="67" spans="1:9" ht="15.75" customHeight="1">
      <c r="A67" s="29"/>
      <c r="B67" s="121" t="s">
        <v>188</v>
      </c>
      <c r="C67" s="110"/>
      <c r="D67" s="35"/>
      <c r="E67" s="17"/>
      <c r="F67" s="101"/>
      <c r="G67" s="34"/>
      <c r="H67" s="77"/>
      <c r="I67" s="13"/>
    </row>
    <row r="68" spans="1:9" ht="34.5" customHeight="1">
      <c r="A68" s="29">
        <v>9</v>
      </c>
      <c r="B68" s="122" t="s">
        <v>189</v>
      </c>
      <c r="C68" s="104" t="s">
        <v>190</v>
      </c>
      <c r="D68" s="35"/>
      <c r="E68" s="17">
        <v>2177.1</v>
      </c>
      <c r="F68" s="34">
        <f>E68*12</f>
        <v>26125.199999999997</v>
      </c>
      <c r="G68" s="34">
        <v>2.6</v>
      </c>
      <c r="H68" s="77"/>
      <c r="I68" s="13">
        <f>G68*F68/12</f>
        <v>5660.4599999999991</v>
      </c>
    </row>
    <row r="69" spans="1:9" ht="15.75" customHeight="1">
      <c r="A69" s="29"/>
      <c r="B69" s="85" t="s">
        <v>68</v>
      </c>
      <c r="C69" s="16"/>
      <c r="D69" s="14"/>
      <c r="E69" s="18"/>
      <c r="F69" s="13"/>
      <c r="G69" s="13"/>
      <c r="H69" s="77" t="s">
        <v>128</v>
      </c>
      <c r="I69" s="13"/>
    </row>
    <row r="70" spans="1:9" ht="15.75" hidden="1" customHeight="1">
      <c r="A70" s="29"/>
      <c r="B70" s="14" t="s">
        <v>121</v>
      </c>
      <c r="C70" s="16" t="s">
        <v>122</v>
      </c>
      <c r="D70" s="14"/>
      <c r="E70" s="18">
        <v>4</v>
      </c>
      <c r="F70" s="13">
        <f>E70</f>
        <v>4</v>
      </c>
      <c r="G70" s="13">
        <v>113.57</v>
      </c>
      <c r="H70" s="77">
        <f t="shared" si="7"/>
        <v>0.45427999999999996</v>
      </c>
      <c r="I70" s="13">
        <v>0</v>
      </c>
    </row>
    <row r="71" spans="1:9" ht="15.75" hidden="1" customHeight="1">
      <c r="A71" s="29">
        <v>10</v>
      </c>
      <c r="B71" s="14" t="s">
        <v>69</v>
      </c>
      <c r="C71" s="16" t="s">
        <v>71</v>
      </c>
      <c r="D71" s="14"/>
      <c r="E71" s="18">
        <v>20</v>
      </c>
      <c r="F71" s="13">
        <v>2</v>
      </c>
      <c r="G71" s="13">
        <v>570.54</v>
      </c>
      <c r="H71" s="77">
        <f t="shared" si="7"/>
        <v>1.1410799999999999</v>
      </c>
      <c r="I71" s="13">
        <f>G71*1.7</f>
        <v>969.91799999999989</v>
      </c>
    </row>
    <row r="72" spans="1:9" ht="15.75" hidden="1" customHeight="1">
      <c r="A72" s="29"/>
      <c r="B72" s="14" t="s">
        <v>70</v>
      </c>
      <c r="C72" s="16" t="s">
        <v>30</v>
      </c>
      <c r="D72" s="14"/>
      <c r="E72" s="18">
        <v>2</v>
      </c>
      <c r="F72" s="56">
        <v>2</v>
      </c>
      <c r="G72" s="13">
        <v>970.21</v>
      </c>
      <c r="H72" s="77">
        <f>F72*G72/1000</f>
        <v>1.94042</v>
      </c>
      <c r="I72" s="13">
        <v>0</v>
      </c>
    </row>
    <row r="73" spans="1:9" ht="15.75" hidden="1" customHeight="1">
      <c r="A73" s="29"/>
      <c r="B73" s="14" t="s">
        <v>80</v>
      </c>
      <c r="C73" s="16" t="s">
        <v>30</v>
      </c>
      <c r="D73" s="14"/>
      <c r="E73" s="18">
        <v>2</v>
      </c>
      <c r="F73" s="13">
        <v>2</v>
      </c>
      <c r="G73" s="13">
        <v>407.79</v>
      </c>
      <c r="H73" s="77">
        <f>G73*F73/1000</f>
        <v>0.81558000000000008</v>
      </c>
      <c r="I73" s="13">
        <v>0</v>
      </c>
    </row>
    <row r="74" spans="1:9" ht="15.75" customHeight="1">
      <c r="A74" s="29">
        <v>10</v>
      </c>
      <c r="B74" s="35" t="s">
        <v>187</v>
      </c>
      <c r="C74" s="110" t="s">
        <v>30</v>
      </c>
      <c r="D74" s="35" t="s">
        <v>166</v>
      </c>
      <c r="E74" s="17">
        <v>1</v>
      </c>
      <c r="F74" s="34">
        <v>1</v>
      </c>
      <c r="G74" s="34">
        <v>425</v>
      </c>
      <c r="H74" s="77"/>
      <c r="I74" s="13">
        <f>G74*1</f>
        <v>425</v>
      </c>
    </row>
    <row r="75" spans="1:9" ht="15.75" hidden="1" customHeight="1">
      <c r="A75" s="29"/>
      <c r="B75" s="80" t="s">
        <v>72</v>
      </c>
      <c r="C75" s="16"/>
      <c r="D75" s="14"/>
      <c r="E75" s="18"/>
      <c r="F75" s="13"/>
      <c r="G75" s="13" t="s">
        <v>128</v>
      </c>
      <c r="H75" s="77" t="s">
        <v>128</v>
      </c>
      <c r="I75" s="13"/>
    </row>
    <row r="76" spans="1:9" ht="15.75" hidden="1" customHeight="1">
      <c r="A76" s="29"/>
      <c r="B76" s="43" t="s">
        <v>118</v>
      </c>
      <c r="C76" s="16" t="s">
        <v>73</v>
      </c>
      <c r="D76" s="14"/>
      <c r="E76" s="18"/>
      <c r="F76" s="13">
        <v>1</v>
      </c>
      <c r="G76" s="13">
        <v>3138.63</v>
      </c>
      <c r="H76" s="77">
        <f t="shared" si="7"/>
        <v>3.13863</v>
      </c>
      <c r="I76" s="13">
        <v>0</v>
      </c>
    </row>
    <row r="77" spans="1:9" ht="15.75" hidden="1" customHeight="1">
      <c r="A77" s="29"/>
      <c r="B77" s="54" t="s">
        <v>116</v>
      </c>
      <c r="C77" s="80"/>
      <c r="D77" s="31"/>
      <c r="E77" s="32"/>
      <c r="F77" s="67"/>
      <c r="G77" s="67"/>
      <c r="H77" s="81">
        <f>SUM(H54:H76)</f>
        <v>71.702836879999992</v>
      </c>
      <c r="I77" s="67"/>
    </row>
    <row r="78" spans="1:9" ht="15.75" hidden="1" customHeight="1">
      <c r="A78" s="44"/>
      <c r="B78" s="61" t="s">
        <v>117</v>
      </c>
      <c r="C78" s="16"/>
      <c r="D78" s="14"/>
      <c r="E78" s="57"/>
      <c r="F78" s="13">
        <v>1</v>
      </c>
      <c r="G78" s="13">
        <v>19285</v>
      </c>
      <c r="H78" s="77">
        <f>G78*F78/1000</f>
        <v>19.285</v>
      </c>
      <c r="I78" s="13">
        <v>0</v>
      </c>
    </row>
    <row r="79" spans="1:9" ht="15.75" customHeight="1">
      <c r="A79" s="148" t="s">
        <v>142</v>
      </c>
      <c r="B79" s="149"/>
      <c r="C79" s="149"/>
      <c r="D79" s="149"/>
      <c r="E79" s="149"/>
      <c r="F79" s="149"/>
      <c r="G79" s="149"/>
      <c r="H79" s="149"/>
      <c r="I79" s="150"/>
    </row>
    <row r="80" spans="1:9" ht="15.75" customHeight="1">
      <c r="A80" s="29">
        <v>11</v>
      </c>
      <c r="B80" s="105" t="s">
        <v>119</v>
      </c>
      <c r="C80" s="110" t="s">
        <v>52</v>
      </c>
      <c r="D80" s="124"/>
      <c r="E80" s="34">
        <v>2177.1</v>
      </c>
      <c r="F80" s="34">
        <f>SUM(E80*12)</f>
        <v>26125.199999999997</v>
      </c>
      <c r="G80" s="34">
        <v>3.5</v>
      </c>
      <c r="H80" s="77">
        <f>SUM(F80*G80/1000)</f>
        <v>91.438199999999981</v>
      </c>
      <c r="I80" s="13">
        <f>F80/12*G80</f>
        <v>7619.8499999999995</v>
      </c>
    </row>
    <row r="81" spans="1:9" ht="31.5" customHeight="1">
      <c r="A81" s="29">
        <v>12</v>
      </c>
      <c r="B81" s="35" t="s">
        <v>191</v>
      </c>
      <c r="C81" s="110" t="s">
        <v>52</v>
      </c>
      <c r="D81" s="47"/>
      <c r="E81" s="99">
        <f>E80</f>
        <v>2177.1</v>
      </c>
      <c r="F81" s="34">
        <f>E81*12</f>
        <v>26125.199999999997</v>
      </c>
      <c r="G81" s="34">
        <v>3.24</v>
      </c>
      <c r="H81" s="77">
        <f>F81*G81/1000</f>
        <v>84.645647999999994</v>
      </c>
      <c r="I81" s="13">
        <f>F81/12*G81</f>
        <v>7053.8040000000001</v>
      </c>
    </row>
    <row r="82" spans="1:9" ht="15.75" customHeight="1">
      <c r="A82" s="29"/>
      <c r="B82" s="36" t="s">
        <v>75</v>
      </c>
      <c r="C82" s="80"/>
      <c r="D82" s="79"/>
      <c r="E82" s="67"/>
      <c r="F82" s="67"/>
      <c r="G82" s="67"/>
      <c r="H82" s="81">
        <f>H81</f>
        <v>84.645647999999994</v>
      </c>
      <c r="I82" s="67">
        <f>I81+I80+I74+I68+I60+I57+I31+I29+I28+I18+I17+I16</f>
        <v>40511.434299333327</v>
      </c>
    </row>
    <row r="83" spans="1:9" ht="15.75" customHeight="1">
      <c r="A83" s="151" t="s">
        <v>57</v>
      </c>
      <c r="B83" s="152"/>
      <c r="C83" s="152"/>
      <c r="D83" s="152"/>
      <c r="E83" s="152"/>
      <c r="F83" s="152"/>
      <c r="G83" s="152"/>
      <c r="H83" s="152"/>
      <c r="I83" s="153"/>
    </row>
    <row r="84" spans="1:9" ht="18.75" customHeight="1">
      <c r="A84" s="29">
        <v>13</v>
      </c>
      <c r="B84" s="95" t="s">
        <v>155</v>
      </c>
      <c r="C84" s="48" t="s">
        <v>38</v>
      </c>
      <c r="D84" s="47" t="s">
        <v>166</v>
      </c>
      <c r="E84" s="34"/>
      <c r="F84" s="34">
        <v>0.05</v>
      </c>
      <c r="G84" s="34">
        <v>28224.75</v>
      </c>
      <c r="H84" s="87"/>
      <c r="I84" s="82">
        <v>0</v>
      </c>
    </row>
    <row r="85" spans="1:9" ht="18.75" customHeight="1">
      <c r="A85" s="29">
        <v>14</v>
      </c>
      <c r="B85" s="95" t="s">
        <v>291</v>
      </c>
      <c r="C85" s="48" t="s">
        <v>109</v>
      </c>
      <c r="D85" s="47" t="s">
        <v>176</v>
      </c>
      <c r="E85" s="34"/>
      <c r="F85" s="34">
        <v>1</v>
      </c>
      <c r="G85" s="34">
        <v>1695.46</v>
      </c>
      <c r="H85" s="87"/>
      <c r="I85" s="82">
        <f>G85*1</f>
        <v>1695.46</v>
      </c>
    </row>
    <row r="86" spans="1:9" ht="18.75" customHeight="1">
      <c r="A86" s="29">
        <v>15</v>
      </c>
      <c r="B86" s="95" t="s">
        <v>292</v>
      </c>
      <c r="C86" s="48" t="s">
        <v>178</v>
      </c>
      <c r="D86" s="47" t="s">
        <v>296</v>
      </c>
      <c r="E86" s="34"/>
      <c r="F86" s="34">
        <v>1</v>
      </c>
      <c r="G86" s="34">
        <v>280.70999999999998</v>
      </c>
      <c r="H86" s="87"/>
      <c r="I86" s="82">
        <f>G86*1</f>
        <v>280.70999999999998</v>
      </c>
    </row>
    <row r="87" spans="1:9" ht="30.75" customHeight="1">
      <c r="A87" s="29">
        <v>16</v>
      </c>
      <c r="B87" s="95" t="s">
        <v>293</v>
      </c>
      <c r="C87" s="48" t="s">
        <v>294</v>
      </c>
      <c r="D87" s="47" t="s">
        <v>295</v>
      </c>
      <c r="E87" s="34"/>
      <c r="F87" s="34">
        <v>1</v>
      </c>
      <c r="G87" s="34">
        <v>64.040000000000006</v>
      </c>
      <c r="H87" s="87"/>
      <c r="I87" s="82">
        <f>G87*1</f>
        <v>64.040000000000006</v>
      </c>
    </row>
    <row r="88" spans="1:9" ht="20.25" customHeight="1">
      <c r="A88" s="29">
        <v>17</v>
      </c>
      <c r="B88" s="95" t="s">
        <v>153</v>
      </c>
      <c r="C88" s="48" t="s">
        <v>149</v>
      </c>
      <c r="D88" s="47" t="s">
        <v>252</v>
      </c>
      <c r="E88" s="34"/>
      <c r="F88" s="34">
        <v>63</v>
      </c>
      <c r="G88" s="34">
        <v>295.36</v>
      </c>
      <c r="H88" s="87"/>
      <c r="I88" s="82">
        <v>0</v>
      </c>
    </row>
    <row r="89" spans="1:9" ht="20.25" customHeight="1">
      <c r="A89" s="29">
        <v>18</v>
      </c>
      <c r="B89" s="95" t="s">
        <v>287</v>
      </c>
      <c r="C89" s="48" t="s">
        <v>29</v>
      </c>
      <c r="D89" s="47" t="s">
        <v>166</v>
      </c>
      <c r="E89" s="34"/>
      <c r="F89" s="34">
        <v>0.4</v>
      </c>
      <c r="G89" s="34">
        <v>1352.12</v>
      </c>
      <c r="H89" s="87"/>
      <c r="I89" s="82">
        <v>0</v>
      </c>
    </row>
    <row r="90" spans="1:9" ht="15.75" customHeight="1">
      <c r="A90" s="29"/>
      <c r="B90" s="41" t="s">
        <v>49</v>
      </c>
      <c r="C90" s="37"/>
      <c r="D90" s="45"/>
      <c r="E90" s="37">
        <v>1</v>
      </c>
      <c r="F90" s="37"/>
      <c r="G90" s="37"/>
      <c r="H90" s="37"/>
      <c r="I90" s="32">
        <f>SUM(I84:I87)</f>
        <v>2040.21</v>
      </c>
    </row>
    <row r="91" spans="1:9" ht="15.75" customHeight="1">
      <c r="A91" s="29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 ht="15.75" customHeight="1">
      <c r="A92" s="46"/>
      <c r="B92" s="42" t="s">
        <v>147</v>
      </c>
      <c r="C92" s="33"/>
      <c r="D92" s="33"/>
      <c r="E92" s="33"/>
      <c r="F92" s="33"/>
      <c r="G92" s="33"/>
      <c r="H92" s="33"/>
      <c r="I92" s="40">
        <f>I82+I90</f>
        <v>42551.644299333326</v>
      </c>
    </row>
    <row r="93" spans="1:9" ht="15.75">
      <c r="A93" s="147" t="s">
        <v>297</v>
      </c>
      <c r="B93" s="147"/>
      <c r="C93" s="147"/>
      <c r="D93" s="147"/>
      <c r="E93" s="147"/>
      <c r="F93" s="147"/>
      <c r="G93" s="147"/>
      <c r="H93" s="147"/>
      <c r="I93" s="147"/>
    </row>
    <row r="94" spans="1:9" ht="15.75">
      <c r="A94" s="55"/>
      <c r="B94" s="159" t="s">
        <v>298</v>
      </c>
      <c r="C94" s="159"/>
      <c r="D94" s="159"/>
      <c r="E94" s="159"/>
      <c r="F94" s="159"/>
      <c r="G94" s="159"/>
      <c r="H94" s="60"/>
      <c r="I94" s="3"/>
    </row>
    <row r="95" spans="1:9">
      <c r="A95" s="52"/>
      <c r="B95" s="156" t="s">
        <v>6</v>
      </c>
      <c r="C95" s="156"/>
      <c r="D95" s="156"/>
      <c r="E95" s="156"/>
      <c r="F95" s="156"/>
      <c r="G95" s="156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60" t="s">
        <v>7</v>
      </c>
      <c r="B97" s="160"/>
      <c r="C97" s="160"/>
      <c r="D97" s="160"/>
      <c r="E97" s="160"/>
      <c r="F97" s="160"/>
      <c r="G97" s="160"/>
      <c r="H97" s="160"/>
      <c r="I97" s="160"/>
    </row>
    <row r="98" spans="1:9" ht="15.75">
      <c r="A98" s="160" t="s">
        <v>8</v>
      </c>
      <c r="B98" s="160"/>
      <c r="C98" s="160"/>
      <c r="D98" s="160"/>
      <c r="E98" s="160"/>
      <c r="F98" s="160"/>
      <c r="G98" s="160"/>
      <c r="H98" s="160"/>
      <c r="I98" s="160"/>
    </row>
    <row r="99" spans="1:9" ht="15.75">
      <c r="A99" s="143" t="s">
        <v>58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>
      <c r="A100" s="11"/>
    </row>
    <row r="101" spans="1:9" ht="15.75">
      <c r="A101" s="144" t="s">
        <v>9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4"/>
    </row>
    <row r="103" spans="1:9" ht="15.75">
      <c r="B103" s="50" t="s">
        <v>10</v>
      </c>
      <c r="C103" s="155" t="s">
        <v>183</v>
      </c>
      <c r="D103" s="155"/>
      <c r="E103" s="155"/>
      <c r="F103" s="58"/>
      <c r="I103" s="51"/>
    </row>
    <row r="104" spans="1:9">
      <c r="A104" s="52"/>
      <c r="C104" s="156" t="s">
        <v>11</v>
      </c>
      <c r="D104" s="156"/>
      <c r="E104" s="156"/>
      <c r="F104" s="24"/>
      <c r="I104" s="49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50" t="s">
        <v>13</v>
      </c>
      <c r="C106" s="157"/>
      <c r="D106" s="157"/>
      <c r="E106" s="157"/>
      <c r="F106" s="59"/>
      <c r="I106" s="51"/>
    </row>
    <row r="107" spans="1:9">
      <c r="A107" s="52"/>
      <c r="C107" s="146" t="s">
        <v>11</v>
      </c>
      <c r="D107" s="146"/>
      <c r="E107" s="146"/>
      <c r="F107" s="52"/>
      <c r="I107" s="49" t="s">
        <v>12</v>
      </c>
    </row>
    <row r="108" spans="1:9" ht="15.75">
      <c r="A108" s="4" t="s">
        <v>14</v>
      </c>
    </row>
    <row r="109" spans="1:9">
      <c r="A109" s="158" t="s">
        <v>15</v>
      </c>
      <c r="B109" s="158"/>
      <c r="C109" s="158"/>
      <c r="D109" s="158"/>
      <c r="E109" s="158"/>
      <c r="F109" s="158"/>
      <c r="G109" s="158"/>
      <c r="H109" s="158"/>
      <c r="I109" s="158"/>
    </row>
    <row r="110" spans="1:9" ht="47.25" customHeight="1">
      <c r="A110" s="154" t="s">
        <v>16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31.5" customHeight="1">
      <c r="A111" s="154" t="s">
        <v>17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31.5" customHeight="1">
      <c r="A112" s="154" t="s">
        <v>21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15.75" customHeight="1">
      <c r="A113" s="154" t="s">
        <v>20</v>
      </c>
      <c r="B113" s="154"/>
      <c r="C113" s="154"/>
      <c r="D113" s="154"/>
      <c r="E113" s="154"/>
      <c r="F113" s="154"/>
      <c r="G113" s="154"/>
      <c r="H113" s="154"/>
      <c r="I113" s="154"/>
    </row>
  </sheetData>
  <autoFilter ref="I12:I56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6:I26"/>
    <mergeCell ref="A42:I42"/>
    <mergeCell ref="A52:I52"/>
    <mergeCell ref="A93:I93"/>
    <mergeCell ref="B94:G94"/>
    <mergeCell ref="B95:G95"/>
    <mergeCell ref="A97:I97"/>
    <mergeCell ref="A98:I98"/>
    <mergeCell ref="A83:I83"/>
    <mergeCell ref="R61:U61"/>
    <mergeCell ref="A79:I7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82" zoomScaleNormal="100" workbookViewId="0">
      <selection activeCell="I102" sqref="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.570312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148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299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0">
        <v>44530</v>
      </c>
      <c r="J6" s="2"/>
      <c r="K6" s="2"/>
      <c r="L6" s="2"/>
      <c r="M6" s="2"/>
    </row>
    <row r="7" spans="1:13" ht="15.75">
      <c r="B7" s="90"/>
      <c r="C7" s="90"/>
      <c r="D7" s="9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184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76.5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10.81</v>
      </c>
      <c r="H25" s="65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69" t="s">
        <v>23</v>
      </c>
      <c r="C26" s="62" t="s">
        <v>24</v>
      </c>
      <c r="D26" s="61"/>
      <c r="E26" s="63">
        <v>2177.1</v>
      </c>
      <c r="F26" s="64">
        <f>SUM(E26*12)</f>
        <v>26125.199999999997</v>
      </c>
      <c r="G26" s="64">
        <v>5.15</v>
      </c>
      <c r="H26" s="65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48" t="s">
        <v>78</v>
      </c>
      <c r="B27" s="149"/>
      <c r="C27" s="149"/>
      <c r="D27" s="149"/>
      <c r="E27" s="149"/>
      <c r="F27" s="149"/>
      <c r="G27" s="149"/>
      <c r="H27" s="149"/>
      <c r="I27" s="150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2"/>
      <c r="D28" s="61"/>
      <c r="E28" s="63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1" t="s">
        <v>94</v>
      </c>
      <c r="C29" s="62" t="s">
        <v>124</v>
      </c>
      <c r="D29" s="61" t="s">
        <v>96</v>
      </c>
      <c r="E29" s="64">
        <v>2497.6999999999998</v>
      </c>
      <c r="F29" s="64">
        <f>SUM(E29*52/1000)</f>
        <v>129.88039999999998</v>
      </c>
      <c r="G29" s="64">
        <v>177.3</v>
      </c>
      <c r="H29" s="65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1" t="s">
        <v>134</v>
      </c>
      <c r="C30" s="62" t="s">
        <v>95</v>
      </c>
      <c r="D30" s="61" t="s">
        <v>97</v>
      </c>
      <c r="E30" s="64">
        <v>266.37</v>
      </c>
      <c r="F30" s="64">
        <f>SUM(E30*78/1000)</f>
        <v>20.776859999999999</v>
      </c>
      <c r="G30" s="64">
        <v>297.17</v>
      </c>
      <c r="H30" s="65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27</v>
      </c>
      <c r="C31" s="62" t="s">
        <v>95</v>
      </c>
      <c r="D31" s="61" t="s">
        <v>51</v>
      </c>
      <c r="E31" s="64">
        <v>2497.6999999999998</v>
      </c>
      <c r="F31" s="64">
        <f>SUM(E31/1000)</f>
        <v>2.4977</v>
      </c>
      <c r="G31" s="64">
        <v>3435.36</v>
      </c>
      <c r="H31" s="65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1" t="s">
        <v>98</v>
      </c>
      <c r="C32" s="62" t="s">
        <v>38</v>
      </c>
      <c r="D32" s="61" t="s">
        <v>60</v>
      </c>
      <c r="E32" s="64">
        <v>2</v>
      </c>
      <c r="F32" s="64">
        <v>3.1</v>
      </c>
      <c r="G32" s="64">
        <v>1480.94</v>
      </c>
      <c r="H32" s="65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1" t="s">
        <v>99</v>
      </c>
      <c r="C33" s="62" t="s">
        <v>30</v>
      </c>
      <c r="D33" s="61" t="s">
        <v>60</v>
      </c>
      <c r="E33" s="68">
        <v>0.33333333333333331</v>
      </c>
      <c r="F33" s="64">
        <f>155/3</f>
        <v>51.666666666666664</v>
      </c>
      <c r="G33" s="64">
        <v>64.48</v>
      </c>
      <c r="H33" s="65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1" t="s">
        <v>61</v>
      </c>
      <c r="C34" s="62" t="s">
        <v>32</v>
      </c>
      <c r="D34" s="61" t="s">
        <v>127</v>
      </c>
      <c r="E34" s="63"/>
      <c r="F34" s="64">
        <v>2</v>
      </c>
      <c r="G34" s="64">
        <v>217.61</v>
      </c>
      <c r="H34" s="65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1" t="s">
        <v>62</v>
      </c>
      <c r="C35" s="62" t="s">
        <v>31</v>
      </c>
      <c r="D35" s="61" t="s">
        <v>127</v>
      </c>
      <c r="E35" s="63"/>
      <c r="F35" s="64">
        <v>1</v>
      </c>
      <c r="G35" s="64">
        <v>1292.47</v>
      </c>
      <c r="H35" s="65">
        <f t="shared" si="1"/>
        <v>1.29247</v>
      </c>
      <c r="I35" s="13">
        <v>0</v>
      </c>
      <c r="J35" s="23"/>
    </row>
    <row r="36" spans="1:14" ht="15.75" customHeight="1">
      <c r="A36" s="70"/>
      <c r="B36" s="83" t="s">
        <v>5</v>
      </c>
      <c r="C36" s="62"/>
      <c r="D36" s="61"/>
      <c r="E36" s="63"/>
      <c r="F36" s="64"/>
      <c r="G36" s="64"/>
      <c r="H36" s="65" t="s">
        <v>128</v>
      </c>
      <c r="I36" s="13"/>
      <c r="J36" s="23"/>
    </row>
    <row r="37" spans="1:14" ht="15.75" hidden="1" customHeight="1">
      <c r="A37" s="70">
        <v>5</v>
      </c>
      <c r="B37" s="116" t="s">
        <v>26</v>
      </c>
      <c r="C37" s="106" t="s">
        <v>31</v>
      </c>
      <c r="D37" s="105"/>
      <c r="E37" s="115"/>
      <c r="F37" s="108">
        <v>4</v>
      </c>
      <c r="G37" s="108">
        <v>1930</v>
      </c>
      <c r="H37" s="65">
        <f t="shared" ref="H37:H43" si="2">SUM(F37*G37/1000)</f>
        <v>7.72</v>
      </c>
      <c r="I37" s="13">
        <f>G37*0.8</f>
        <v>1544</v>
      </c>
      <c r="J37" s="23"/>
    </row>
    <row r="38" spans="1:14" ht="15.75" customHeight="1">
      <c r="A38" s="70">
        <v>4</v>
      </c>
      <c r="B38" s="116" t="s">
        <v>100</v>
      </c>
      <c r="C38" s="117" t="s">
        <v>29</v>
      </c>
      <c r="D38" s="105" t="s">
        <v>163</v>
      </c>
      <c r="E38" s="115">
        <v>48.36</v>
      </c>
      <c r="F38" s="118">
        <f>E38*30/1000</f>
        <v>1.4507999999999999</v>
      </c>
      <c r="G38" s="108">
        <v>3134.93</v>
      </c>
      <c r="H38" s="65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0">
        <v>8</v>
      </c>
      <c r="B39" s="105" t="s">
        <v>101</v>
      </c>
      <c r="C39" s="106" t="s">
        <v>102</v>
      </c>
      <c r="D39" s="105" t="s">
        <v>127</v>
      </c>
      <c r="E39" s="115"/>
      <c r="F39" s="118">
        <v>39</v>
      </c>
      <c r="G39" s="108">
        <v>330</v>
      </c>
      <c r="H39" s="65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0">
        <v>5</v>
      </c>
      <c r="B40" s="105" t="s">
        <v>64</v>
      </c>
      <c r="C40" s="106" t="s">
        <v>29</v>
      </c>
      <c r="D40" s="105" t="s">
        <v>164</v>
      </c>
      <c r="E40" s="108">
        <v>53.69</v>
      </c>
      <c r="F40" s="118">
        <f>SUM(E40*155/1000)</f>
        <v>8.3219499999999993</v>
      </c>
      <c r="G40" s="108">
        <v>522.92999999999995</v>
      </c>
      <c r="H40" s="65">
        <f t="shared" si="2"/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49.5" customHeight="1">
      <c r="A41" s="70">
        <v>6</v>
      </c>
      <c r="B41" s="105" t="s">
        <v>77</v>
      </c>
      <c r="C41" s="106" t="s">
        <v>95</v>
      </c>
      <c r="D41" s="105" t="s">
        <v>165</v>
      </c>
      <c r="E41" s="108">
        <v>23.93</v>
      </c>
      <c r="F41" s="118">
        <f>SUM(E41*24/1000)</f>
        <v>0.57431999999999994</v>
      </c>
      <c r="G41" s="108">
        <v>8652.07</v>
      </c>
      <c r="H41" s="65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hidden="1" customHeight="1">
      <c r="A42" s="29">
        <v>9</v>
      </c>
      <c r="B42" s="105" t="s">
        <v>105</v>
      </c>
      <c r="C42" s="106" t="s">
        <v>95</v>
      </c>
      <c r="D42" s="105" t="s">
        <v>65</v>
      </c>
      <c r="E42" s="108">
        <v>48.36</v>
      </c>
      <c r="F42" s="118">
        <f>SUM(E42*45/1000)</f>
        <v>2.1761999999999997</v>
      </c>
      <c r="G42" s="108">
        <v>639.14</v>
      </c>
      <c r="H42" s="65">
        <f t="shared" si="2"/>
        <v>1.3908964679999998</v>
      </c>
      <c r="I42" s="13">
        <f>F42/7.5*G42</f>
        <v>185.45286239999999</v>
      </c>
      <c r="J42" s="23"/>
      <c r="L42" s="19"/>
      <c r="M42" s="20"/>
      <c r="N42" s="21"/>
    </row>
    <row r="43" spans="1:14" ht="15.75" hidden="1" customHeight="1">
      <c r="A43" s="29">
        <v>10</v>
      </c>
      <c r="B43" s="116" t="s">
        <v>66</v>
      </c>
      <c r="C43" s="117" t="s">
        <v>32</v>
      </c>
      <c r="D43" s="116"/>
      <c r="E43" s="119"/>
      <c r="F43" s="118">
        <v>0.9</v>
      </c>
      <c r="G43" s="118">
        <v>900</v>
      </c>
      <c r="H43" s="65">
        <f t="shared" si="2"/>
        <v>0.81</v>
      </c>
      <c r="I43" s="13">
        <f>F43/7.5*G43</f>
        <v>108.00000000000001</v>
      </c>
      <c r="J43" s="23"/>
      <c r="L43" s="19"/>
      <c r="M43" s="20"/>
      <c r="N43" s="21"/>
    </row>
    <row r="44" spans="1:14" ht="33.75" customHeight="1">
      <c r="A44" s="29">
        <v>7</v>
      </c>
      <c r="B44" s="120" t="s">
        <v>186</v>
      </c>
      <c r="C44" s="117" t="s">
        <v>29</v>
      </c>
      <c r="D44" s="116" t="s">
        <v>196</v>
      </c>
      <c r="E44" s="119">
        <v>0.6</v>
      </c>
      <c r="F44" s="118">
        <f>E44*12/1000</f>
        <v>7.1999999999999989E-3</v>
      </c>
      <c r="G44" s="118">
        <v>20547.34</v>
      </c>
      <c r="H44" s="56"/>
      <c r="I44" s="114">
        <f>G44*F44/6</f>
        <v>24.656807999999998</v>
      </c>
      <c r="J44" s="23"/>
      <c r="L44" s="19"/>
      <c r="M44" s="20"/>
      <c r="N44" s="21"/>
    </row>
    <row r="45" spans="1:14" ht="15.75" hidden="1" customHeight="1">
      <c r="A45" s="148" t="s">
        <v>131</v>
      </c>
      <c r="B45" s="149"/>
      <c r="C45" s="149"/>
      <c r="D45" s="149"/>
      <c r="E45" s="149"/>
      <c r="F45" s="149"/>
      <c r="G45" s="149"/>
      <c r="H45" s="149"/>
      <c r="I45" s="150"/>
      <c r="J45" s="23"/>
      <c r="L45" s="19"/>
      <c r="M45" s="20"/>
      <c r="N45" s="21"/>
    </row>
    <row r="46" spans="1:14" ht="15.75" hidden="1" customHeight="1">
      <c r="A46" s="29"/>
      <c r="B46" s="61" t="s">
        <v>106</v>
      </c>
      <c r="C46" s="62" t="s">
        <v>95</v>
      </c>
      <c r="D46" s="61" t="s">
        <v>40</v>
      </c>
      <c r="E46" s="63">
        <v>614.29999999999995</v>
      </c>
      <c r="F46" s="64">
        <f>SUM(E46*2/1000)</f>
        <v>1.2285999999999999</v>
      </c>
      <c r="G46" s="13">
        <v>1094.96</v>
      </c>
      <c r="H46" s="65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33</v>
      </c>
      <c r="C47" s="62" t="s">
        <v>95</v>
      </c>
      <c r="D47" s="61" t="s">
        <v>40</v>
      </c>
      <c r="E47" s="63">
        <v>61</v>
      </c>
      <c r="F47" s="64">
        <f>E47*2/1000</f>
        <v>0.122</v>
      </c>
      <c r="G47" s="13">
        <v>3832.4</v>
      </c>
      <c r="H47" s="65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34</v>
      </c>
      <c r="C48" s="62" t="s">
        <v>95</v>
      </c>
      <c r="D48" s="61" t="s">
        <v>40</v>
      </c>
      <c r="E48" s="63">
        <v>3135.64</v>
      </c>
      <c r="F48" s="64">
        <f>SUM(E48*2/1000)</f>
        <v>6.27128</v>
      </c>
      <c r="G48" s="13">
        <v>1564.24</v>
      </c>
      <c r="H48" s="65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35</v>
      </c>
      <c r="C49" s="62" t="s">
        <v>95</v>
      </c>
      <c r="D49" s="61" t="s">
        <v>40</v>
      </c>
      <c r="E49" s="63">
        <v>1678.47</v>
      </c>
      <c r="F49" s="64">
        <f>SUM(E49*2/1000)</f>
        <v>3.3569400000000003</v>
      </c>
      <c r="G49" s="13">
        <v>1078.3599999999999</v>
      </c>
      <c r="H49" s="65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31.5" hidden="1" customHeight="1">
      <c r="A50" s="29">
        <v>12</v>
      </c>
      <c r="B50" s="61" t="s">
        <v>53</v>
      </c>
      <c r="C50" s="62" t="s">
        <v>95</v>
      </c>
      <c r="D50" s="61" t="s">
        <v>135</v>
      </c>
      <c r="E50" s="63">
        <v>614.29999999999995</v>
      </c>
      <c r="F50" s="64">
        <f>SUM(E50*5/1000)</f>
        <v>3.0714999999999999</v>
      </c>
      <c r="G50" s="13">
        <v>1838.49</v>
      </c>
      <c r="H50" s="65">
        <f t="shared" si="3"/>
        <v>5.6469220349999993</v>
      </c>
      <c r="I50" s="13">
        <f>F50/5*G50</f>
        <v>1129.384407</v>
      </c>
      <c r="J50" s="23"/>
      <c r="L50" s="19"/>
      <c r="M50" s="20"/>
      <c r="N50" s="21"/>
    </row>
    <row r="51" spans="1:22" ht="31.5" hidden="1" customHeight="1">
      <c r="A51" s="29"/>
      <c r="B51" s="61" t="s">
        <v>107</v>
      </c>
      <c r="C51" s="62" t="s">
        <v>95</v>
      </c>
      <c r="D51" s="61" t="s">
        <v>40</v>
      </c>
      <c r="E51" s="63">
        <v>614.29999999999995</v>
      </c>
      <c r="F51" s="64">
        <f>SUM(E51*2/1000)</f>
        <v>1.2285999999999999</v>
      </c>
      <c r="G51" s="13">
        <v>1380.31</v>
      </c>
      <c r="H51" s="65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112"/>
      <c r="B52" s="61" t="s">
        <v>108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13">
        <v>3519.56</v>
      </c>
      <c r="H52" s="65">
        <f t="shared" si="3"/>
        <v>1.407824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13">
        <v>6428.82</v>
      </c>
      <c r="H53" s="65">
        <f t="shared" si="3"/>
        <v>0.12857640000000001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13</v>
      </c>
      <c r="B54" s="61" t="s">
        <v>39</v>
      </c>
      <c r="C54" s="62" t="s">
        <v>109</v>
      </c>
      <c r="D54" s="61" t="s">
        <v>67</v>
      </c>
      <c r="E54" s="63">
        <v>170</v>
      </c>
      <c r="F54" s="64">
        <f>SUM(E54)*3</f>
        <v>510</v>
      </c>
      <c r="G54" s="13">
        <v>74.709999999999994</v>
      </c>
      <c r="H54" s="65">
        <f t="shared" si="3"/>
        <v>38.1021</v>
      </c>
      <c r="I54" s="13">
        <f>G54*E54</f>
        <v>12700.699999999999</v>
      </c>
      <c r="J54" s="23"/>
      <c r="L54" s="19"/>
      <c r="M54" s="20"/>
      <c r="N54" s="21"/>
    </row>
    <row r="55" spans="1:22" ht="15.75" customHeight="1">
      <c r="A55" s="148" t="s">
        <v>141</v>
      </c>
      <c r="B55" s="149"/>
      <c r="C55" s="149"/>
      <c r="D55" s="149"/>
      <c r="E55" s="149"/>
      <c r="F55" s="149"/>
      <c r="G55" s="149"/>
      <c r="H55" s="149"/>
      <c r="I55" s="150"/>
      <c r="J55" s="23"/>
      <c r="L55" s="19"/>
      <c r="M55" s="20"/>
      <c r="N55" s="21"/>
    </row>
    <row r="56" spans="1:22" ht="15.75" customHeight="1">
      <c r="A56" s="29"/>
      <c r="B56" s="83" t="s">
        <v>41</v>
      </c>
      <c r="C56" s="62"/>
      <c r="D56" s="61"/>
      <c r="E56" s="63"/>
      <c r="F56" s="64"/>
      <c r="G56" s="64"/>
      <c r="H56" s="65"/>
      <c r="I56" s="13"/>
      <c r="J56" s="23"/>
      <c r="L56" s="19"/>
      <c r="M56" s="20"/>
      <c r="N56" s="21"/>
    </row>
    <row r="57" spans="1:22" ht="31.5" customHeight="1">
      <c r="A57" s="29">
        <v>8</v>
      </c>
      <c r="B57" s="61" t="s">
        <v>110</v>
      </c>
      <c r="C57" s="62" t="s">
        <v>85</v>
      </c>
      <c r="D57" s="61"/>
      <c r="E57" s="63">
        <v>63.07</v>
      </c>
      <c r="F57" s="64">
        <f>SUM(E57*6/100)</f>
        <v>3.7842000000000002</v>
      </c>
      <c r="G57" s="126">
        <v>2306.83</v>
      </c>
      <c r="H57" s="65">
        <f>SUM(F57*G57/1000)</f>
        <v>8.7295060859999989</v>
      </c>
      <c r="I57" s="13">
        <f>G57*0.08</f>
        <v>184.54640000000001</v>
      </c>
      <c r="J57" s="23"/>
      <c r="L57" s="19"/>
    </row>
    <row r="58" spans="1:22" ht="15.75" customHeight="1">
      <c r="A58" s="29"/>
      <c r="B58" s="84" t="s">
        <v>42</v>
      </c>
      <c r="C58" s="71"/>
      <c r="D58" s="72"/>
      <c r="E58" s="73"/>
      <c r="F58" s="74"/>
      <c r="G58" s="13"/>
      <c r="H58" s="75"/>
      <c r="I58" s="13"/>
    </row>
    <row r="59" spans="1:22" ht="15.75" hidden="1" customHeight="1">
      <c r="A59" s="29"/>
      <c r="B59" s="72" t="s">
        <v>130</v>
      </c>
      <c r="C59" s="71" t="s">
        <v>50</v>
      </c>
      <c r="D59" s="72" t="s">
        <v>51</v>
      </c>
      <c r="E59" s="73">
        <v>614.29999999999995</v>
      </c>
      <c r="F59" s="74">
        <v>6.1429999999999998</v>
      </c>
      <c r="G59" s="13">
        <v>902.66</v>
      </c>
      <c r="H59" s="75">
        <f>F59*G59/1000</f>
        <v>5.5450403799999997</v>
      </c>
      <c r="I59" s="13">
        <v>0</v>
      </c>
    </row>
    <row r="60" spans="1:22" ht="15.75" customHeight="1">
      <c r="A60" s="29">
        <v>9</v>
      </c>
      <c r="B60" s="72" t="s">
        <v>82</v>
      </c>
      <c r="C60" s="71" t="s">
        <v>25</v>
      </c>
      <c r="D60" s="72" t="s">
        <v>167</v>
      </c>
      <c r="E60" s="73">
        <v>100</v>
      </c>
      <c r="F60" s="76">
        <f>E60*12</f>
        <v>1200</v>
      </c>
      <c r="G60" s="56">
        <v>1.4</v>
      </c>
      <c r="H60" s="74">
        <f>F60*G60/1000</f>
        <v>1.68</v>
      </c>
      <c r="I60" s="13">
        <f>F60/12*G60</f>
        <v>140</v>
      </c>
    </row>
    <row r="61" spans="1:22" ht="15.75" hidden="1" customHeight="1">
      <c r="A61" s="29"/>
      <c r="B61" s="84" t="s">
        <v>43</v>
      </c>
      <c r="C61" s="71"/>
      <c r="D61" s="72"/>
      <c r="E61" s="73"/>
      <c r="F61" s="76"/>
      <c r="G61" s="76"/>
      <c r="H61" s="74" t="s">
        <v>128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13</v>
      </c>
      <c r="B62" s="14" t="s">
        <v>44</v>
      </c>
      <c r="C62" s="16" t="s">
        <v>109</v>
      </c>
      <c r="D62" s="14" t="s">
        <v>63</v>
      </c>
      <c r="E62" s="18">
        <v>25</v>
      </c>
      <c r="F62" s="64">
        <v>25</v>
      </c>
      <c r="G62" s="13">
        <v>252.96</v>
      </c>
      <c r="H62" s="77">
        <f t="shared" ref="H62:H79" si="4">SUM(F62*G62/1000)</f>
        <v>6.3239999999999998</v>
      </c>
      <c r="I62" s="13">
        <f>G62*1</f>
        <v>252.96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45</v>
      </c>
      <c r="C63" s="16" t="s">
        <v>109</v>
      </c>
      <c r="D63" s="14" t="s">
        <v>63</v>
      </c>
      <c r="E63" s="18">
        <v>2</v>
      </c>
      <c r="F63" s="64">
        <v>2</v>
      </c>
      <c r="G63" s="13">
        <v>86.74</v>
      </c>
      <c r="H63" s="77">
        <f t="shared" si="4"/>
        <v>0.17348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46</v>
      </c>
      <c r="C64" s="16" t="s">
        <v>112</v>
      </c>
      <c r="D64" s="14" t="s">
        <v>51</v>
      </c>
      <c r="E64" s="63">
        <v>8692</v>
      </c>
      <c r="F64" s="13">
        <f>SUM(E64/100)</f>
        <v>86.92</v>
      </c>
      <c r="G64" s="13">
        <v>241.31</v>
      </c>
      <c r="H64" s="77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46"/>
      <c r="S64" s="146"/>
      <c r="T64" s="146"/>
      <c r="U64" s="146"/>
    </row>
    <row r="65" spans="1:21" ht="15.75" hidden="1" customHeight="1">
      <c r="A65" s="29"/>
      <c r="B65" s="14" t="s">
        <v>47</v>
      </c>
      <c r="C65" s="16" t="s">
        <v>113</v>
      </c>
      <c r="D65" s="14"/>
      <c r="E65" s="63">
        <v>8692</v>
      </c>
      <c r="F65" s="13">
        <f>SUM(E65/1000)</f>
        <v>8.6920000000000002</v>
      </c>
      <c r="G65" s="13">
        <v>187.91</v>
      </c>
      <c r="H65" s="77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112"/>
      <c r="B66" s="14" t="s">
        <v>48</v>
      </c>
      <c r="C66" s="16" t="s">
        <v>73</v>
      </c>
      <c r="D66" s="14" t="s">
        <v>51</v>
      </c>
      <c r="E66" s="63">
        <v>855</v>
      </c>
      <c r="F66" s="13">
        <f>SUM(E66/100)</f>
        <v>8.5500000000000007</v>
      </c>
      <c r="G66" s="13">
        <v>2359.7199999999998</v>
      </c>
      <c r="H66" s="77">
        <f t="shared" si="4"/>
        <v>20.175605999999998</v>
      </c>
      <c r="I66" s="13">
        <v>0</v>
      </c>
    </row>
    <row r="67" spans="1:21" ht="15.75" hidden="1" customHeight="1">
      <c r="A67" s="29"/>
      <c r="B67" s="78" t="s">
        <v>114</v>
      </c>
      <c r="C67" s="16" t="s">
        <v>32</v>
      </c>
      <c r="D67" s="14"/>
      <c r="E67" s="63">
        <v>8.6</v>
      </c>
      <c r="F67" s="13">
        <f>SUM(E67)</f>
        <v>8.6</v>
      </c>
      <c r="G67" s="13">
        <v>42.67</v>
      </c>
      <c r="H67" s="77">
        <f t="shared" si="4"/>
        <v>0.36696200000000001</v>
      </c>
      <c r="I67" s="13">
        <v>0</v>
      </c>
    </row>
    <row r="68" spans="1:21" ht="15.75" hidden="1" customHeight="1">
      <c r="A68" s="29"/>
      <c r="B68" s="78" t="s">
        <v>115</v>
      </c>
      <c r="C68" s="16" t="s">
        <v>32</v>
      </c>
      <c r="D68" s="14"/>
      <c r="E68" s="63">
        <v>8.6</v>
      </c>
      <c r="F68" s="13">
        <f>SUM(E68)</f>
        <v>8.6</v>
      </c>
      <c r="G68" s="13">
        <v>39.81</v>
      </c>
      <c r="H68" s="77">
        <f t="shared" si="4"/>
        <v>0.342366</v>
      </c>
      <c r="I68" s="13">
        <v>0</v>
      </c>
    </row>
    <row r="69" spans="1:21" ht="15.75" hidden="1" customHeight="1">
      <c r="A69" s="29"/>
      <c r="B69" s="14" t="s">
        <v>54</v>
      </c>
      <c r="C69" s="16" t="s">
        <v>55</v>
      </c>
      <c r="D69" s="14" t="s">
        <v>51</v>
      </c>
      <c r="E69" s="18">
        <v>5</v>
      </c>
      <c r="F69" s="64">
        <v>5</v>
      </c>
      <c r="G69" s="13">
        <v>56.74</v>
      </c>
      <c r="H69" s="77">
        <f t="shared" si="4"/>
        <v>0.28370000000000001</v>
      </c>
      <c r="I69" s="13">
        <v>0</v>
      </c>
    </row>
    <row r="70" spans="1:21" ht="15.75" customHeight="1">
      <c r="A70" s="29"/>
      <c r="B70" s="121" t="s">
        <v>188</v>
      </c>
      <c r="C70" s="110"/>
      <c r="D70" s="35"/>
      <c r="E70" s="17"/>
      <c r="F70" s="101"/>
      <c r="G70" s="34"/>
      <c r="H70" s="77"/>
      <c r="I70" s="13"/>
    </row>
    <row r="71" spans="1:21" ht="29.25" customHeight="1">
      <c r="A71" s="29">
        <v>10</v>
      </c>
      <c r="B71" s="122" t="s">
        <v>189</v>
      </c>
      <c r="C71" s="104" t="s">
        <v>190</v>
      </c>
      <c r="D71" s="35"/>
      <c r="E71" s="17">
        <v>2177.1</v>
      </c>
      <c r="F71" s="34">
        <f>E71*12</f>
        <v>26125.199999999997</v>
      </c>
      <c r="G71" s="34">
        <v>2.6</v>
      </c>
      <c r="H71" s="77"/>
      <c r="I71" s="13">
        <f>G71*F71/12</f>
        <v>5660.4599999999991</v>
      </c>
    </row>
    <row r="72" spans="1:21" ht="15.75" customHeight="1">
      <c r="A72" s="29"/>
      <c r="B72" s="85" t="s">
        <v>68</v>
      </c>
      <c r="C72" s="16"/>
      <c r="D72" s="14"/>
      <c r="E72" s="18"/>
      <c r="F72" s="13"/>
      <c r="G72" s="13"/>
      <c r="H72" s="77" t="s">
        <v>128</v>
      </c>
      <c r="I72" s="13"/>
    </row>
    <row r="73" spans="1:21" ht="15.75" hidden="1" customHeight="1">
      <c r="A73" s="29"/>
      <c r="B73" s="14" t="s">
        <v>121</v>
      </c>
      <c r="C73" s="16" t="s">
        <v>122</v>
      </c>
      <c r="D73" s="14"/>
      <c r="E73" s="18">
        <v>4</v>
      </c>
      <c r="F73" s="13">
        <f>E73</f>
        <v>4</v>
      </c>
      <c r="G73" s="13">
        <v>113.57</v>
      </c>
      <c r="H73" s="77">
        <f t="shared" si="4"/>
        <v>0.45427999999999996</v>
      </c>
      <c r="I73" s="13">
        <v>0</v>
      </c>
    </row>
    <row r="74" spans="1:21" ht="15.75" customHeight="1">
      <c r="A74" s="29">
        <v>11</v>
      </c>
      <c r="B74" s="14" t="s">
        <v>69</v>
      </c>
      <c r="C74" s="16" t="s">
        <v>71</v>
      </c>
      <c r="D74" s="14" t="s">
        <v>306</v>
      </c>
      <c r="E74" s="18">
        <v>20</v>
      </c>
      <c r="F74" s="13">
        <v>2</v>
      </c>
      <c r="G74" s="34">
        <v>747.85</v>
      </c>
      <c r="H74" s="77">
        <f t="shared" si="4"/>
        <v>1.4957</v>
      </c>
      <c r="I74" s="13">
        <f>G74*1.4</f>
        <v>1046.99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56">
        <v>2</v>
      </c>
      <c r="G75" s="13">
        <v>970.21</v>
      </c>
      <c r="H75" s="77">
        <f>F75*G75/1000</f>
        <v>1.94042</v>
      </c>
      <c r="I75" s="13">
        <v>0</v>
      </c>
    </row>
    <row r="76" spans="1:21" ht="15.75" hidden="1" customHeight="1">
      <c r="A76" s="29"/>
      <c r="B76" s="14" t="s">
        <v>80</v>
      </c>
      <c r="C76" s="16" t="s">
        <v>30</v>
      </c>
      <c r="D76" s="14"/>
      <c r="E76" s="18">
        <v>2</v>
      </c>
      <c r="F76" s="13">
        <v>2</v>
      </c>
      <c r="G76" s="13">
        <v>407.79</v>
      </c>
      <c r="H76" s="77">
        <f>G76*F76/1000</f>
        <v>0.81558000000000008</v>
      </c>
      <c r="I76" s="13">
        <v>0</v>
      </c>
    </row>
    <row r="77" spans="1:21" ht="30.75" customHeight="1">
      <c r="A77" s="29">
        <v>12</v>
      </c>
      <c r="B77" s="35" t="s">
        <v>187</v>
      </c>
      <c r="C77" s="110" t="s">
        <v>30</v>
      </c>
      <c r="D77" s="35" t="s">
        <v>166</v>
      </c>
      <c r="E77" s="17">
        <v>1</v>
      </c>
      <c r="F77" s="34">
        <v>1</v>
      </c>
      <c r="G77" s="34">
        <v>425</v>
      </c>
      <c r="H77" s="77"/>
      <c r="I77" s="13">
        <f>G77*1</f>
        <v>425</v>
      </c>
    </row>
    <row r="78" spans="1:21" ht="15.75" hidden="1" customHeight="1">
      <c r="A78" s="29"/>
      <c r="B78" s="80" t="s">
        <v>72</v>
      </c>
      <c r="C78" s="16"/>
      <c r="D78" s="14"/>
      <c r="E78" s="18"/>
      <c r="F78" s="13"/>
      <c r="G78" s="13" t="s">
        <v>128</v>
      </c>
      <c r="H78" s="77" t="s">
        <v>128</v>
      </c>
      <c r="I78" s="13"/>
    </row>
    <row r="79" spans="1:21" ht="15.75" hidden="1" customHeight="1">
      <c r="A79" s="29"/>
      <c r="B79" s="43" t="s">
        <v>118</v>
      </c>
      <c r="C79" s="16" t="s">
        <v>73</v>
      </c>
      <c r="D79" s="14"/>
      <c r="E79" s="18"/>
      <c r="F79" s="13">
        <v>1</v>
      </c>
      <c r="G79" s="13">
        <v>3138.63</v>
      </c>
      <c r="H79" s="77">
        <f t="shared" si="4"/>
        <v>3.13863</v>
      </c>
      <c r="I79" s="13">
        <v>0</v>
      </c>
    </row>
    <row r="80" spans="1:21" ht="15.75" hidden="1" customHeight="1">
      <c r="A80" s="29"/>
      <c r="B80" s="113" t="s">
        <v>116</v>
      </c>
      <c r="C80" s="80"/>
      <c r="D80" s="31"/>
      <c r="E80" s="32"/>
      <c r="F80" s="67"/>
      <c r="G80" s="67"/>
      <c r="H80" s="81">
        <f>SUM(H57:H79)</f>
        <v>74.073249385999986</v>
      </c>
      <c r="I80" s="67"/>
    </row>
    <row r="81" spans="1:9" ht="15.75" hidden="1" customHeight="1">
      <c r="A81" s="112"/>
      <c r="B81" s="61" t="s">
        <v>117</v>
      </c>
      <c r="C81" s="16"/>
      <c r="D81" s="14"/>
      <c r="E81" s="57"/>
      <c r="F81" s="13">
        <v>1</v>
      </c>
      <c r="G81" s="13">
        <v>19285</v>
      </c>
      <c r="H81" s="77">
        <f>G81*F81/1000</f>
        <v>19.285</v>
      </c>
      <c r="I81" s="13">
        <v>0</v>
      </c>
    </row>
    <row r="82" spans="1:9" ht="15.75" customHeight="1">
      <c r="A82" s="148" t="s">
        <v>142</v>
      </c>
      <c r="B82" s="149"/>
      <c r="C82" s="149"/>
      <c r="D82" s="149"/>
      <c r="E82" s="149"/>
      <c r="F82" s="149"/>
      <c r="G82" s="149"/>
      <c r="H82" s="149"/>
      <c r="I82" s="150"/>
    </row>
    <row r="83" spans="1:9" ht="15.75" customHeight="1">
      <c r="A83" s="29">
        <v>13</v>
      </c>
      <c r="B83" s="105" t="s">
        <v>119</v>
      </c>
      <c r="C83" s="110" t="s">
        <v>52</v>
      </c>
      <c r="D83" s="124"/>
      <c r="E83" s="34">
        <v>2177.1</v>
      </c>
      <c r="F83" s="34">
        <f>SUM(E83*12)</f>
        <v>26125.199999999997</v>
      </c>
      <c r="G83" s="34">
        <v>3.5</v>
      </c>
      <c r="H83" s="77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14</v>
      </c>
      <c r="B84" s="35" t="s">
        <v>191</v>
      </c>
      <c r="C84" s="110" t="s">
        <v>52</v>
      </c>
      <c r="D84" s="47"/>
      <c r="E84" s="99">
        <f>E83</f>
        <v>2177.1</v>
      </c>
      <c r="F84" s="34">
        <f>E84*12</f>
        <v>26125.199999999997</v>
      </c>
      <c r="G84" s="34">
        <v>3.24</v>
      </c>
      <c r="H84" s="77">
        <f>F84*G84/1000</f>
        <v>84.645647999999994</v>
      </c>
      <c r="I84" s="13">
        <f>F84/12*G84</f>
        <v>7053.8040000000001</v>
      </c>
    </row>
    <row r="85" spans="1:9" ht="31.5" hidden="1" customHeight="1">
      <c r="A85" s="29">
        <v>15</v>
      </c>
      <c r="B85" s="35" t="s">
        <v>192</v>
      </c>
      <c r="C85" s="110" t="s">
        <v>52</v>
      </c>
      <c r="D85" s="47"/>
      <c r="E85" s="17">
        <v>2177.1</v>
      </c>
      <c r="F85" s="34">
        <f>E85*1</f>
        <v>2177.1</v>
      </c>
      <c r="G85" s="34">
        <v>3.24</v>
      </c>
      <c r="H85" s="77"/>
      <c r="I85" s="13">
        <f>G85*F85/1</f>
        <v>7053.8040000000001</v>
      </c>
    </row>
    <row r="86" spans="1:9" ht="15.75" customHeight="1">
      <c r="A86" s="29"/>
      <c r="B86" s="36" t="s">
        <v>75</v>
      </c>
      <c r="C86" s="80"/>
      <c r="D86" s="79"/>
      <c r="E86" s="67"/>
      <c r="F86" s="67"/>
      <c r="G86" s="67"/>
      <c r="H86" s="81">
        <f>H84</f>
        <v>84.645647999999994</v>
      </c>
      <c r="I86" s="67">
        <f>I84+I83+I77+I74+I71+I60+I57+I44+I41+I40+I38+I18+I17+I16</f>
        <v>39096.935824649998</v>
      </c>
    </row>
    <row r="87" spans="1:9" ht="15.75" customHeight="1">
      <c r="A87" s="151" t="s">
        <v>57</v>
      </c>
      <c r="B87" s="152"/>
      <c r="C87" s="152"/>
      <c r="D87" s="152"/>
      <c r="E87" s="152"/>
      <c r="F87" s="152"/>
      <c r="G87" s="152"/>
      <c r="H87" s="152"/>
      <c r="I87" s="153"/>
    </row>
    <row r="88" spans="1:9" ht="28.5" customHeight="1">
      <c r="A88" s="29">
        <v>15</v>
      </c>
      <c r="B88" s="95" t="s">
        <v>230</v>
      </c>
      <c r="C88" s="48" t="s">
        <v>29</v>
      </c>
      <c r="D88" s="47"/>
      <c r="E88" s="34"/>
      <c r="F88" s="34">
        <f>0.72+0.72+0.72+0.72+0.72+0.72</f>
        <v>4.3199999999999994</v>
      </c>
      <c r="G88" s="34">
        <v>241.69</v>
      </c>
      <c r="H88" s="34"/>
      <c r="I88" s="82">
        <f>G88*0.72</f>
        <v>174.01679999999999</v>
      </c>
    </row>
    <row r="89" spans="1:9" ht="14.25" customHeight="1">
      <c r="A89" s="29">
        <v>16</v>
      </c>
      <c r="B89" s="95" t="s">
        <v>155</v>
      </c>
      <c r="C89" s="48" t="s">
        <v>38</v>
      </c>
      <c r="D89" s="47" t="s">
        <v>166</v>
      </c>
      <c r="E89" s="34"/>
      <c r="F89" s="34">
        <v>0.06</v>
      </c>
      <c r="G89" s="34">
        <v>28224.75</v>
      </c>
      <c r="H89" s="87"/>
      <c r="I89" s="82">
        <v>0</v>
      </c>
    </row>
    <row r="90" spans="1:9" ht="36.75" customHeight="1">
      <c r="A90" s="29">
        <v>17</v>
      </c>
      <c r="B90" s="103" t="s">
        <v>300</v>
      </c>
      <c r="C90" s="104" t="s">
        <v>87</v>
      </c>
      <c r="D90" s="35" t="s">
        <v>308</v>
      </c>
      <c r="E90" s="34"/>
      <c r="F90" s="34">
        <v>7.2999999999999995E-2</v>
      </c>
      <c r="G90" s="34">
        <v>3880.23</v>
      </c>
      <c r="H90" s="87"/>
      <c r="I90" s="82">
        <f>G90*0.072</f>
        <v>279.37655999999998</v>
      </c>
    </row>
    <row r="91" spans="1:9" ht="33.75" customHeight="1">
      <c r="A91" s="29">
        <v>18</v>
      </c>
      <c r="B91" s="135" t="s">
        <v>301</v>
      </c>
      <c r="C91" s="136" t="s">
        <v>71</v>
      </c>
      <c r="D91" s="35" t="s">
        <v>308</v>
      </c>
      <c r="E91" s="34"/>
      <c r="F91" s="34">
        <v>0.2</v>
      </c>
      <c r="G91" s="34">
        <v>4735.07</v>
      </c>
      <c r="H91" s="87"/>
      <c r="I91" s="82">
        <f>G91*0.2</f>
        <v>947.01400000000001</v>
      </c>
    </row>
    <row r="92" spans="1:9" ht="33.75" customHeight="1">
      <c r="A92" s="29">
        <v>19</v>
      </c>
      <c r="B92" s="135" t="s">
        <v>302</v>
      </c>
      <c r="C92" s="48" t="s">
        <v>109</v>
      </c>
      <c r="D92" s="35" t="s">
        <v>308</v>
      </c>
      <c r="E92" s="34"/>
      <c r="F92" s="34">
        <v>1</v>
      </c>
      <c r="G92" s="34">
        <v>224.24</v>
      </c>
      <c r="H92" s="87"/>
      <c r="I92" s="82">
        <f>G92*1</f>
        <v>224.24</v>
      </c>
    </row>
    <row r="93" spans="1:9" ht="16.5" customHeight="1">
      <c r="A93" s="29">
        <v>20</v>
      </c>
      <c r="B93" s="95" t="s">
        <v>303</v>
      </c>
      <c r="C93" s="136" t="s">
        <v>304</v>
      </c>
      <c r="D93" s="47" t="s">
        <v>307</v>
      </c>
      <c r="E93" s="34"/>
      <c r="F93" s="34">
        <v>1</v>
      </c>
      <c r="G93" s="34">
        <v>182.26</v>
      </c>
      <c r="H93" s="87"/>
      <c r="I93" s="82">
        <f>G93*1</f>
        <v>182.26</v>
      </c>
    </row>
    <row r="94" spans="1:9" ht="15.75" customHeight="1">
      <c r="A94" s="29">
        <v>21</v>
      </c>
      <c r="B94" s="95" t="s">
        <v>287</v>
      </c>
      <c r="C94" s="48" t="s">
        <v>29</v>
      </c>
      <c r="D94" s="47" t="s">
        <v>161</v>
      </c>
      <c r="E94" s="34"/>
      <c r="F94" s="34">
        <v>0.6</v>
      </c>
      <c r="G94" s="34">
        <v>1352.12</v>
      </c>
      <c r="H94" s="87"/>
      <c r="I94" s="82">
        <v>0</v>
      </c>
    </row>
    <row r="95" spans="1:9" ht="15.75" customHeight="1">
      <c r="A95" s="29">
        <v>22</v>
      </c>
      <c r="B95" s="95" t="s">
        <v>305</v>
      </c>
      <c r="C95" s="48" t="s">
        <v>109</v>
      </c>
      <c r="D95" s="47"/>
      <c r="E95" s="34"/>
      <c r="F95" s="34">
        <v>9</v>
      </c>
      <c r="G95" s="34">
        <v>224.48</v>
      </c>
      <c r="H95" s="87"/>
      <c r="I95" s="82">
        <f>G95*1</f>
        <v>224.48</v>
      </c>
    </row>
    <row r="96" spans="1:9" ht="15.75" customHeight="1">
      <c r="A96" s="29"/>
      <c r="B96" s="41" t="s">
        <v>49</v>
      </c>
      <c r="C96" s="37"/>
      <c r="D96" s="45"/>
      <c r="E96" s="37">
        <v>1</v>
      </c>
      <c r="F96" s="37"/>
      <c r="G96" s="37"/>
      <c r="H96" s="37"/>
      <c r="I96" s="32">
        <f>SUM(I88:I95)</f>
        <v>2031.3873599999999</v>
      </c>
    </row>
    <row r="97" spans="1:9" ht="15.75" customHeight="1">
      <c r="A97" s="29"/>
      <c r="B97" s="43" t="s">
        <v>74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6"/>
      <c r="B98" s="42" t="s">
        <v>147</v>
      </c>
      <c r="C98" s="33"/>
      <c r="D98" s="33"/>
      <c r="E98" s="33"/>
      <c r="F98" s="33"/>
      <c r="G98" s="33"/>
      <c r="H98" s="33"/>
      <c r="I98" s="40">
        <f>I86+I96</f>
        <v>41128.323184649998</v>
      </c>
    </row>
    <row r="99" spans="1:9" ht="15.75">
      <c r="A99" s="147" t="s">
        <v>309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55"/>
      <c r="B100" s="159" t="s">
        <v>310</v>
      </c>
      <c r="C100" s="159"/>
      <c r="D100" s="159"/>
      <c r="E100" s="159"/>
      <c r="F100" s="159"/>
      <c r="G100" s="159"/>
      <c r="H100" s="60"/>
      <c r="I100" s="3"/>
    </row>
    <row r="101" spans="1:9">
      <c r="A101" s="92"/>
      <c r="B101" s="156" t="s">
        <v>6</v>
      </c>
      <c r="C101" s="156"/>
      <c r="D101" s="156"/>
      <c r="E101" s="156"/>
      <c r="F101" s="156"/>
      <c r="G101" s="156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60" t="s">
        <v>7</v>
      </c>
      <c r="B103" s="160"/>
      <c r="C103" s="160"/>
      <c r="D103" s="160"/>
      <c r="E103" s="160"/>
      <c r="F103" s="160"/>
      <c r="G103" s="160"/>
      <c r="H103" s="160"/>
      <c r="I103" s="160"/>
    </row>
    <row r="104" spans="1:9" ht="15.75">
      <c r="A104" s="160" t="s">
        <v>8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143" t="s">
        <v>58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11"/>
    </row>
    <row r="107" spans="1:9" ht="15.75">
      <c r="A107" s="144" t="s">
        <v>9</v>
      </c>
      <c r="B107" s="144"/>
      <c r="C107" s="144"/>
      <c r="D107" s="144"/>
      <c r="E107" s="144"/>
      <c r="F107" s="144"/>
      <c r="G107" s="144"/>
      <c r="H107" s="144"/>
      <c r="I107" s="144"/>
    </row>
    <row r="108" spans="1:9" ht="15.75">
      <c r="A108" s="4"/>
    </row>
    <row r="109" spans="1:9" ht="15.75">
      <c r="B109" s="90" t="s">
        <v>10</v>
      </c>
      <c r="C109" s="155" t="s">
        <v>183</v>
      </c>
      <c r="D109" s="155"/>
      <c r="E109" s="155"/>
      <c r="F109" s="58"/>
      <c r="I109" s="94"/>
    </row>
    <row r="110" spans="1:9">
      <c r="A110" s="92"/>
      <c r="C110" s="156" t="s">
        <v>11</v>
      </c>
      <c r="D110" s="156"/>
      <c r="E110" s="156"/>
      <c r="F110" s="24"/>
      <c r="I110" s="93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90" t="s">
        <v>13</v>
      </c>
      <c r="C112" s="157"/>
      <c r="D112" s="157"/>
      <c r="E112" s="157"/>
      <c r="F112" s="59"/>
      <c r="I112" s="94"/>
    </row>
    <row r="113" spans="1:9">
      <c r="A113" s="92"/>
      <c r="C113" s="146" t="s">
        <v>11</v>
      </c>
      <c r="D113" s="146"/>
      <c r="E113" s="146"/>
      <c r="F113" s="92"/>
      <c r="I113" s="93" t="s">
        <v>12</v>
      </c>
    </row>
    <row r="114" spans="1:9" ht="15.75">
      <c r="A114" s="4" t="s">
        <v>14</v>
      </c>
    </row>
    <row r="115" spans="1:9">
      <c r="A115" s="158" t="s">
        <v>15</v>
      </c>
      <c r="B115" s="158"/>
      <c r="C115" s="158"/>
      <c r="D115" s="158"/>
      <c r="E115" s="158"/>
      <c r="F115" s="158"/>
      <c r="G115" s="158"/>
      <c r="H115" s="158"/>
      <c r="I115" s="158"/>
    </row>
    <row r="116" spans="1:9" ht="47.25" customHeight="1">
      <c r="A116" s="154" t="s">
        <v>16</v>
      </c>
      <c r="B116" s="154"/>
      <c r="C116" s="154"/>
      <c r="D116" s="154"/>
      <c r="E116" s="154"/>
      <c r="F116" s="154"/>
      <c r="G116" s="154"/>
      <c r="H116" s="154"/>
      <c r="I116" s="154"/>
    </row>
    <row r="117" spans="1:9" ht="31.5" customHeight="1">
      <c r="A117" s="154" t="s">
        <v>17</v>
      </c>
      <c r="B117" s="154"/>
      <c r="C117" s="154"/>
      <c r="D117" s="154"/>
      <c r="E117" s="154"/>
      <c r="F117" s="154"/>
      <c r="G117" s="154"/>
      <c r="H117" s="154"/>
      <c r="I117" s="154"/>
    </row>
    <row r="118" spans="1:9" ht="31.5" customHeight="1">
      <c r="A118" s="154" t="s">
        <v>21</v>
      </c>
      <c r="B118" s="154"/>
      <c r="C118" s="154"/>
      <c r="D118" s="154"/>
      <c r="E118" s="154"/>
      <c r="F118" s="154"/>
      <c r="G118" s="154"/>
      <c r="H118" s="154"/>
      <c r="I118" s="154"/>
    </row>
    <row r="119" spans="1:9" ht="15.75" customHeight="1">
      <c r="A119" s="154" t="s">
        <v>20</v>
      </c>
      <c r="B119" s="154"/>
      <c r="C119" s="154"/>
      <c r="D119" s="154"/>
      <c r="E119" s="154"/>
      <c r="F119" s="154"/>
      <c r="G119" s="154"/>
      <c r="H119" s="154"/>
      <c r="I119" s="154"/>
    </row>
  </sheetData>
  <autoFilter ref="I12:I59"/>
  <mergeCells count="29">
    <mergeCell ref="A14:I14"/>
    <mergeCell ref="A15:I15"/>
    <mergeCell ref="A27:I27"/>
    <mergeCell ref="A45:I45"/>
    <mergeCell ref="A55:I55"/>
    <mergeCell ref="A3:I3"/>
    <mergeCell ref="A4:I4"/>
    <mergeCell ref="A5:I5"/>
    <mergeCell ref="A8:I8"/>
    <mergeCell ref="A10:I10"/>
    <mergeCell ref="R64:U64"/>
    <mergeCell ref="C113:E113"/>
    <mergeCell ref="A87:I87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2:I82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4"/>
  <sheetViews>
    <sheetView tabSelected="1" view="pageBreakPreview" topLeftCell="A88" zoomScale="60" zoomScaleNormal="100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154</v>
      </c>
      <c r="I1" s="26"/>
      <c r="J1" s="1"/>
      <c r="K1" s="1"/>
      <c r="L1" s="1"/>
      <c r="M1" s="1"/>
    </row>
    <row r="2" spans="1:13" ht="15.75">
      <c r="A2" s="28" t="s">
        <v>59</v>
      </c>
      <c r="J2" s="2"/>
      <c r="K2" s="2"/>
      <c r="L2" s="2"/>
      <c r="M2" s="2"/>
    </row>
    <row r="3" spans="1:13" ht="15.75" customHeight="1">
      <c r="A3" s="138" t="s">
        <v>150</v>
      </c>
      <c r="B3" s="138"/>
      <c r="C3" s="138"/>
      <c r="D3" s="138"/>
      <c r="E3" s="138"/>
      <c r="F3" s="138"/>
      <c r="G3" s="138"/>
      <c r="H3" s="138"/>
      <c r="I3" s="138"/>
      <c r="J3" s="3"/>
      <c r="K3" s="3"/>
      <c r="L3" s="3"/>
    </row>
    <row r="4" spans="1:13" ht="31.5" customHeight="1">
      <c r="A4" s="139" t="s">
        <v>120</v>
      </c>
      <c r="B4" s="139"/>
      <c r="C4" s="139"/>
      <c r="D4" s="139"/>
      <c r="E4" s="139"/>
      <c r="F4" s="139"/>
      <c r="G4" s="139"/>
      <c r="H4" s="139"/>
      <c r="I4" s="139"/>
    </row>
    <row r="5" spans="1:13" ht="15.75">
      <c r="A5" s="138" t="s">
        <v>311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0">
        <v>44561</v>
      </c>
      <c r="J6" s="2"/>
      <c r="K6" s="2"/>
      <c r="L6" s="2"/>
      <c r="M6" s="2"/>
    </row>
    <row r="7" spans="1:13" ht="15.75">
      <c r="B7" s="90"/>
      <c r="C7" s="90"/>
      <c r="D7" s="9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41" t="s">
        <v>199</v>
      </c>
      <c r="B8" s="141"/>
      <c r="C8" s="141"/>
      <c r="D8" s="141"/>
      <c r="E8" s="141"/>
      <c r="F8" s="141"/>
      <c r="G8" s="141"/>
      <c r="H8" s="141"/>
      <c r="I8" s="14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42" t="s">
        <v>151</v>
      </c>
      <c r="B10" s="142"/>
      <c r="C10" s="142"/>
      <c r="D10" s="142"/>
      <c r="E10" s="142"/>
      <c r="F10" s="142"/>
      <c r="G10" s="142"/>
      <c r="H10" s="142"/>
      <c r="I10" s="142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37" t="s">
        <v>56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>
      <c r="A15" s="145" t="s">
        <v>4</v>
      </c>
      <c r="B15" s="145"/>
      <c r="C15" s="145"/>
      <c r="D15" s="145"/>
      <c r="E15" s="145"/>
      <c r="F15" s="145"/>
      <c r="G15" s="145"/>
      <c r="H15" s="145"/>
      <c r="I15" s="145"/>
      <c r="J15" s="8"/>
      <c r="K15" s="8"/>
      <c r="L15" s="8"/>
      <c r="M15" s="8"/>
    </row>
    <row r="16" spans="1:13" ht="15.75" customHeight="1">
      <c r="A16" s="29">
        <v>1</v>
      </c>
      <c r="B16" s="105" t="s">
        <v>79</v>
      </c>
      <c r="C16" s="106" t="s">
        <v>85</v>
      </c>
      <c r="D16" s="105" t="s">
        <v>159</v>
      </c>
      <c r="E16" s="115">
        <v>90.18</v>
      </c>
      <c r="F16" s="108">
        <f>SUM(E16*156/100)</f>
        <v>140.6808</v>
      </c>
      <c r="G16" s="108">
        <v>261.45</v>
      </c>
      <c r="H16" s="65">
        <f t="shared" ref="H16:H24" si="0">SUM(F16*G16/1000)</f>
        <v>36.780995159999996</v>
      </c>
      <c r="I16" s="13">
        <f>F16/12*G16</f>
        <v>3065.08293</v>
      </c>
      <c r="J16" s="8"/>
      <c r="K16" s="8"/>
      <c r="L16" s="8"/>
      <c r="M16" s="8"/>
    </row>
    <row r="17" spans="1:13" ht="15.75" customHeight="1">
      <c r="A17" s="29">
        <v>2</v>
      </c>
      <c r="B17" s="105" t="s">
        <v>84</v>
      </c>
      <c r="C17" s="106" t="s">
        <v>85</v>
      </c>
      <c r="D17" s="105" t="s">
        <v>160</v>
      </c>
      <c r="E17" s="115">
        <v>360.72</v>
      </c>
      <c r="F17" s="108">
        <f>SUM(E17*104/100)</f>
        <v>375.14880000000005</v>
      </c>
      <c r="G17" s="108">
        <v>261.45</v>
      </c>
      <c r="H17" s="65">
        <f t="shared" si="0"/>
        <v>98.082653760000014</v>
      </c>
      <c r="I17" s="13">
        <f>F17/12*G17</f>
        <v>8173.5544800000007</v>
      </c>
      <c r="J17" s="22"/>
      <c r="K17" s="8"/>
      <c r="L17" s="8"/>
      <c r="M17" s="8"/>
    </row>
    <row r="18" spans="1:13" ht="15.75" customHeight="1">
      <c r="A18" s="29">
        <v>3</v>
      </c>
      <c r="B18" s="105" t="s">
        <v>185</v>
      </c>
      <c r="C18" s="106" t="s">
        <v>85</v>
      </c>
      <c r="D18" s="105" t="s">
        <v>166</v>
      </c>
      <c r="E18" s="115">
        <f>SUM(E16+E17)</f>
        <v>450.90000000000003</v>
      </c>
      <c r="F18" s="108">
        <f>SUM(E18*18/100)</f>
        <v>81.162000000000006</v>
      </c>
      <c r="G18" s="108">
        <v>752.16</v>
      </c>
      <c r="H18" s="65">
        <f t="shared" si="0"/>
        <v>61.046809920000001</v>
      </c>
      <c r="I18" s="13">
        <f>G18*F18/18*1</f>
        <v>3391.4894399999998</v>
      </c>
      <c r="J18" s="22"/>
      <c r="K18" s="8"/>
      <c r="L18" s="8"/>
      <c r="M18" s="8"/>
    </row>
    <row r="19" spans="1:13" ht="15.75" hidden="1" customHeight="1">
      <c r="A19" s="29">
        <v>4</v>
      </c>
      <c r="B19" s="61" t="s">
        <v>86</v>
      </c>
      <c r="C19" s="62" t="s">
        <v>87</v>
      </c>
      <c r="D19" s="61" t="s">
        <v>88</v>
      </c>
      <c r="E19" s="63">
        <v>14.4</v>
      </c>
      <c r="F19" s="64">
        <f>SUM(E19/10)</f>
        <v>1.44</v>
      </c>
      <c r="G19" s="64">
        <v>193.55</v>
      </c>
      <c r="H19" s="65">
        <f t="shared" si="0"/>
        <v>0.27871200000000002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5</v>
      </c>
      <c r="B20" s="61" t="s">
        <v>89</v>
      </c>
      <c r="C20" s="62" t="s">
        <v>85</v>
      </c>
      <c r="D20" s="61" t="s">
        <v>40</v>
      </c>
      <c r="E20" s="63">
        <v>14.64</v>
      </c>
      <c r="F20" s="64">
        <f>SUM(E20*2/100)</f>
        <v>0.2928</v>
      </c>
      <c r="G20" s="64">
        <v>247.82</v>
      </c>
      <c r="H20" s="65">
        <f t="shared" si="0"/>
        <v>7.2561695999999995E-2</v>
      </c>
      <c r="I20" s="13">
        <v>0</v>
      </c>
      <c r="J20" s="22"/>
      <c r="K20" s="8"/>
      <c r="L20" s="8"/>
      <c r="M20" s="8"/>
    </row>
    <row r="21" spans="1:13" ht="15.75" hidden="1" customHeight="1">
      <c r="A21" s="29">
        <v>6</v>
      </c>
      <c r="B21" s="61" t="s">
        <v>90</v>
      </c>
      <c r="C21" s="62" t="s">
        <v>85</v>
      </c>
      <c r="D21" s="61" t="s">
        <v>40</v>
      </c>
      <c r="E21" s="63">
        <v>10.08</v>
      </c>
      <c r="F21" s="64">
        <f>SUM(E21*2/100)</f>
        <v>0.2016</v>
      </c>
      <c r="G21" s="64">
        <v>245.81</v>
      </c>
      <c r="H21" s="65">
        <f t="shared" si="0"/>
        <v>4.9555295999999999E-2</v>
      </c>
      <c r="I21" s="13">
        <v>0</v>
      </c>
      <c r="J21" s="22"/>
      <c r="K21" s="8"/>
      <c r="L21" s="8"/>
      <c r="M21" s="8"/>
    </row>
    <row r="22" spans="1:13" ht="15.75" hidden="1" customHeight="1">
      <c r="A22" s="29">
        <v>7</v>
      </c>
      <c r="B22" s="61" t="s">
        <v>91</v>
      </c>
      <c r="C22" s="62" t="s">
        <v>50</v>
      </c>
      <c r="D22" s="61" t="s">
        <v>88</v>
      </c>
      <c r="E22" s="63">
        <v>212.25</v>
      </c>
      <c r="F22" s="64">
        <f>SUM(E22/100)</f>
        <v>2.1225000000000001</v>
      </c>
      <c r="G22" s="64">
        <v>306.26</v>
      </c>
      <c r="H22" s="65">
        <f t="shared" si="0"/>
        <v>0.65003685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1" t="s">
        <v>92</v>
      </c>
      <c r="C23" s="62" t="s">
        <v>50</v>
      </c>
      <c r="D23" s="61" t="s">
        <v>88</v>
      </c>
      <c r="E23" s="66">
        <v>46.6</v>
      </c>
      <c r="F23" s="64">
        <f>SUM(E23/100)</f>
        <v>0.46600000000000003</v>
      </c>
      <c r="G23" s="64">
        <v>50.37</v>
      </c>
      <c r="H23" s="65">
        <f t="shared" si="0"/>
        <v>2.3472420000000001E-2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1" t="s">
        <v>93</v>
      </c>
      <c r="C24" s="62" t="s">
        <v>50</v>
      </c>
      <c r="D24" s="61" t="s">
        <v>88</v>
      </c>
      <c r="E24" s="63">
        <v>2</v>
      </c>
      <c r="F24" s="64">
        <f>SUM(E24/100)</f>
        <v>0.02</v>
      </c>
      <c r="G24" s="64">
        <v>592.37</v>
      </c>
      <c r="H24" s="65">
        <f t="shared" si="0"/>
        <v>1.1847400000000001E-2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4</v>
      </c>
      <c r="B25" s="105" t="s">
        <v>158</v>
      </c>
      <c r="C25" s="106" t="s">
        <v>25</v>
      </c>
      <c r="D25" s="105" t="s">
        <v>162</v>
      </c>
      <c r="E25" s="107">
        <v>2.71</v>
      </c>
      <c r="F25" s="108">
        <f>E25*258</f>
        <v>699.18</v>
      </c>
      <c r="G25" s="108">
        <v>10.81</v>
      </c>
      <c r="H25" s="65">
        <f>SUM(F25*G25/1000)</f>
        <v>7.5581357999999996</v>
      </c>
      <c r="I25" s="13">
        <f>G25*F25/12</f>
        <v>629.84465</v>
      </c>
      <c r="J25" s="22"/>
      <c r="K25" s="8"/>
      <c r="L25" s="8"/>
      <c r="M25" s="8"/>
    </row>
    <row r="26" spans="1:13" ht="15.75" hidden="1" customHeight="1">
      <c r="A26" s="29">
        <v>5</v>
      </c>
      <c r="B26" s="69" t="s">
        <v>23</v>
      </c>
      <c r="C26" s="62" t="s">
        <v>24</v>
      </c>
      <c r="D26" s="61"/>
      <c r="E26" s="63">
        <v>2177.1</v>
      </c>
      <c r="F26" s="64">
        <f>SUM(E26*12)</f>
        <v>26125.199999999997</v>
      </c>
      <c r="G26" s="64">
        <v>5.15</v>
      </c>
      <c r="H26" s="65">
        <f>SUM(F26*G26/1000)</f>
        <v>134.54478</v>
      </c>
      <c r="I26" s="13">
        <f>F26/12*G26</f>
        <v>11212.065000000001</v>
      </c>
      <c r="J26" s="23"/>
    </row>
    <row r="27" spans="1:13" ht="15.75" customHeight="1">
      <c r="A27" s="148" t="s">
        <v>78</v>
      </c>
      <c r="B27" s="149"/>
      <c r="C27" s="149"/>
      <c r="D27" s="149"/>
      <c r="E27" s="149"/>
      <c r="F27" s="149"/>
      <c r="G27" s="149"/>
      <c r="H27" s="149"/>
      <c r="I27" s="150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2"/>
      <c r="D28" s="61"/>
      <c r="E28" s="63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6</v>
      </c>
      <c r="B29" s="61" t="s">
        <v>94</v>
      </c>
      <c r="C29" s="62" t="s">
        <v>124</v>
      </c>
      <c r="D29" s="61" t="s">
        <v>96</v>
      </c>
      <c r="E29" s="64">
        <v>2497.6999999999998</v>
      </c>
      <c r="F29" s="64">
        <f>SUM(E29*52/1000)</f>
        <v>129.88039999999998</v>
      </c>
      <c r="G29" s="64">
        <v>177.3</v>
      </c>
      <c r="H29" s="65">
        <f t="shared" ref="H29:H35" si="1">SUM(F29*G29/1000)</f>
        <v>23.027794919999998</v>
      </c>
      <c r="I29" s="13">
        <f>F29/6*G29</f>
        <v>3837.9658199999994</v>
      </c>
      <c r="J29" s="22"/>
      <c r="K29" s="8"/>
      <c r="L29" s="8"/>
      <c r="M29" s="8"/>
    </row>
    <row r="30" spans="1:13" ht="31.5" hidden="1" customHeight="1">
      <c r="A30" s="29">
        <v>7</v>
      </c>
      <c r="B30" s="61" t="s">
        <v>134</v>
      </c>
      <c r="C30" s="62" t="s">
        <v>95</v>
      </c>
      <c r="D30" s="61" t="s">
        <v>97</v>
      </c>
      <c r="E30" s="64">
        <v>266.37</v>
      </c>
      <c r="F30" s="64">
        <f>SUM(E30*78/1000)</f>
        <v>20.776859999999999</v>
      </c>
      <c r="G30" s="64">
        <v>297.17</v>
      </c>
      <c r="H30" s="65">
        <f t="shared" si="1"/>
        <v>6.1742594862000004</v>
      </c>
      <c r="I30" s="13">
        <f>F30/6*G30</f>
        <v>1029.0432476999999</v>
      </c>
      <c r="J30" s="22"/>
      <c r="K30" s="8"/>
      <c r="L30" s="8"/>
      <c r="M30" s="8"/>
    </row>
    <row r="31" spans="1:13" ht="15.75" hidden="1" customHeight="1">
      <c r="A31" s="29">
        <v>8</v>
      </c>
      <c r="B31" s="61" t="s">
        <v>27</v>
      </c>
      <c r="C31" s="62" t="s">
        <v>95</v>
      </c>
      <c r="D31" s="61" t="s">
        <v>51</v>
      </c>
      <c r="E31" s="64">
        <v>2497.6999999999998</v>
      </c>
      <c r="F31" s="64">
        <f>SUM(E31/1000)</f>
        <v>2.4977</v>
      </c>
      <c r="G31" s="64">
        <v>3435.36</v>
      </c>
      <c r="H31" s="65">
        <f t="shared" si="1"/>
        <v>8.5804986719999992</v>
      </c>
      <c r="I31" s="13">
        <f>F31*G31</f>
        <v>8580.4986719999997</v>
      </c>
      <c r="J31" s="22"/>
      <c r="K31" s="8"/>
      <c r="L31" s="8"/>
      <c r="M31" s="8"/>
    </row>
    <row r="32" spans="1:13" ht="15.75" hidden="1" customHeight="1">
      <c r="A32" s="29">
        <v>8</v>
      </c>
      <c r="B32" s="61" t="s">
        <v>98</v>
      </c>
      <c r="C32" s="62" t="s">
        <v>38</v>
      </c>
      <c r="D32" s="61" t="s">
        <v>60</v>
      </c>
      <c r="E32" s="64">
        <v>2</v>
      </c>
      <c r="F32" s="64">
        <v>3.1</v>
      </c>
      <c r="G32" s="64">
        <v>1480.94</v>
      </c>
      <c r="H32" s="65">
        <f>G32*F32/1000</f>
        <v>4.5909140000000006</v>
      </c>
      <c r="I32" s="13">
        <f>F32/6*G32</f>
        <v>765.15233333333344</v>
      </c>
      <c r="J32" s="22"/>
      <c r="K32" s="8"/>
      <c r="L32" s="8"/>
      <c r="M32" s="8"/>
    </row>
    <row r="33" spans="1:14" ht="15.75" hidden="1" customHeight="1">
      <c r="A33" s="29">
        <v>9</v>
      </c>
      <c r="B33" s="61" t="s">
        <v>99</v>
      </c>
      <c r="C33" s="62" t="s">
        <v>30</v>
      </c>
      <c r="D33" s="61" t="s">
        <v>60</v>
      </c>
      <c r="E33" s="68">
        <v>0.33333333333333331</v>
      </c>
      <c r="F33" s="64">
        <f>155/3</f>
        <v>51.666666666666664</v>
      </c>
      <c r="G33" s="64">
        <v>64.48</v>
      </c>
      <c r="H33" s="65">
        <f>SUM(G33*155/3/1000)</f>
        <v>3.331466666666667</v>
      </c>
      <c r="I33" s="13">
        <f>F33/6*G33</f>
        <v>555.24444444444441</v>
      </c>
      <c r="J33" s="22"/>
      <c r="K33" s="8"/>
      <c r="L33" s="8"/>
      <c r="M33" s="8"/>
    </row>
    <row r="34" spans="1:14" ht="15.75" hidden="1" customHeight="1">
      <c r="A34" s="29"/>
      <c r="B34" s="61" t="s">
        <v>61</v>
      </c>
      <c r="C34" s="62" t="s">
        <v>32</v>
      </c>
      <c r="D34" s="61" t="s">
        <v>127</v>
      </c>
      <c r="E34" s="63"/>
      <c r="F34" s="64">
        <v>2</v>
      </c>
      <c r="G34" s="64">
        <v>217.61</v>
      </c>
      <c r="H34" s="65">
        <f t="shared" si="1"/>
        <v>0.43522000000000005</v>
      </c>
      <c r="I34" s="13">
        <v>0</v>
      </c>
      <c r="J34" s="22"/>
      <c r="K34" s="8"/>
    </row>
    <row r="35" spans="1:14" ht="15.75" hidden="1" customHeight="1">
      <c r="A35" s="29"/>
      <c r="B35" s="61" t="s">
        <v>62</v>
      </c>
      <c r="C35" s="62" t="s">
        <v>31</v>
      </c>
      <c r="D35" s="61" t="s">
        <v>127</v>
      </c>
      <c r="E35" s="63"/>
      <c r="F35" s="64">
        <v>1</v>
      </c>
      <c r="G35" s="64">
        <v>1292.47</v>
      </c>
      <c r="H35" s="65">
        <f t="shared" si="1"/>
        <v>1.29247</v>
      </c>
      <c r="I35" s="13">
        <v>0</v>
      </c>
      <c r="J35" s="23"/>
    </row>
    <row r="36" spans="1:14" ht="15.75" customHeight="1">
      <c r="A36" s="70"/>
      <c r="B36" s="83" t="s">
        <v>5</v>
      </c>
      <c r="C36" s="62"/>
      <c r="D36" s="61"/>
      <c r="E36" s="63"/>
      <c r="F36" s="64"/>
      <c r="G36" s="64"/>
      <c r="H36" s="65" t="s">
        <v>128</v>
      </c>
      <c r="I36" s="13"/>
      <c r="J36" s="23"/>
    </row>
    <row r="37" spans="1:14" ht="15.75" customHeight="1">
      <c r="A37" s="70">
        <v>4</v>
      </c>
      <c r="B37" s="61" t="s">
        <v>26</v>
      </c>
      <c r="C37" s="62" t="s">
        <v>31</v>
      </c>
      <c r="D37" s="61" t="s">
        <v>312</v>
      </c>
      <c r="E37" s="63"/>
      <c r="F37" s="64">
        <v>6</v>
      </c>
      <c r="G37" s="125">
        <v>1930</v>
      </c>
      <c r="H37" s="65">
        <f>SUM(F37*G37/1000)</f>
        <v>11.58</v>
      </c>
      <c r="I37" s="13">
        <f>G37*1</f>
        <v>1930</v>
      </c>
      <c r="J37" s="23"/>
    </row>
    <row r="38" spans="1:14" ht="15.75" customHeight="1">
      <c r="A38" s="70">
        <v>5</v>
      </c>
      <c r="B38" s="116" t="s">
        <v>100</v>
      </c>
      <c r="C38" s="117" t="s">
        <v>29</v>
      </c>
      <c r="D38" s="105" t="s">
        <v>163</v>
      </c>
      <c r="E38" s="115">
        <v>48.36</v>
      </c>
      <c r="F38" s="118">
        <f>E38*30/1000</f>
        <v>1.4507999999999999</v>
      </c>
      <c r="G38" s="108">
        <v>3134.93</v>
      </c>
      <c r="H38" s="65">
        <f>G38*F38/1000</f>
        <v>4.5481564439999991</v>
      </c>
      <c r="I38" s="13">
        <f>F38/6*G38</f>
        <v>758.02607399999988</v>
      </c>
      <c r="J38" s="23"/>
    </row>
    <row r="39" spans="1:14" ht="15.75" hidden="1" customHeight="1">
      <c r="A39" s="70">
        <v>8</v>
      </c>
      <c r="B39" s="105" t="s">
        <v>101</v>
      </c>
      <c r="C39" s="106" t="s">
        <v>102</v>
      </c>
      <c r="D39" s="105" t="s">
        <v>127</v>
      </c>
      <c r="E39" s="115"/>
      <c r="F39" s="118">
        <v>39</v>
      </c>
      <c r="G39" s="108">
        <v>330</v>
      </c>
      <c r="H39" s="65">
        <f>G39*F39/1000</f>
        <v>12.87</v>
      </c>
      <c r="I39" s="13">
        <v>0</v>
      </c>
      <c r="J39" s="23"/>
      <c r="L39" s="19"/>
      <c r="M39" s="20"/>
      <c r="N39" s="21"/>
    </row>
    <row r="40" spans="1:14" ht="15.75" customHeight="1">
      <c r="A40" s="70">
        <v>6</v>
      </c>
      <c r="B40" s="105" t="s">
        <v>64</v>
      </c>
      <c r="C40" s="106" t="s">
        <v>29</v>
      </c>
      <c r="D40" s="105" t="s">
        <v>164</v>
      </c>
      <c r="E40" s="108">
        <v>53.69</v>
      </c>
      <c r="F40" s="118">
        <f>SUM(E40*155/1000)</f>
        <v>8.3219499999999993</v>
      </c>
      <c r="G40" s="108">
        <v>522.92999999999995</v>
      </c>
      <c r="H40" s="65">
        <f t="shared" ref="H40:H43" si="2">SUM(F40*G40/1000)</f>
        <v>4.3517973134999997</v>
      </c>
      <c r="I40" s="13">
        <f>F40/6*G40</f>
        <v>725.29955224999992</v>
      </c>
      <c r="J40" s="23"/>
      <c r="L40" s="19"/>
      <c r="M40" s="20"/>
      <c r="N40" s="21"/>
    </row>
    <row r="41" spans="1:14" ht="31.5" customHeight="1">
      <c r="A41" s="70">
        <v>7</v>
      </c>
      <c r="B41" s="105" t="s">
        <v>77</v>
      </c>
      <c r="C41" s="106" t="s">
        <v>95</v>
      </c>
      <c r="D41" s="105" t="s">
        <v>165</v>
      </c>
      <c r="E41" s="108">
        <v>23.93</v>
      </c>
      <c r="F41" s="118">
        <f>SUM(E41*24/1000)</f>
        <v>0.57431999999999994</v>
      </c>
      <c r="G41" s="108">
        <v>8652.07</v>
      </c>
      <c r="H41" s="65">
        <f t="shared" si="2"/>
        <v>4.9690568423999997</v>
      </c>
      <c r="I41" s="13">
        <f>F41/6*G41</f>
        <v>828.17614039999989</v>
      </c>
      <c r="J41" s="23"/>
      <c r="L41" s="19"/>
      <c r="M41" s="20"/>
      <c r="N41" s="21"/>
    </row>
    <row r="42" spans="1:14" ht="15.75" hidden="1" customHeight="1">
      <c r="A42" s="29">
        <v>9</v>
      </c>
      <c r="B42" s="105" t="s">
        <v>105</v>
      </c>
      <c r="C42" s="106" t="s">
        <v>95</v>
      </c>
      <c r="D42" s="105" t="s">
        <v>65</v>
      </c>
      <c r="E42" s="108">
        <v>48.36</v>
      </c>
      <c r="F42" s="118">
        <f>SUM(E42*45/1000)</f>
        <v>2.1761999999999997</v>
      </c>
      <c r="G42" s="108">
        <v>639.14</v>
      </c>
      <c r="H42" s="65">
        <f t="shared" si="2"/>
        <v>1.3908964679999998</v>
      </c>
      <c r="I42" s="13">
        <f>F42/7.5*G42</f>
        <v>185.45286239999999</v>
      </c>
      <c r="J42" s="23"/>
      <c r="L42" s="19"/>
      <c r="M42" s="20"/>
      <c r="N42" s="21"/>
    </row>
    <row r="43" spans="1:14" ht="15.75" hidden="1" customHeight="1">
      <c r="A43" s="29">
        <v>10</v>
      </c>
      <c r="B43" s="116" t="s">
        <v>66</v>
      </c>
      <c r="C43" s="117" t="s">
        <v>32</v>
      </c>
      <c r="D43" s="116"/>
      <c r="E43" s="119"/>
      <c r="F43" s="118">
        <v>0.9</v>
      </c>
      <c r="G43" s="118">
        <v>900</v>
      </c>
      <c r="H43" s="65">
        <f t="shared" si="2"/>
        <v>0.81</v>
      </c>
      <c r="I43" s="13">
        <f>F43/7.5*G43</f>
        <v>108.00000000000001</v>
      </c>
      <c r="J43" s="23"/>
      <c r="L43" s="19"/>
      <c r="M43" s="20"/>
      <c r="N43" s="21"/>
    </row>
    <row r="44" spans="1:14" ht="30" customHeight="1">
      <c r="A44" s="29">
        <v>8</v>
      </c>
      <c r="B44" s="120" t="s">
        <v>186</v>
      </c>
      <c r="C44" s="117" t="s">
        <v>29</v>
      </c>
      <c r="D44" s="116" t="s">
        <v>196</v>
      </c>
      <c r="E44" s="119">
        <v>0.6</v>
      </c>
      <c r="F44" s="118">
        <f>E44*12/1000</f>
        <v>7.1999999999999989E-3</v>
      </c>
      <c r="G44" s="118">
        <v>20547.34</v>
      </c>
      <c r="H44" s="56"/>
      <c r="I44" s="13">
        <f>G44*F44/6</f>
        <v>24.656807999999998</v>
      </c>
      <c r="J44" s="23"/>
      <c r="L44" s="19"/>
      <c r="M44" s="20"/>
      <c r="N44" s="21"/>
    </row>
    <row r="45" spans="1:14" ht="15.75" customHeight="1">
      <c r="A45" s="148" t="s">
        <v>131</v>
      </c>
      <c r="B45" s="149"/>
      <c r="C45" s="149"/>
      <c r="D45" s="149"/>
      <c r="E45" s="149"/>
      <c r="F45" s="149"/>
      <c r="G45" s="149"/>
      <c r="H45" s="149"/>
      <c r="I45" s="150"/>
      <c r="J45" s="23"/>
      <c r="L45" s="19"/>
      <c r="M45" s="20"/>
      <c r="N45" s="21"/>
    </row>
    <row r="46" spans="1:14" ht="15.75" hidden="1" customHeight="1">
      <c r="A46" s="29"/>
      <c r="B46" s="61" t="s">
        <v>106</v>
      </c>
      <c r="C46" s="62" t="s">
        <v>95</v>
      </c>
      <c r="D46" s="61" t="s">
        <v>40</v>
      </c>
      <c r="E46" s="63">
        <v>614.29999999999995</v>
      </c>
      <c r="F46" s="64">
        <f>SUM(E46*2/1000)</f>
        <v>1.2285999999999999</v>
      </c>
      <c r="G46" s="13">
        <v>1094.96</v>
      </c>
      <c r="H46" s="65">
        <f t="shared" ref="H46:H54" si="3">SUM(F46*G46/1000)</f>
        <v>1.345267856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1" t="s">
        <v>33</v>
      </c>
      <c r="C47" s="62" t="s">
        <v>95</v>
      </c>
      <c r="D47" s="61" t="s">
        <v>40</v>
      </c>
      <c r="E47" s="63">
        <v>61</v>
      </c>
      <c r="F47" s="64">
        <f>E47*2/1000</f>
        <v>0.122</v>
      </c>
      <c r="G47" s="13">
        <v>3832.4</v>
      </c>
      <c r="H47" s="65">
        <f t="shared" si="3"/>
        <v>0.46755279999999999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1" t="s">
        <v>34</v>
      </c>
      <c r="C48" s="62" t="s">
        <v>95</v>
      </c>
      <c r="D48" s="61" t="s">
        <v>40</v>
      </c>
      <c r="E48" s="63">
        <v>3135.64</v>
      </c>
      <c r="F48" s="64">
        <f>SUM(E48*2/1000)</f>
        <v>6.27128</v>
      </c>
      <c r="G48" s="13">
        <v>1564.24</v>
      </c>
      <c r="H48" s="65">
        <f t="shared" si="3"/>
        <v>9.8097870272000005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1" t="s">
        <v>35</v>
      </c>
      <c r="C49" s="62" t="s">
        <v>95</v>
      </c>
      <c r="D49" s="61" t="s">
        <v>40</v>
      </c>
      <c r="E49" s="63">
        <v>1678.47</v>
      </c>
      <c r="F49" s="64">
        <f>SUM(E49*2/1000)</f>
        <v>3.3569400000000003</v>
      </c>
      <c r="G49" s="13">
        <v>1078.3599999999999</v>
      </c>
      <c r="H49" s="65">
        <f t="shared" si="3"/>
        <v>3.6199898183999997</v>
      </c>
      <c r="I49" s="13">
        <v>0</v>
      </c>
      <c r="J49" s="23"/>
      <c r="L49" s="19"/>
      <c r="M49" s="20"/>
      <c r="N49" s="21"/>
    </row>
    <row r="50" spans="1:22" ht="15.75" customHeight="1">
      <c r="A50" s="29">
        <v>9</v>
      </c>
      <c r="B50" s="61" t="s">
        <v>53</v>
      </c>
      <c r="C50" s="62" t="s">
        <v>95</v>
      </c>
      <c r="D50" s="61" t="s">
        <v>166</v>
      </c>
      <c r="E50" s="63">
        <v>614.29999999999995</v>
      </c>
      <c r="F50" s="64">
        <f>SUM(E50*5/1000)</f>
        <v>3.0714999999999999</v>
      </c>
      <c r="G50" s="126">
        <v>1809.27</v>
      </c>
      <c r="H50" s="65">
        <f t="shared" si="3"/>
        <v>5.5571728050000004</v>
      </c>
      <c r="I50" s="13">
        <f>F50/5*G50</f>
        <v>1111.4345609999998</v>
      </c>
      <c r="J50" s="23"/>
      <c r="L50" s="19"/>
      <c r="M50" s="20"/>
      <c r="N50" s="21"/>
    </row>
    <row r="51" spans="1:22" ht="31.5" hidden="1" customHeight="1">
      <c r="A51" s="29"/>
      <c r="B51" s="61" t="s">
        <v>107</v>
      </c>
      <c r="C51" s="62" t="s">
        <v>95</v>
      </c>
      <c r="D51" s="61" t="s">
        <v>40</v>
      </c>
      <c r="E51" s="63">
        <v>614.29999999999995</v>
      </c>
      <c r="F51" s="64">
        <f>SUM(E51*2/1000)</f>
        <v>1.2285999999999999</v>
      </c>
      <c r="G51" s="13">
        <v>1380.31</v>
      </c>
      <c r="H51" s="65">
        <f t="shared" si="3"/>
        <v>1.6958488659999997</v>
      </c>
      <c r="I51" s="13">
        <v>0</v>
      </c>
      <c r="J51" s="23"/>
      <c r="L51" s="19"/>
      <c r="M51" s="20"/>
      <c r="N51" s="21"/>
    </row>
    <row r="52" spans="1:22" ht="31.5" hidden="1" customHeight="1">
      <c r="A52" s="91"/>
      <c r="B52" s="61" t="s">
        <v>108</v>
      </c>
      <c r="C52" s="62" t="s">
        <v>36</v>
      </c>
      <c r="D52" s="61" t="s">
        <v>40</v>
      </c>
      <c r="E52" s="63">
        <v>20</v>
      </c>
      <c r="F52" s="64">
        <f>SUM(E52*2/100)</f>
        <v>0.4</v>
      </c>
      <c r="G52" s="13">
        <v>3519.56</v>
      </c>
      <c r="H52" s="65">
        <f t="shared" si="3"/>
        <v>1.407824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1" t="s">
        <v>37</v>
      </c>
      <c r="C53" s="62" t="s">
        <v>38</v>
      </c>
      <c r="D53" s="61" t="s">
        <v>40</v>
      </c>
      <c r="E53" s="63">
        <v>1</v>
      </c>
      <c r="F53" s="64">
        <v>0.02</v>
      </c>
      <c r="G53" s="13">
        <v>6428.82</v>
      </c>
      <c r="H53" s="65">
        <f t="shared" si="3"/>
        <v>0.12857640000000001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>
        <v>11</v>
      </c>
      <c r="B54" s="61" t="s">
        <v>39</v>
      </c>
      <c r="C54" s="62" t="s">
        <v>109</v>
      </c>
      <c r="D54" s="109">
        <v>44172</v>
      </c>
      <c r="E54" s="63">
        <v>170</v>
      </c>
      <c r="F54" s="64">
        <f>SUM(E54)*3</f>
        <v>510</v>
      </c>
      <c r="G54" s="127">
        <v>97.93</v>
      </c>
      <c r="H54" s="65">
        <f t="shared" si="3"/>
        <v>49.944300000000005</v>
      </c>
      <c r="I54" s="13">
        <f>G54*E54/3</f>
        <v>5549.3666666666677</v>
      </c>
      <c r="J54" s="23"/>
      <c r="L54" s="19"/>
      <c r="M54" s="20"/>
      <c r="N54" s="21"/>
    </row>
    <row r="55" spans="1:22" ht="15.75" customHeight="1">
      <c r="A55" s="148" t="s">
        <v>132</v>
      </c>
      <c r="B55" s="149"/>
      <c r="C55" s="149"/>
      <c r="D55" s="149"/>
      <c r="E55" s="149"/>
      <c r="F55" s="149"/>
      <c r="G55" s="149"/>
      <c r="H55" s="149"/>
      <c r="I55" s="150"/>
      <c r="J55" s="23"/>
      <c r="L55" s="19"/>
      <c r="M55" s="20"/>
      <c r="N55" s="21"/>
    </row>
    <row r="56" spans="1:22" ht="15.75" hidden="1" customHeight="1">
      <c r="A56" s="29"/>
      <c r="B56" s="83" t="s">
        <v>41</v>
      </c>
      <c r="C56" s="62"/>
      <c r="D56" s="61"/>
      <c r="E56" s="63"/>
      <c r="F56" s="64"/>
      <c r="G56" s="64"/>
      <c r="H56" s="65"/>
      <c r="I56" s="13"/>
      <c r="J56" s="23"/>
      <c r="L56" s="19"/>
      <c r="M56" s="20"/>
      <c r="N56" s="21"/>
    </row>
    <row r="57" spans="1:22" ht="31.5" hidden="1" customHeight="1">
      <c r="A57" s="29">
        <v>12</v>
      </c>
      <c r="B57" s="61" t="s">
        <v>110</v>
      </c>
      <c r="C57" s="62" t="s">
        <v>85</v>
      </c>
      <c r="D57" s="61"/>
      <c r="E57" s="63">
        <v>63.07</v>
      </c>
      <c r="F57" s="64">
        <f>SUM(E57*6/100)</f>
        <v>3.7842000000000002</v>
      </c>
      <c r="G57" s="126">
        <v>2306.83</v>
      </c>
      <c r="H57" s="65">
        <f>SUM(F57*G57/1000)</f>
        <v>8.7295060859999989</v>
      </c>
      <c r="I57" s="13">
        <f>G57*0.29</f>
        <v>668.98069999999996</v>
      </c>
      <c r="J57" s="23"/>
      <c r="L57" s="19"/>
    </row>
    <row r="58" spans="1:22" ht="15.75" customHeight="1">
      <c r="A58" s="29"/>
      <c r="B58" s="84" t="s">
        <v>42</v>
      </c>
      <c r="C58" s="71"/>
      <c r="D58" s="72"/>
      <c r="E58" s="73"/>
      <c r="F58" s="74"/>
      <c r="G58" s="13"/>
      <c r="H58" s="75"/>
      <c r="I58" s="13"/>
    </row>
    <row r="59" spans="1:22" ht="15.75" hidden="1" customHeight="1">
      <c r="A59" s="29"/>
      <c r="B59" s="72" t="s">
        <v>130</v>
      </c>
      <c r="C59" s="71" t="s">
        <v>50</v>
      </c>
      <c r="D59" s="72" t="s">
        <v>51</v>
      </c>
      <c r="E59" s="73">
        <v>614.29999999999995</v>
      </c>
      <c r="F59" s="74">
        <v>6.1429999999999998</v>
      </c>
      <c r="G59" s="13">
        <v>902.66</v>
      </c>
      <c r="H59" s="75">
        <f>F59*G59/1000</f>
        <v>5.5450403799999997</v>
      </c>
      <c r="I59" s="13">
        <v>0</v>
      </c>
    </row>
    <row r="60" spans="1:22" ht="15.75" customHeight="1">
      <c r="A60" s="29">
        <v>10</v>
      </c>
      <c r="B60" s="72" t="s">
        <v>82</v>
      </c>
      <c r="C60" s="71" t="s">
        <v>25</v>
      </c>
      <c r="D60" s="72" t="s">
        <v>166</v>
      </c>
      <c r="E60" s="73">
        <v>100</v>
      </c>
      <c r="F60" s="76">
        <f>E60*12</f>
        <v>1200</v>
      </c>
      <c r="G60" s="56">
        <v>1.4</v>
      </c>
      <c r="H60" s="74">
        <f>F60*G60/1000</f>
        <v>1.68</v>
      </c>
      <c r="I60" s="13">
        <f>F60/12*G60</f>
        <v>140</v>
      </c>
    </row>
    <row r="61" spans="1:22" ht="15.75" customHeight="1">
      <c r="A61" s="29"/>
      <c r="B61" s="84" t="s">
        <v>43</v>
      </c>
      <c r="C61" s="71"/>
      <c r="D61" s="72"/>
      <c r="E61" s="73"/>
      <c r="F61" s="76"/>
      <c r="G61" s="76"/>
      <c r="H61" s="74" t="s">
        <v>128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>
        <v>15</v>
      </c>
      <c r="B62" s="14" t="s">
        <v>44</v>
      </c>
      <c r="C62" s="16" t="s">
        <v>109</v>
      </c>
      <c r="D62" s="14" t="s">
        <v>63</v>
      </c>
      <c r="E62" s="18">
        <v>25</v>
      </c>
      <c r="F62" s="64">
        <v>25</v>
      </c>
      <c r="G62" s="13">
        <v>252.96</v>
      </c>
      <c r="H62" s="77">
        <f t="shared" ref="H62:H79" si="4">SUM(F62*G62/1000)</f>
        <v>6.3239999999999998</v>
      </c>
      <c r="I62" s="13">
        <f>G62*4</f>
        <v>1011.84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29">
        <v>11</v>
      </c>
      <c r="B63" s="14" t="s">
        <v>45</v>
      </c>
      <c r="C63" s="16" t="s">
        <v>109</v>
      </c>
      <c r="D63" s="14" t="s">
        <v>166</v>
      </c>
      <c r="E63" s="18">
        <v>2</v>
      </c>
      <c r="F63" s="64">
        <v>2</v>
      </c>
      <c r="G63" s="126">
        <v>113.69</v>
      </c>
      <c r="H63" s="77">
        <f t="shared" si="4"/>
        <v>0.22738</v>
      </c>
      <c r="I63" s="13">
        <f>G63*1</f>
        <v>113.69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4" t="s">
        <v>46</v>
      </c>
      <c r="C64" s="16" t="s">
        <v>112</v>
      </c>
      <c r="D64" s="14" t="s">
        <v>51</v>
      </c>
      <c r="E64" s="63">
        <v>8692</v>
      </c>
      <c r="F64" s="13">
        <f>SUM(E64/100)</f>
        <v>86.92</v>
      </c>
      <c r="G64" s="13">
        <v>241.31</v>
      </c>
      <c r="H64" s="77">
        <f t="shared" si="4"/>
        <v>20.9746652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46"/>
      <c r="S64" s="146"/>
      <c r="T64" s="146"/>
      <c r="U64" s="146"/>
    </row>
    <row r="65" spans="1:21" ht="15.75" hidden="1" customHeight="1">
      <c r="A65" s="29"/>
      <c r="B65" s="14" t="s">
        <v>47</v>
      </c>
      <c r="C65" s="16" t="s">
        <v>113</v>
      </c>
      <c r="D65" s="14"/>
      <c r="E65" s="63">
        <v>8692</v>
      </c>
      <c r="F65" s="13">
        <f>SUM(E65/1000)</f>
        <v>8.6920000000000002</v>
      </c>
      <c r="G65" s="13">
        <v>187.91</v>
      </c>
      <c r="H65" s="77">
        <f t="shared" si="4"/>
        <v>1.6333137200000001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91"/>
      <c r="B66" s="14" t="s">
        <v>48</v>
      </c>
      <c r="C66" s="16" t="s">
        <v>73</v>
      </c>
      <c r="D66" s="14" t="s">
        <v>51</v>
      </c>
      <c r="E66" s="63">
        <v>855</v>
      </c>
      <c r="F66" s="13">
        <f>SUM(E66/100)</f>
        <v>8.5500000000000007</v>
      </c>
      <c r="G66" s="13">
        <v>2359.7199999999998</v>
      </c>
      <c r="H66" s="77">
        <f t="shared" si="4"/>
        <v>20.175605999999998</v>
      </c>
      <c r="I66" s="13">
        <v>0</v>
      </c>
    </row>
    <row r="67" spans="1:21" ht="15.75" hidden="1" customHeight="1">
      <c r="A67" s="29"/>
      <c r="B67" s="78" t="s">
        <v>114</v>
      </c>
      <c r="C67" s="16" t="s">
        <v>32</v>
      </c>
      <c r="D67" s="14"/>
      <c r="E67" s="63">
        <v>8.6</v>
      </c>
      <c r="F67" s="13">
        <f>SUM(E67)</f>
        <v>8.6</v>
      </c>
      <c r="G67" s="13">
        <v>42.67</v>
      </c>
      <c r="H67" s="77">
        <f t="shared" si="4"/>
        <v>0.36696200000000001</v>
      </c>
      <c r="I67" s="13">
        <v>0</v>
      </c>
    </row>
    <row r="68" spans="1:21" ht="15.75" hidden="1" customHeight="1">
      <c r="A68" s="29"/>
      <c r="B68" s="78" t="s">
        <v>115</v>
      </c>
      <c r="C68" s="16" t="s">
        <v>32</v>
      </c>
      <c r="D68" s="14"/>
      <c r="E68" s="63">
        <v>8.6</v>
      </c>
      <c r="F68" s="13">
        <f>SUM(E68)</f>
        <v>8.6</v>
      </c>
      <c r="G68" s="13">
        <v>39.81</v>
      </c>
      <c r="H68" s="77">
        <f t="shared" si="4"/>
        <v>0.342366</v>
      </c>
      <c r="I68" s="13">
        <v>0</v>
      </c>
    </row>
    <row r="69" spans="1:21" ht="15.75" hidden="1" customHeight="1">
      <c r="A69" s="29"/>
      <c r="B69" s="14" t="s">
        <v>54</v>
      </c>
      <c r="C69" s="16" t="s">
        <v>55</v>
      </c>
      <c r="D69" s="14" t="s">
        <v>51</v>
      </c>
      <c r="E69" s="18">
        <v>5</v>
      </c>
      <c r="F69" s="64">
        <v>5</v>
      </c>
      <c r="G69" s="13">
        <v>56.74</v>
      </c>
      <c r="H69" s="77">
        <f t="shared" si="4"/>
        <v>0.28370000000000001</v>
      </c>
      <c r="I69" s="13">
        <v>0</v>
      </c>
    </row>
    <row r="70" spans="1:21" ht="15.75" customHeight="1">
      <c r="A70" s="29"/>
      <c r="B70" s="121" t="s">
        <v>188</v>
      </c>
      <c r="C70" s="110"/>
      <c r="D70" s="35"/>
      <c r="E70" s="17"/>
      <c r="F70" s="101"/>
      <c r="G70" s="34"/>
      <c r="H70" s="77"/>
      <c r="I70" s="13"/>
    </row>
    <row r="71" spans="1:21" ht="32.25" customHeight="1">
      <c r="A71" s="29">
        <v>12</v>
      </c>
      <c r="B71" s="122" t="s">
        <v>189</v>
      </c>
      <c r="C71" s="104" t="s">
        <v>190</v>
      </c>
      <c r="D71" s="35"/>
      <c r="E71" s="17">
        <v>2177.1</v>
      </c>
      <c r="F71" s="34">
        <f>E71*12</f>
        <v>26125.199999999997</v>
      </c>
      <c r="G71" s="34">
        <v>2.6</v>
      </c>
      <c r="H71" s="77"/>
      <c r="I71" s="13">
        <f>G71*F71/12</f>
        <v>5660.4599999999991</v>
      </c>
    </row>
    <row r="72" spans="1:21" ht="15.75" customHeight="1">
      <c r="A72" s="29"/>
      <c r="B72" s="85" t="s">
        <v>68</v>
      </c>
      <c r="C72" s="16"/>
      <c r="D72" s="14"/>
      <c r="E72" s="18"/>
      <c r="F72" s="13"/>
      <c r="G72" s="13"/>
      <c r="H72" s="77" t="s">
        <v>128</v>
      </c>
      <c r="I72" s="13"/>
    </row>
    <row r="73" spans="1:21" ht="15.75" hidden="1" customHeight="1">
      <c r="A73" s="29"/>
      <c r="B73" s="14" t="s">
        <v>121</v>
      </c>
      <c r="C73" s="16" t="s">
        <v>122</v>
      </c>
      <c r="D73" s="14"/>
      <c r="E73" s="18">
        <v>4</v>
      </c>
      <c r="F73" s="13">
        <f>E73</f>
        <v>4</v>
      </c>
      <c r="G73" s="13">
        <v>113.57</v>
      </c>
      <c r="H73" s="77">
        <f t="shared" si="4"/>
        <v>0.45427999999999996</v>
      </c>
      <c r="I73" s="13">
        <v>0</v>
      </c>
    </row>
    <row r="74" spans="1:21" ht="15.75" customHeight="1">
      <c r="A74" s="29">
        <v>13</v>
      </c>
      <c r="B74" s="14" t="s">
        <v>69</v>
      </c>
      <c r="C74" s="16" t="s">
        <v>71</v>
      </c>
      <c r="D74" s="14" t="s">
        <v>197</v>
      </c>
      <c r="E74" s="18">
        <v>20</v>
      </c>
      <c r="F74" s="13">
        <v>2</v>
      </c>
      <c r="G74" s="126">
        <v>747.85</v>
      </c>
      <c r="H74" s="77">
        <f t="shared" si="4"/>
        <v>1.4957</v>
      </c>
      <c r="I74" s="13">
        <f>G74*1.1</f>
        <v>822.6350000000001</v>
      </c>
    </row>
    <row r="75" spans="1:21" ht="15.75" hidden="1" customHeight="1">
      <c r="A75" s="29"/>
      <c r="B75" s="14" t="s">
        <v>70</v>
      </c>
      <c r="C75" s="16" t="s">
        <v>30</v>
      </c>
      <c r="D75" s="14"/>
      <c r="E75" s="18">
        <v>2</v>
      </c>
      <c r="F75" s="56">
        <v>2</v>
      </c>
      <c r="G75" s="13">
        <v>970.21</v>
      </c>
      <c r="H75" s="77">
        <f>F75*G75/1000</f>
        <v>1.94042</v>
      </c>
      <c r="I75" s="13">
        <v>0</v>
      </c>
    </row>
    <row r="76" spans="1:21" ht="15.75" hidden="1" customHeight="1">
      <c r="A76" s="29"/>
      <c r="B76" s="14" t="s">
        <v>80</v>
      </c>
      <c r="C76" s="16" t="s">
        <v>30</v>
      </c>
      <c r="D76" s="14"/>
      <c r="E76" s="18">
        <v>2</v>
      </c>
      <c r="F76" s="13">
        <v>2</v>
      </c>
      <c r="G76" s="13">
        <v>407.79</v>
      </c>
      <c r="H76" s="77">
        <f>G76*F76/1000</f>
        <v>0.81558000000000008</v>
      </c>
      <c r="I76" s="13">
        <v>0</v>
      </c>
    </row>
    <row r="77" spans="1:21" ht="31.5" customHeight="1">
      <c r="A77" s="29">
        <v>14</v>
      </c>
      <c r="B77" s="35" t="s">
        <v>187</v>
      </c>
      <c r="C77" s="110" t="s">
        <v>30</v>
      </c>
      <c r="D77" s="35" t="s">
        <v>166</v>
      </c>
      <c r="E77" s="17">
        <v>1</v>
      </c>
      <c r="F77" s="34">
        <v>1</v>
      </c>
      <c r="G77" s="34">
        <v>425</v>
      </c>
      <c r="H77" s="77"/>
      <c r="I77" s="13">
        <f>G77*1</f>
        <v>425</v>
      </c>
    </row>
    <row r="78" spans="1:21" ht="15.75" hidden="1" customHeight="1">
      <c r="A78" s="29"/>
      <c r="B78" s="80" t="s">
        <v>72</v>
      </c>
      <c r="C78" s="16"/>
      <c r="D78" s="14"/>
      <c r="E78" s="18"/>
      <c r="F78" s="13"/>
      <c r="G78" s="13" t="s">
        <v>128</v>
      </c>
      <c r="H78" s="77" t="s">
        <v>128</v>
      </c>
      <c r="I78" s="13"/>
    </row>
    <row r="79" spans="1:21" ht="15.75" hidden="1" customHeight="1">
      <c r="A79" s="29"/>
      <c r="B79" s="43" t="s">
        <v>118</v>
      </c>
      <c r="C79" s="16" t="s">
        <v>73</v>
      </c>
      <c r="D79" s="14"/>
      <c r="E79" s="18"/>
      <c r="F79" s="13">
        <v>1</v>
      </c>
      <c r="G79" s="13">
        <v>3138.63</v>
      </c>
      <c r="H79" s="77">
        <f t="shared" si="4"/>
        <v>3.13863</v>
      </c>
      <c r="I79" s="13">
        <v>0</v>
      </c>
    </row>
    <row r="80" spans="1:21" ht="15.75" hidden="1" customHeight="1">
      <c r="A80" s="29"/>
      <c r="B80" s="88" t="s">
        <v>116</v>
      </c>
      <c r="C80" s="80"/>
      <c r="D80" s="31"/>
      <c r="E80" s="32"/>
      <c r="F80" s="67"/>
      <c r="G80" s="67"/>
      <c r="H80" s="81">
        <f>SUM(H57:H79)</f>
        <v>74.127149385999985</v>
      </c>
      <c r="I80" s="67"/>
    </row>
    <row r="81" spans="1:9" ht="15.75" hidden="1" customHeight="1">
      <c r="A81" s="29">
        <v>17</v>
      </c>
      <c r="B81" s="61" t="s">
        <v>117</v>
      </c>
      <c r="C81" s="16"/>
      <c r="D81" s="14"/>
      <c r="E81" s="57"/>
      <c r="F81" s="13">
        <v>1</v>
      </c>
      <c r="G81" s="96">
        <v>20953</v>
      </c>
      <c r="H81" s="77">
        <f>G81*F81/1000</f>
        <v>20.952999999999999</v>
      </c>
      <c r="I81" s="96">
        <f>G81</f>
        <v>20953</v>
      </c>
    </row>
    <row r="82" spans="1:9" ht="15.75" customHeight="1">
      <c r="A82" s="148" t="s">
        <v>133</v>
      </c>
      <c r="B82" s="149"/>
      <c r="C82" s="149"/>
      <c r="D82" s="149"/>
      <c r="E82" s="149"/>
      <c r="F82" s="149"/>
      <c r="G82" s="149"/>
      <c r="H82" s="149"/>
      <c r="I82" s="150"/>
    </row>
    <row r="83" spans="1:9" ht="15.75" customHeight="1">
      <c r="A83" s="29">
        <v>15</v>
      </c>
      <c r="B83" s="105" t="s">
        <v>119</v>
      </c>
      <c r="C83" s="110" t="s">
        <v>52</v>
      </c>
      <c r="D83" s="124"/>
      <c r="E83" s="34">
        <v>2177.1</v>
      </c>
      <c r="F83" s="34">
        <f>SUM(E83*12)</f>
        <v>26125.199999999997</v>
      </c>
      <c r="G83" s="34">
        <v>3.5</v>
      </c>
      <c r="H83" s="77">
        <f>SUM(F83*G83/1000)</f>
        <v>91.438199999999981</v>
      </c>
      <c r="I83" s="13">
        <f>F83/12*G83</f>
        <v>7619.8499999999995</v>
      </c>
    </row>
    <row r="84" spans="1:9" ht="31.5" customHeight="1">
      <c r="A84" s="29">
        <v>16</v>
      </c>
      <c r="B84" s="35" t="s">
        <v>191</v>
      </c>
      <c r="C84" s="110" t="s">
        <v>52</v>
      </c>
      <c r="D84" s="47"/>
      <c r="E84" s="99">
        <f>E83</f>
        <v>2177.1</v>
      </c>
      <c r="F84" s="34">
        <f>E84*12</f>
        <v>26125.199999999997</v>
      </c>
      <c r="G84" s="34">
        <v>3.24</v>
      </c>
      <c r="H84" s="77">
        <f>F84*G84/1000</f>
        <v>84.645647999999994</v>
      </c>
      <c r="I84" s="13">
        <f>F84/12*G84</f>
        <v>7053.8040000000001</v>
      </c>
    </row>
    <row r="85" spans="1:9" ht="15.75" customHeight="1">
      <c r="A85" s="29"/>
      <c r="B85" s="36" t="s">
        <v>75</v>
      </c>
      <c r="C85" s="80"/>
      <c r="D85" s="79"/>
      <c r="E85" s="67"/>
      <c r="F85" s="67"/>
      <c r="G85" s="67"/>
      <c r="H85" s="81">
        <f>H84</f>
        <v>84.645647999999994</v>
      </c>
      <c r="I85" s="67">
        <f>I84+I83+I77+I74+I71+I63+I60+I50+I44+I41+I40+I38+I37+I18+I17+I16</f>
        <v>41843.158985649992</v>
      </c>
    </row>
    <row r="86" spans="1:9" ht="15.75" customHeight="1">
      <c r="A86" s="151" t="s">
        <v>57</v>
      </c>
      <c r="B86" s="152"/>
      <c r="C86" s="152"/>
      <c r="D86" s="152"/>
      <c r="E86" s="152"/>
      <c r="F86" s="152"/>
      <c r="G86" s="152"/>
      <c r="H86" s="152"/>
      <c r="I86" s="153"/>
    </row>
    <row r="87" spans="1:9" ht="34.5" customHeight="1">
      <c r="A87" s="29">
        <v>17</v>
      </c>
      <c r="B87" s="95" t="s">
        <v>81</v>
      </c>
      <c r="C87" s="48" t="s">
        <v>122</v>
      </c>
      <c r="D87" s="35" t="s">
        <v>323</v>
      </c>
      <c r="E87" s="34"/>
      <c r="F87" s="34">
        <v>3</v>
      </c>
      <c r="G87" s="34">
        <v>697.33</v>
      </c>
      <c r="H87" s="87"/>
      <c r="I87" s="82">
        <f>G87*1</f>
        <v>697.33</v>
      </c>
    </row>
    <row r="88" spans="1:9" ht="34.5" customHeight="1">
      <c r="A88" s="29">
        <v>18</v>
      </c>
      <c r="B88" s="95" t="s">
        <v>313</v>
      </c>
      <c r="C88" s="48" t="s">
        <v>122</v>
      </c>
      <c r="D88" s="35" t="s">
        <v>327</v>
      </c>
      <c r="E88" s="34"/>
      <c r="F88" s="34">
        <v>1</v>
      </c>
      <c r="G88" s="34">
        <v>949.97</v>
      </c>
      <c r="H88" s="87"/>
      <c r="I88" s="82">
        <f>G88*1</f>
        <v>949.97</v>
      </c>
    </row>
    <row r="89" spans="1:9" ht="18" customHeight="1">
      <c r="A89" s="29">
        <v>19</v>
      </c>
      <c r="B89" s="95" t="s">
        <v>314</v>
      </c>
      <c r="C89" s="48" t="s">
        <v>315</v>
      </c>
      <c r="D89" s="35"/>
      <c r="E89" s="34"/>
      <c r="F89" s="34">
        <v>1</v>
      </c>
      <c r="G89" s="34">
        <v>1062.31</v>
      </c>
      <c r="H89" s="87"/>
      <c r="I89" s="82">
        <f>G89*1</f>
        <v>1062.31</v>
      </c>
    </row>
    <row r="90" spans="1:9" ht="20.25" customHeight="1">
      <c r="A90" s="29">
        <v>20</v>
      </c>
      <c r="B90" s="95" t="s">
        <v>316</v>
      </c>
      <c r="C90" s="48" t="s">
        <v>149</v>
      </c>
      <c r="D90" s="35" t="s">
        <v>328</v>
      </c>
      <c r="E90" s="34"/>
      <c r="F90" s="34">
        <v>20</v>
      </c>
      <c r="G90" s="34">
        <v>104.2</v>
      </c>
      <c r="H90" s="87"/>
      <c r="I90" s="82">
        <f>G90*20</f>
        <v>2084</v>
      </c>
    </row>
    <row r="91" spans="1:9" ht="21" customHeight="1">
      <c r="A91" s="29">
        <v>21</v>
      </c>
      <c r="B91" s="95" t="s">
        <v>317</v>
      </c>
      <c r="C91" s="48" t="s">
        <v>30</v>
      </c>
      <c r="D91" s="35" t="s">
        <v>330</v>
      </c>
      <c r="E91" s="34"/>
      <c r="F91" s="34">
        <v>1</v>
      </c>
      <c r="G91" s="34">
        <v>599.74</v>
      </c>
      <c r="H91" s="34"/>
      <c r="I91" s="82">
        <f>G91*1</f>
        <v>599.74</v>
      </c>
    </row>
    <row r="92" spans="1:9" ht="15.75" customHeight="1">
      <c r="A92" s="29">
        <v>22</v>
      </c>
      <c r="B92" s="95" t="s">
        <v>193</v>
      </c>
      <c r="C92" s="48" t="s">
        <v>171</v>
      </c>
      <c r="D92" s="35" t="s">
        <v>329</v>
      </c>
      <c r="E92" s="34"/>
      <c r="F92" s="34">
        <v>3</v>
      </c>
      <c r="G92" s="34">
        <v>784.27</v>
      </c>
      <c r="H92" s="34"/>
      <c r="I92" s="82">
        <f>G92*2</f>
        <v>1568.54</v>
      </c>
    </row>
    <row r="93" spans="1:9" ht="29.25" customHeight="1">
      <c r="A93" s="29">
        <v>23</v>
      </c>
      <c r="B93" s="95" t="s">
        <v>180</v>
      </c>
      <c r="C93" s="48" t="s">
        <v>109</v>
      </c>
      <c r="D93" s="35" t="s">
        <v>324</v>
      </c>
      <c r="E93" s="34"/>
      <c r="F93" s="34">
        <v>0.5</v>
      </c>
      <c r="G93" s="34">
        <v>983.17</v>
      </c>
      <c r="H93" s="34"/>
      <c r="I93" s="82">
        <f>G93*0.5</f>
        <v>491.58499999999998</v>
      </c>
    </row>
    <row r="94" spans="1:9" ht="15.75" customHeight="1">
      <c r="A94" s="29">
        <v>24</v>
      </c>
      <c r="B94" s="95" t="s">
        <v>318</v>
      </c>
      <c r="C94" s="48" t="s">
        <v>109</v>
      </c>
      <c r="D94" s="35"/>
      <c r="E94" s="34"/>
      <c r="F94" s="34">
        <v>1</v>
      </c>
      <c r="G94" s="34">
        <v>235</v>
      </c>
      <c r="H94" s="34"/>
      <c r="I94" s="82">
        <f>G94*1</f>
        <v>235</v>
      </c>
    </row>
    <row r="95" spans="1:9" ht="15.75" customHeight="1">
      <c r="A95" s="29">
        <v>25</v>
      </c>
      <c r="B95" s="95" t="s">
        <v>198</v>
      </c>
      <c r="C95" s="48" t="s">
        <v>109</v>
      </c>
      <c r="D95" s="35"/>
      <c r="E95" s="34"/>
      <c r="F95" s="34">
        <v>1</v>
      </c>
      <c r="G95" s="34">
        <v>98</v>
      </c>
      <c r="H95" s="34"/>
      <c r="I95" s="82">
        <f>G95*1</f>
        <v>98</v>
      </c>
    </row>
    <row r="96" spans="1:9" ht="15.75" customHeight="1">
      <c r="A96" s="29">
        <v>26</v>
      </c>
      <c r="B96" s="95" t="s">
        <v>319</v>
      </c>
      <c r="C96" s="48" t="s">
        <v>30</v>
      </c>
      <c r="D96" s="35"/>
      <c r="E96" s="34"/>
      <c r="F96" s="34">
        <v>1</v>
      </c>
      <c r="G96" s="34">
        <v>70</v>
      </c>
      <c r="H96" s="34"/>
      <c r="I96" s="82">
        <f>G96*1</f>
        <v>70</v>
      </c>
    </row>
    <row r="97" spans="1:9" ht="29.25" customHeight="1">
      <c r="A97" s="29">
        <v>27</v>
      </c>
      <c r="B97" s="95" t="s">
        <v>320</v>
      </c>
      <c r="C97" s="48" t="s">
        <v>149</v>
      </c>
      <c r="D97" s="35" t="s">
        <v>326</v>
      </c>
      <c r="E97" s="34"/>
      <c r="F97" s="34">
        <v>1</v>
      </c>
      <c r="G97" s="34">
        <v>1612.67</v>
      </c>
      <c r="H97" s="34"/>
      <c r="I97" s="82">
        <f>G97*1</f>
        <v>1612.67</v>
      </c>
    </row>
    <row r="98" spans="1:9" ht="29.25" customHeight="1">
      <c r="A98" s="29">
        <v>28</v>
      </c>
      <c r="B98" s="95" t="s">
        <v>321</v>
      </c>
      <c r="C98" s="48" t="s">
        <v>194</v>
      </c>
      <c r="D98" s="35" t="s">
        <v>325</v>
      </c>
      <c r="E98" s="34"/>
      <c r="F98" s="34">
        <v>0.5</v>
      </c>
      <c r="G98" s="34">
        <v>1238.6300000000001</v>
      </c>
      <c r="H98" s="34"/>
      <c r="I98" s="82">
        <f>G98*0.5</f>
        <v>619.31500000000005</v>
      </c>
    </row>
    <row r="99" spans="1:9" ht="15.75" customHeight="1">
      <c r="A99" s="29">
        <v>29</v>
      </c>
      <c r="B99" s="95" t="s">
        <v>83</v>
      </c>
      <c r="C99" s="48" t="s">
        <v>109</v>
      </c>
      <c r="D99" s="35" t="s">
        <v>322</v>
      </c>
      <c r="E99" s="34"/>
      <c r="F99" s="34">
        <v>9</v>
      </c>
      <c r="G99" s="34">
        <v>186.47</v>
      </c>
      <c r="H99" s="34"/>
      <c r="I99" s="82">
        <f>G99*6</f>
        <v>1118.82</v>
      </c>
    </row>
    <row r="100" spans="1:9" ht="15.75" customHeight="1">
      <c r="A100" s="29">
        <v>30</v>
      </c>
      <c r="B100" s="95" t="s">
        <v>37</v>
      </c>
      <c r="C100" s="48" t="s">
        <v>269</v>
      </c>
      <c r="D100" s="47" t="s">
        <v>161</v>
      </c>
      <c r="E100" s="34"/>
      <c r="F100" s="34">
        <v>0.03</v>
      </c>
      <c r="G100" s="34">
        <v>8763.7900000000009</v>
      </c>
      <c r="H100" s="34"/>
      <c r="I100" s="82">
        <v>0</v>
      </c>
    </row>
    <row r="101" spans="1:9" ht="15.75" customHeight="1">
      <c r="A101" s="29"/>
      <c r="B101" s="41" t="s">
        <v>49</v>
      </c>
      <c r="C101" s="37"/>
      <c r="D101" s="45"/>
      <c r="E101" s="37">
        <v>1</v>
      </c>
      <c r="F101" s="37"/>
      <c r="G101" s="37"/>
      <c r="H101" s="37"/>
      <c r="I101" s="32">
        <f>SUM(I87:I99)</f>
        <v>11207.28</v>
      </c>
    </row>
    <row r="102" spans="1:9" ht="15.75" customHeight="1">
      <c r="A102" s="29"/>
      <c r="B102" s="43" t="s">
        <v>74</v>
      </c>
      <c r="C102" s="15"/>
      <c r="D102" s="15"/>
      <c r="E102" s="38"/>
      <c r="F102" s="38"/>
      <c r="G102" s="39"/>
      <c r="H102" s="39"/>
      <c r="I102" s="17">
        <v>0</v>
      </c>
    </row>
    <row r="103" spans="1:9" ht="15.75" customHeight="1">
      <c r="A103" s="46"/>
      <c r="B103" s="42" t="s">
        <v>147</v>
      </c>
      <c r="C103" s="33"/>
      <c r="D103" s="33"/>
      <c r="E103" s="33"/>
      <c r="F103" s="33"/>
      <c r="G103" s="33"/>
      <c r="H103" s="33"/>
      <c r="I103" s="40">
        <f>I85+I101</f>
        <v>53050.438985649991</v>
      </c>
    </row>
    <row r="104" spans="1:9" ht="15.75">
      <c r="A104" s="147" t="s">
        <v>331</v>
      </c>
      <c r="B104" s="147"/>
      <c r="C104" s="147"/>
      <c r="D104" s="147"/>
      <c r="E104" s="147"/>
      <c r="F104" s="147"/>
      <c r="G104" s="147"/>
      <c r="H104" s="147"/>
      <c r="I104" s="147"/>
    </row>
    <row r="105" spans="1:9" ht="15.75">
      <c r="A105" s="55"/>
      <c r="B105" s="159" t="s">
        <v>332</v>
      </c>
      <c r="C105" s="159"/>
      <c r="D105" s="159"/>
      <c r="E105" s="159"/>
      <c r="F105" s="159"/>
      <c r="G105" s="159"/>
      <c r="H105" s="60"/>
      <c r="I105" s="3"/>
    </row>
    <row r="106" spans="1:9">
      <c r="A106" s="92"/>
      <c r="B106" s="156" t="s">
        <v>6</v>
      </c>
      <c r="C106" s="156"/>
      <c r="D106" s="156"/>
      <c r="E106" s="156"/>
      <c r="F106" s="156"/>
      <c r="G106" s="156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60" t="s">
        <v>7</v>
      </c>
      <c r="B108" s="160"/>
      <c r="C108" s="160"/>
      <c r="D108" s="160"/>
      <c r="E108" s="160"/>
      <c r="F108" s="160"/>
      <c r="G108" s="160"/>
      <c r="H108" s="160"/>
      <c r="I108" s="160"/>
    </row>
    <row r="109" spans="1:9" ht="15.75">
      <c r="A109" s="160" t="s">
        <v>8</v>
      </c>
      <c r="B109" s="160"/>
      <c r="C109" s="160"/>
      <c r="D109" s="160"/>
      <c r="E109" s="160"/>
      <c r="F109" s="160"/>
      <c r="G109" s="160"/>
      <c r="H109" s="160"/>
      <c r="I109" s="160"/>
    </row>
    <row r="110" spans="1:9" ht="15.75">
      <c r="A110" s="143" t="s">
        <v>58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>
      <c r="A111" s="11"/>
    </row>
    <row r="112" spans="1:9" ht="15.75">
      <c r="A112" s="144" t="s">
        <v>9</v>
      </c>
      <c r="B112" s="144"/>
      <c r="C112" s="144"/>
      <c r="D112" s="144"/>
      <c r="E112" s="144"/>
      <c r="F112" s="144"/>
      <c r="G112" s="144"/>
      <c r="H112" s="144"/>
      <c r="I112" s="144"/>
    </row>
    <row r="113" spans="1:9" ht="15.75">
      <c r="A113" s="4"/>
    </row>
    <row r="114" spans="1:9" ht="15.75">
      <c r="B114" s="90" t="s">
        <v>10</v>
      </c>
      <c r="C114" s="155" t="s">
        <v>183</v>
      </c>
      <c r="D114" s="155"/>
      <c r="E114" s="155"/>
      <c r="F114" s="58"/>
      <c r="I114" s="94"/>
    </row>
    <row r="115" spans="1:9">
      <c r="A115" s="92"/>
      <c r="C115" s="156" t="s">
        <v>11</v>
      </c>
      <c r="D115" s="156"/>
      <c r="E115" s="156"/>
      <c r="F115" s="24"/>
      <c r="I115" s="93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90" t="s">
        <v>13</v>
      </c>
      <c r="C117" s="157"/>
      <c r="D117" s="157"/>
      <c r="E117" s="157"/>
      <c r="F117" s="59"/>
      <c r="I117" s="94"/>
    </row>
    <row r="118" spans="1:9">
      <c r="A118" s="92"/>
      <c r="C118" s="146" t="s">
        <v>11</v>
      </c>
      <c r="D118" s="146"/>
      <c r="E118" s="146"/>
      <c r="F118" s="92"/>
      <c r="I118" s="93" t="s">
        <v>12</v>
      </c>
    </row>
    <row r="119" spans="1:9" ht="15.75">
      <c r="A119" s="4" t="s">
        <v>14</v>
      </c>
    </row>
    <row r="120" spans="1:9">
      <c r="A120" s="158" t="s">
        <v>15</v>
      </c>
      <c r="B120" s="158"/>
      <c r="C120" s="158"/>
      <c r="D120" s="158"/>
      <c r="E120" s="158"/>
      <c r="F120" s="158"/>
      <c r="G120" s="158"/>
      <c r="H120" s="158"/>
      <c r="I120" s="158"/>
    </row>
    <row r="121" spans="1:9" ht="47.25" customHeight="1">
      <c r="A121" s="154" t="s">
        <v>16</v>
      </c>
      <c r="B121" s="154"/>
      <c r="C121" s="154"/>
      <c r="D121" s="154"/>
      <c r="E121" s="154"/>
      <c r="F121" s="154"/>
      <c r="G121" s="154"/>
      <c r="H121" s="154"/>
      <c r="I121" s="154"/>
    </row>
    <row r="122" spans="1:9" ht="31.5" customHeight="1">
      <c r="A122" s="154" t="s">
        <v>17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31.5" customHeight="1">
      <c r="A123" s="154" t="s">
        <v>21</v>
      </c>
      <c r="B123" s="154"/>
      <c r="C123" s="154"/>
      <c r="D123" s="154"/>
      <c r="E123" s="154"/>
      <c r="F123" s="154"/>
      <c r="G123" s="154"/>
      <c r="H123" s="154"/>
      <c r="I123" s="154"/>
    </row>
    <row r="124" spans="1:9" ht="15.75" customHeight="1">
      <c r="A124" s="154" t="s">
        <v>20</v>
      </c>
      <c r="B124" s="154"/>
      <c r="C124" s="154"/>
      <c r="D124" s="154"/>
      <c r="E124" s="154"/>
      <c r="F124" s="154"/>
      <c r="G124" s="154"/>
      <c r="H124" s="154"/>
      <c r="I124" s="154"/>
    </row>
  </sheetData>
  <autoFilter ref="I12:I59"/>
  <mergeCells count="29">
    <mergeCell ref="A14:I14"/>
    <mergeCell ref="A15:I15"/>
    <mergeCell ref="A27:I27"/>
    <mergeCell ref="A45:I45"/>
    <mergeCell ref="A55:I55"/>
    <mergeCell ref="A3:I3"/>
    <mergeCell ref="A4:I4"/>
    <mergeCell ref="A5:I5"/>
    <mergeCell ref="A8:I8"/>
    <mergeCell ref="A10:I10"/>
    <mergeCell ref="R64:U64"/>
    <mergeCell ref="C118:E118"/>
    <mergeCell ref="A86:I86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82:I82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6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2022-01-20T13:00:41Z</cp:lastPrinted>
  <dcterms:created xsi:type="dcterms:W3CDTF">2016-03-25T08:33:47Z</dcterms:created>
  <dcterms:modified xsi:type="dcterms:W3CDTF">2022-01-20T13:01:04Z</dcterms:modified>
</cp:coreProperties>
</file>