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9" sheetId="8" r:id="rId1"/>
    <sheet name="02.19" sheetId="17" r:id="rId2"/>
    <sheet name="03.19" sheetId="18" r:id="rId3"/>
    <sheet name="04.19" sheetId="19" r:id="rId4"/>
    <sheet name="05.19" sheetId="20" r:id="rId5"/>
    <sheet name="06.19" sheetId="21" r:id="rId6"/>
    <sheet name="07.19" sheetId="22" r:id="rId7"/>
    <sheet name="08.19" sheetId="23" r:id="rId8"/>
    <sheet name="09.19" sheetId="24" r:id="rId9"/>
    <sheet name="10.19" sheetId="25" r:id="rId10"/>
    <sheet name="11.19" sheetId="26" r:id="rId11"/>
    <sheet name="12.19" sheetId="27" r:id="rId12"/>
  </sheets>
  <definedNames>
    <definedName name="_xlnm._FilterDatabase" localSheetId="0" hidden="1">'01.19'!$I$12:$I$71</definedName>
    <definedName name="_xlnm._FilterDatabase" localSheetId="1" hidden="1">'02.19'!$I$12:$I$72</definedName>
    <definedName name="_xlnm._FilterDatabase" localSheetId="2" hidden="1">'03.19'!$I$12:$I$71</definedName>
    <definedName name="_xlnm._FilterDatabase" localSheetId="3" hidden="1">'04.19'!$I$12:$I$71</definedName>
    <definedName name="_xlnm._FilterDatabase" localSheetId="4" hidden="1">'05.19'!$I$12:$I$70</definedName>
    <definedName name="_xlnm._FilterDatabase" localSheetId="5" hidden="1">'06.19'!$I$12:$I$70</definedName>
    <definedName name="_xlnm._FilterDatabase" localSheetId="6" hidden="1">'07.19'!$I$12:$I$70</definedName>
    <definedName name="_xlnm._FilterDatabase" localSheetId="7" hidden="1">'08.19'!$I$12:$I$70</definedName>
    <definedName name="_xlnm._FilterDatabase" localSheetId="8" hidden="1">'09.19'!$I$12:$I$70</definedName>
    <definedName name="_xlnm._FilterDatabase" localSheetId="9" hidden="1">'10.19'!$I$12:$I$70</definedName>
    <definedName name="_xlnm._FilterDatabase" localSheetId="10" hidden="1">'11.19'!$I$12:$I$72</definedName>
    <definedName name="_xlnm._FilterDatabase" localSheetId="11" hidden="1">'12.19'!$I$12:$I$72</definedName>
    <definedName name="_xlnm.Print_Area" localSheetId="0">'01.19'!$A$1:$I$127</definedName>
    <definedName name="_xlnm.Print_Area" localSheetId="1">'02.19'!$A$1:$I$143</definedName>
    <definedName name="_xlnm.Print_Area" localSheetId="2">'03.19'!$A$1:$I$131</definedName>
    <definedName name="_xlnm.Print_Area" localSheetId="3">'04.19'!$A$1:$I$130</definedName>
    <definedName name="_xlnm.Print_Area" localSheetId="4">'05.19'!$A$1:$I$131</definedName>
    <definedName name="_xlnm.Print_Area" localSheetId="5">'06.19'!$A$1:$I$124</definedName>
    <definedName name="_xlnm.Print_Area" localSheetId="6">'07.19'!$A$1:$I$126</definedName>
    <definedName name="_xlnm.Print_Area" localSheetId="7">'08.19'!$A$1:$I$129</definedName>
    <definedName name="_xlnm.Print_Area" localSheetId="8">'09.19'!$A$1:$I$125</definedName>
    <definedName name="_xlnm.Print_Area" localSheetId="9">'10.19'!$A$1:$I$126</definedName>
    <definedName name="_xlnm.Print_Area" localSheetId="10">'11.19'!$A$1:$I$127</definedName>
    <definedName name="_xlnm.Print_Area" localSheetId="11">'12.19'!$A$1:$I$130</definedName>
  </definedNames>
  <calcPr calcId="124519"/>
</workbook>
</file>

<file path=xl/calcChain.xml><?xml version="1.0" encoding="utf-8"?>
<calcChain xmlns="http://schemas.openxmlformats.org/spreadsheetml/2006/main">
  <c r="I107" i="27"/>
  <c r="I106"/>
  <c r="I105"/>
  <c r="I99"/>
  <c r="I104"/>
  <c r="I103"/>
  <c r="I102"/>
  <c r="I44"/>
  <c r="H44"/>
  <c r="F43"/>
  <c r="H43" s="1"/>
  <c r="F42"/>
  <c r="I42" s="1"/>
  <c r="F41"/>
  <c r="H41" s="1"/>
  <c r="F40"/>
  <c r="I40" s="1"/>
  <c r="I39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H19" l="1"/>
  <c r="H23"/>
  <c r="H42"/>
  <c r="H16"/>
  <c r="H21"/>
  <c r="H25"/>
  <c r="H40"/>
  <c r="I41"/>
  <c r="I43"/>
  <c r="I17"/>
  <c r="I18"/>
  <c r="I20"/>
  <c r="I22"/>
  <c r="I24"/>
  <c r="I27"/>
  <c r="I99" i="26" l="1"/>
  <c r="I104"/>
  <c r="I103"/>
  <c r="I102"/>
  <c r="I39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F28"/>
  <c r="H28" s="1"/>
  <c r="I28"/>
  <c r="H21" l="1"/>
  <c r="H25"/>
  <c r="H19"/>
  <c r="H23"/>
  <c r="H18"/>
  <c r="I18"/>
  <c r="H16"/>
  <c r="I17"/>
  <c r="I20"/>
  <c r="I22"/>
  <c r="I24"/>
  <c r="I27"/>
  <c r="I103" i="25" l="1"/>
  <c r="I102"/>
  <c r="I97" i="24" l="1"/>
  <c r="I97" i="25"/>
  <c r="I101"/>
  <c r="I100"/>
  <c r="F33"/>
  <c r="H33" s="1"/>
  <c r="F32"/>
  <c r="I32" s="1"/>
  <c r="F31"/>
  <c r="H31" s="1"/>
  <c r="F30"/>
  <c r="I30" s="1"/>
  <c r="F30" i="24"/>
  <c r="H30" s="1"/>
  <c r="I30"/>
  <c r="F31"/>
  <c r="H31"/>
  <c r="I31"/>
  <c r="F32"/>
  <c r="H32" s="1"/>
  <c r="I32"/>
  <c r="F33"/>
  <c r="H33"/>
  <c r="I33"/>
  <c r="F27" i="25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19" l="1"/>
  <c r="H23"/>
  <c r="H21"/>
  <c r="H25"/>
  <c r="H30"/>
  <c r="I31"/>
  <c r="H32"/>
  <c r="I33"/>
  <c r="H18"/>
  <c r="I18"/>
  <c r="H16"/>
  <c r="I17"/>
  <c r="I20"/>
  <c r="I22"/>
  <c r="I24"/>
  <c r="I27"/>
  <c r="I102" i="24" l="1"/>
  <c r="I101"/>
  <c r="I100"/>
  <c r="F27"/>
  <c r="H27" s="1"/>
  <c r="E18"/>
  <c r="F18" s="1"/>
  <c r="F17"/>
  <c r="I17" s="1"/>
  <c r="F16"/>
  <c r="I16" s="1"/>
  <c r="H17" l="1"/>
  <c r="I27"/>
  <c r="H18"/>
  <c r="I18"/>
  <c r="H16"/>
  <c r="I97" i="23" l="1"/>
  <c r="I104" l="1"/>
  <c r="I106"/>
  <c r="I105"/>
  <c r="I103"/>
  <c r="I102"/>
  <c r="I101"/>
  <c r="I100"/>
  <c r="I58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97" i="22"/>
  <c r="I103"/>
  <c r="I102"/>
  <c r="I84"/>
  <c r="I101"/>
  <c r="F27"/>
  <c r="H27" s="1"/>
  <c r="I97" i="21"/>
  <c r="F27"/>
  <c r="H27" s="1"/>
  <c r="I97" i="20"/>
  <c r="F27"/>
  <c r="H27" s="1"/>
  <c r="F27" i="19"/>
  <c r="H27" s="1"/>
  <c r="F27" i="18"/>
  <c r="H27" s="1"/>
  <c r="F27" i="17"/>
  <c r="H27" s="1"/>
  <c r="F27" i="8"/>
  <c r="I100" i="21"/>
  <c r="I107" i="20"/>
  <c r="H23" i="23" l="1"/>
  <c r="H19"/>
  <c r="H21"/>
  <c r="H25"/>
  <c r="H18"/>
  <c r="I18"/>
  <c r="H16"/>
  <c r="I17"/>
  <c r="I20"/>
  <c r="I22"/>
  <c r="I24"/>
  <c r="I27"/>
  <c r="I27" i="22"/>
  <c r="I27" i="21"/>
  <c r="I27" i="20"/>
  <c r="I27" i="19"/>
  <c r="I27" i="18"/>
  <c r="I27" i="17"/>
  <c r="I106" i="20"/>
  <c r="I105"/>
  <c r="I104"/>
  <c r="I103"/>
  <c r="I102"/>
  <c r="I101"/>
  <c r="I100"/>
  <c r="I84"/>
  <c r="I106" i="19"/>
  <c r="I105"/>
  <c r="I104"/>
  <c r="I103"/>
  <c r="I102"/>
  <c r="I101"/>
  <c r="I98" i="18"/>
  <c r="I107"/>
  <c r="I108"/>
  <c r="I106"/>
  <c r="I105"/>
  <c r="I104"/>
  <c r="I103"/>
  <c r="I102"/>
  <c r="I101"/>
  <c r="I85"/>
  <c r="I38"/>
  <c r="I119" i="17"/>
  <c r="I120" s="1"/>
  <c r="I9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86"/>
  <c r="I59"/>
  <c r="I39"/>
  <c r="I85" i="8"/>
  <c r="I38"/>
  <c r="I103" l="1"/>
  <c r="I102"/>
  <c r="I101"/>
  <c r="I101" i="27" l="1"/>
  <c r="H101"/>
  <c r="I86"/>
  <c r="I66" i="26" l="1"/>
  <c r="I101"/>
  <c r="H101"/>
  <c r="I44"/>
  <c r="I99" i="25" l="1"/>
  <c r="H99"/>
  <c r="F86"/>
  <c r="H86" s="1"/>
  <c r="I86"/>
  <c r="H100" i="24"/>
  <c r="I99"/>
  <c r="H99"/>
  <c r="I99" i="23" l="1"/>
  <c r="H99"/>
  <c r="I100" i="22"/>
  <c r="I99"/>
  <c r="H99"/>
  <c r="I99" i="21" l="1"/>
  <c r="I101" s="1"/>
  <c r="H99"/>
  <c r="I58" i="20" l="1"/>
  <c r="I99"/>
  <c r="I108" s="1"/>
  <c r="H99"/>
  <c r="I53" i="19"/>
  <c r="I107"/>
  <c r="I100"/>
  <c r="H100"/>
  <c r="I43"/>
  <c r="I100" i="18" l="1"/>
  <c r="H100"/>
  <c r="I53"/>
  <c r="I43"/>
  <c r="I44" i="17"/>
  <c r="I43" i="8" l="1"/>
  <c r="H106" i="17"/>
  <c r="F105"/>
  <c r="H105" s="1"/>
  <c r="H104"/>
  <c r="H103"/>
  <c r="H102"/>
  <c r="I101"/>
  <c r="H101"/>
  <c r="I66"/>
  <c r="H102" i="8"/>
  <c r="H101"/>
  <c r="I100"/>
  <c r="I104" s="1"/>
  <c r="H100"/>
  <c r="I87" i="27" l="1"/>
  <c r="F98"/>
  <c r="I98" s="1"/>
  <c r="F97"/>
  <c r="H97" s="1"/>
  <c r="F95"/>
  <c r="I95" s="1"/>
  <c r="F94"/>
  <c r="H94" s="1"/>
  <c r="F93"/>
  <c r="H93" s="1"/>
  <c r="F92"/>
  <c r="H92" s="1"/>
  <c r="F91"/>
  <c r="H91" s="1"/>
  <c r="F90"/>
  <c r="H90" s="1"/>
  <c r="F89"/>
  <c r="H89" s="1"/>
  <c r="I88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I73"/>
  <c r="F73"/>
  <c r="H73" s="1"/>
  <c r="F72"/>
  <c r="H72" s="1"/>
  <c r="F71"/>
  <c r="I71" s="1"/>
  <c r="F70"/>
  <c r="H70" s="1"/>
  <c r="F69"/>
  <c r="I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39"/>
  <c r="H37"/>
  <c r="H36"/>
  <c r="F35"/>
  <c r="I35" s="1"/>
  <c r="E35"/>
  <c r="F34"/>
  <c r="I34" s="1"/>
  <c r="F33"/>
  <c r="H33" s="1"/>
  <c r="F32"/>
  <c r="I32" s="1"/>
  <c r="F31"/>
  <c r="H31" s="1"/>
  <c r="F28"/>
  <c r="I28" s="1"/>
  <c r="H98" i="26"/>
  <c r="F98"/>
  <c r="I98" s="1"/>
  <c r="F97"/>
  <c r="H97" s="1"/>
  <c r="F95"/>
  <c r="I95" s="1"/>
  <c r="F94"/>
  <c r="H94" s="1"/>
  <c r="F93"/>
  <c r="H93" s="1"/>
  <c r="F92"/>
  <c r="H92" s="1"/>
  <c r="F91"/>
  <c r="H91" s="1"/>
  <c r="F90"/>
  <c r="H90" s="1"/>
  <c r="F89"/>
  <c r="H89" s="1"/>
  <c r="I88"/>
  <c r="F88"/>
  <c r="H88" s="1"/>
  <c r="I87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I73"/>
  <c r="F73"/>
  <c r="H73" s="1"/>
  <c r="F72"/>
  <c r="H72" s="1"/>
  <c r="F71"/>
  <c r="I71" s="1"/>
  <c r="F70"/>
  <c r="H70" s="1"/>
  <c r="F69"/>
  <c r="I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44"/>
  <c r="F43"/>
  <c r="I43" s="1"/>
  <c r="F42"/>
  <c r="H42" s="1"/>
  <c r="F41"/>
  <c r="I41" s="1"/>
  <c r="F40"/>
  <c r="H40" s="1"/>
  <c r="H39"/>
  <c r="H37"/>
  <c r="H36"/>
  <c r="F35"/>
  <c r="I35" s="1"/>
  <c r="E35"/>
  <c r="F34"/>
  <c r="I34" s="1"/>
  <c r="F33"/>
  <c r="H33" s="1"/>
  <c r="F32"/>
  <c r="I32" s="1"/>
  <c r="F31"/>
  <c r="H31" s="1"/>
  <c r="I85" i="25"/>
  <c r="H35" i="26" l="1"/>
  <c r="H95"/>
  <c r="H95" i="27"/>
  <c r="H71"/>
  <c r="H69"/>
  <c r="H28"/>
  <c r="I31"/>
  <c r="H32"/>
  <c r="I33"/>
  <c r="H34"/>
  <c r="H35"/>
  <c r="I46"/>
  <c r="H47"/>
  <c r="I48"/>
  <c r="H49"/>
  <c r="I50"/>
  <c r="H51"/>
  <c r="I52"/>
  <c r="H53"/>
  <c r="I59"/>
  <c r="I68"/>
  <c r="I70"/>
  <c r="I72"/>
  <c r="I97"/>
  <c r="H98"/>
  <c r="H69" i="26"/>
  <c r="H71"/>
  <c r="H32"/>
  <c r="H34"/>
  <c r="H43"/>
  <c r="H41"/>
  <c r="I31"/>
  <c r="I33"/>
  <c r="I40"/>
  <c r="I42"/>
  <c r="I46"/>
  <c r="H47"/>
  <c r="I48"/>
  <c r="H49"/>
  <c r="I50"/>
  <c r="H51"/>
  <c r="I52"/>
  <c r="H53"/>
  <c r="I59"/>
  <c r="I68"/>
  <c r="I70"/>
  <c r="I72"/>
  <c r="I97"/>
  <c r="I109" i="27" l="1"/>
  <c r="I106" i="26"/>
  <c r="F96" i="25" l="1"/>
  <c r="I96" s="1"/>
  <c r="F95"/>
  <c r="I95" s="1"/>
  <c r="F93"/>
  <c r="I93" s="1"/>
  <c r="F92"/>
  <c r="H92" s="1"/>
  <c r="F91"/>
  <c r="H91" s="1"/>
  <c r="F90"/>
  <c r="H90" s="1"/>
  <c r="F89"/>
  <c r="H89" s="1"/>
  <c r="F88"/>
  <c r="H88" s="1"/>
  <c r="F87"/>
  <c r="H87" s="1"/>
  <c r="F85"/>
  <c r="H85" s="1"/>
  <c r="F84"/>
  <c r="H84" s="1"/>
  <c r="F83"/>
  <c r="H83" s="1"/>
  <c r="H81"/>
  <c r="F79"/>
  <c r="H79" s="1"/>
  <c r="H78"/>
  <c r="F77"/>
  <c r="H77" s="1"/>
  <c r="H76"/>
  <c r="F75"/>
  <c r="H75" s="1"/>
  <c r="I73"/>
  <c r="H73"/>
  <c r="I71"/>
  <c r="F71"/>
  <c r="H71" s="1"/>
  <c r="F70"/>
  <c r="H70" s="1"/>
  <c r="F69"/>
  <c r="I69" s="1"/>
  <c r="F68"/>
  <c r="H68" s="1"/>
  <c r="F67"/>
  <c r="I67" s="1"/>
  <c r="F66"/>
  <c r="H66" s="1"/>
  <c r="H65"/>
  <c r="H64"/>
  <c r="F62"/>
  <c r="H62" s="1"/>
  <c r="F60"/>
  <c r="H60" s="1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I86" i="24"/>
  <c r="I71"/>
  <c r="F96"/>
  <c r="I96" s="1"/>
  <c r="F95"/>
  <c r="H95" s="1"/>
  <c r="F93"/>
  <c r="I93" s="1"/>
  <c r="F92"/>
  <c r="H92" s="1"/>
  <c r="F91"/>
  <c r="H91" s="1"/>
  <c r="F90"/>
  <c r="H90" s="1"/>
  <c r="F89"/>
  <c r="H89" s="1"/>
  <c r="F88"/>
  <c r="H88" s="1"/>
  <c r="F87"/>
  <c r="H87" s="1"/>
  <c r="F86"/>
  <c r="H86" s="1"/>
  <c r="I85"/>
  <c r="F85"/>
  <c r="H85" s="1"/>
  <c r="F84"/>
  <c r="H84" s="1"/>
  <c r="F83"/>
  <c r="H83" s="1"/>
  <c r="H81"/>
  <c r="F79"/>
  <c r="H79" s="1"/>
  <c r="H78"/>
  <c r="F77"/>
  <c r="H77" s="1"/>
  <c r="H76"/>
  <c r="F75"/>
  <c r="H75" s="1"/>
  <c r="I73"/>
  <c r="H73"/>
  <c r="F71"/>
  <c r="H71" s="1"/>
  <c r="F70"/>
  <c r="H70" s="1"/>
  <c r="F69"/>
  <c r="I69" s="1"/>
  <c r="F68"/>
  <c r="H68" s="1"/>
  <c r="F67"/>
  <c r="I67" s="1"/>
  <c r="F66"/>
  <c r="H66" s="1"/>
  <c r="H65"/>
  <c r="H64"/>
  <c r="F62"/>
  <c r="H62" s="1"/>
  <c r="F60"/>
  <c r="H60" s="1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H100" i="23"/>
  <c r="F96"/>
  <c r="I96" s="1"/>
  <c r="F95"/>
  <c r="I95" s="1"/>
  <c r="F93"/>
  <c r="I93" s="1"/>
  <c r="F92"/>
  <c r="H92" s="1"/>
  <c r="F91"/>
  <c r="H91" s="1"/>
  <c r="F90"/>
  <c r="H90" s="1"/>
  <c r="F89"/>
  <c r="H89" s="1"/>
  <c r="F88"/>
  <c r="H88" s="1"/>
  <c r="F87"/>
  <c r="H87" s="1"/>
  <c r="F86"/>
  <c r="H86" s="1"/>
  <c r="I85"/>
  <c r="F85"/>
  <c r="H85" s="1"/>
  <c r="F84"/>
  <c r="H84" s="1"/>
  <c r="F83"/>
  <c r="H83" s="1"/>
  <c r="H81"/>
  <c r="F79"/>
  <c r="H79" s="1"/>
  <c r="H78"/>
  <c r="F77"/>
  <c r="H77" s="1"/>
  <c r="H76"/>
  <c r="F75"/>
  <c r="H75" s="1"/>
  <c r="I73"/>
  <c r="H73"/>
  <c r="F71"/>
  <c r="H71" s="1"/>
  <c r="F70"/>
  <c r="H70" s="1"/>
  <c r="F69"/>
  <c r="I69" s="1"/>
  <c r="F68"/>
  <c r="H68" s="1"/>
  <c r="F67"/>
  <c r="I67" s="1"/>
  <c r="F66"/>
  <c r="H66" s="1"/>
  <c r="H65"/>
  <c r="H64"/>
  <c r="F62"/>
  <c r="H62" s="1"/>
  <c r="F60"/>
  <c r="H60" s="1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I48" s="1"/>
  <c r="F47"/>
  <c r="I47" s="1"/>
  <c r="F46"/>
  <c r="I46" s="1"/>
  <c r="F45"/>
  <c r="I45" s="1"/>
  <c r="F44"/>
  <c r="I44" s="1"/>
  <c r="I42"/>
  <c r="H42"/>
  <c r="F41"/>
  <c r="I41" s="1"/>
  <c r="F40"/>
  <c r="H40" s="1"/>
  <c r="F39"/>
  <c r="I39" s="1"/>
  <c r="F38"/>
  <c r="H38" s="1"/>
  <c r="I37"/>
  <c r="H37"/>
  <c r="H35"/>
  <c r="H34"/>
  <c r="F33"/>
  <c r="I33" s="1"/>
  <c r="F32"/>
  <c r="H32" s="1"/>
  <c r="F31"/>
  <c r="I31" s="1"/>
  <c r="F30"/>
  <c r="H30" s="1"/>
  <c r="F96" i="22"/>
  <c r="I96" s="1"/>
  <c r="F95"/>
  <c r="H95" s="1"/>
  <c r="F93"/>
  <c r="I93" s="1"/>
  <c r="F92"/>
  <c r="H92" s="1"/>
  <c r="F91"/>
  <c r="H91" s="1"/>
  <c r="F90"/>
  <c r="H90" s="1"/>
  <c r="F89"/>
  <c r="H89" s="1"/>
  <c r="F88"/>
  <c r="H88" s="1"/>
  <c r="F87"/>
  <c r="H87" s="1"/>
  <c r="F86"/>
  <c r="H86" s="1"/>
  <c r="I85"/>
  <c r="F85"/>
  <c r="H85" s="1"/>
  <c r="F84"/>
  <c r="H84" s="1"/>
  <c r="F83"/>
  <c r="H83" s="1"/>
  <c r="H81"/>
  <c r="F79"/>
  <c r="H79" s="1"/>
  <c r="H78"/>
  <c r="F77"/>
  <c r="H77" s="1"/>
  <c r="H76"/>
  <c r="F75"/>
  <c r="H75" s="1"/>
  <c r="I73"/>
  <c r="H73"/>
  <c r="F71"/>
  <c r="H71" s="1"/>
  <c r="F70"/>
  <c r="H70" s="1"/>
  <c r="F69"/>
  <c r="I69" s="1"/>
  <c r="F68"/>
  <c r="H68" s="1"/>
  <c r="F67"/>
  <c r="I67" s="1"/>
  <c r="F66"/>
  <c r="H66" s="1"/>
  <c r="H65"/>
  <c r="H64"/>
  <c r="F62"/>
  <c r="H62" s="1"/>
  <c r="F60"/>
  <c r="H60" s="1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F33"/>
  <c r="I33" s="1"/>
  <c r="F32"/>
  <c r="H32" s="1"/>
  <c r="F31"/>
  <c r="I31" s="1"/>
  <c r="F30"/>
  <c r="H30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5" i="21"/>
  <c r="F96"/>
  <c r="I96" s="1"/>
  <c r="F95"/>
  <c r="H95" s="1"/>
  <c r="F93"/>
  <c r="I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F84"/>
  <c r="H84" s="1"/>
  <c r="F83"/>
  <c r="H83" s="1"/>
  <c r="H81"/>
  <c r="F79"/>
  <c r="H79" s="1"/>
  <c r="H78"/>
  <c r="F77"/>
  <c r="H77" s="1"/>
  <c r="H76"/>
  <c r="F75"/>
  <c r="H75" s="1"/>
  <c r="I73"/>
  <c r="H73"/>
  <c r="F71"/>
  <c r="F70"/>
  <c r="I70" s="1"/>
  <c r="F69"/>
  <c r="H69" s="1"/>
  <c r="F68"/>
  <c r="I68" s="1"/>
  <c r="F67"/>
  <c r="H67" s="1"/>
  <c r="F66"/>
  <c r="I66" s="1"/>
  <c r="H65"/>
  <c r="H64"/>
  <c r="F62"/>
  <c r="H62" s="1"/>
  <c r="F60"/>
  <c r="H60" s="1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F38"/>
  <c r="I38" s="1"/>
  <c r="I37"/>
  <c r="H37"/>
  <c r="H35"/>
  <c r="H34"/>
  <c r="F33"/>
  <c r="H33" s="1"/>
  <c r="F32"/>
  <c r="I32" s="1"/>
  <c r="F31"/>
  <c r="H31" s="1"/>
  <c r="F30"/>
  <c r="I30" s="1"/>
  <c r="I26"/>
  <c r="H26"/>
  <c r="F25"/>
  <c r="I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00" i="20"/>
  <c r="I52"/>
  <c r="I26"/>
  <c r="F96"/>
  <c r="I96" s="1"/>
  <c r="F95"/>
  <c r="H95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F84"/>
  <c r="H84" s="1"/>
  <c r="F83"/>
  <c r="H83" s="1"/>
  <c r="H81"/>
  <c r="F79"/>
  <c r="H79" s="1"/>
  <c r="H78"/>
  <c r="F77"/>
  <c r="H77" s="1"/>
  <c r="H76"/>
  <c r="F75"/>
  <c r="H75" s="1"/>
  <c r="I73"/>
  <c r="H73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F60"/>
  <c r="H60" s="1"/>
  <c r="H58"/>
  <c r="F57"/>
  <c r="I57" s="1"/>
  <c r="I54"/>
  <c r="F54"/>
  <c r="H54" s="1"/>
  <c r="I53"/>
  <c r="F53"/>
  <c r="H53" s="1"/>
  <c r="H52"/>
  <c r="F51"/>
  <c r="H51" s="1"/>
  <c r="F50"/>
  <c r="H50" s="1"/>
  <c r="H49"/>
  <c r="F49"/>
  <c r="I49" s="1"/>
  <c r="F48"/>
  <c r="I48" s="1"/>
  <c r="F47"/>
  <c r="I47" s="1"/>
  <c r="F46"/>
  <c r="I46" s="1"/>
  <c r="F45"/>
  <c r="I45" s="1"/>
  <c r="F44"/>
  <c r="I44" s="1"/>
  <c r="I42"/>
  <c r="H42"/>
  <c r="F41"/>
  <c r="H41" s="1"/>
  <c r="F40"/>
  <c r="I40" s="1"/>
  <c r="F39"/>
  <c r="H39" s="1"/>
  <c r="F38"/>
  <c r="I38" s="1"/>
  <c r="I37"/>
  <c r="H37"/>
  <c r="H35"/>
  <c r="H34"/>
  <c r="F33"/>
  <c r="H33" s="1"/>
  <c r="F32"/>
  <c r="I32" s="1"/>
  <c r="F31"/>
  <c r="H31" s="1"/>
  <c r="F30"/>
  <c r="I30" s="1"/>
  <c r="H26"/>
  <c r="F25"/>
  <c r="H25" s="1"/>
  <c r="F24"/>
  <c r="H24" s="1"/>
  <c r="F23"/>
  <c r="H23" s="1"/>
  <c r="F22"/>
  <c r="H22" s="1"/>
  <c r="F21"/>
  <c r="H21" s="1"/>
  <c r="F20"/>
  <c r="H20" s="1"/>
  <c r="F19"/>
  <c r="E18"/>
  <c r="F18" s="1"/>
  <c r="F17"/>
  <c r="I17" s="1"/>
  <c r="F16"/>
  <c r="H16" s="1"/>
  <c r="H101" i="19"/>
  <c r="H96" i="24" l="1"/>
  <c r="H48" i="23"/>
  <c r="H67"/>
  <c r="H44"/>
  <c r="H46"/>
  <c r="H69"/>
  <c r="H95"/>
  <c r="H96" i="22"/>
  <c r="H48" i="20"/>
  <c r="H96"/>
  <c r="H19"/>
  <c r="I19"/>
  <c r="H95" i="25"/>
  <c r="H71" i="21"/>
  <c r="I71"/>
  <c r="I38" i="25"/>
  <c r="H39"/>
  <c r="I40"/>
  <c r="H41"/>
  <c r="I44"/>
  <c r="H45"/>
  <c r="I46"/>
  <c r="H47"/>
  <c r="I48"/>
  <c r="H49"/>
  <c r="I50"/>
  <c r="H51"/>
  <c r="I57"/>
  <c r="I66"/>
  <c r="H67"/>
  <c r="I68"/>
  <c r="H69"/>
  <c r="I70"/>
  <c r="H93"/>
  <c r="H96"/>
  <c r="H67" i="24"/>
  <c r="H69"/>
  <c r="H93"/>
  <c r="H19"/>
  <c r="I20"/>
  <c r="H21"/>
  <c r="I22"/>
  <c r="H23"/>
  <c r="I24"/>
  <c r="H25"/>
  <c r="I38"/>
  <c r="H39"/>
  <c r="I40"/>
  <c r="H41"/>
  <c r="I44"/>
  <c r="H45"/>
  <c r="I46"/>
  <c r="H47"/>
  <c r="I48"/>
  <c r="H49"/>
  <c r="I50"/>
  <c r="H51"/>
  <c r="I57"/>
  <c r="I66"/>
  <c r="I68"/>
  <c r="I70"/>
  <c r="I95"/>
  <c r="I30" i="23"/>
  <c r="H31"/>
  <c r="I32"/>
  <c r="H33"/>
  <c r="I38"/>
  <c r="H39"/>
  <c r="I40"/>
  <c r="H41"/>
  <c r="H45"/>
  <c r="H47"/>
  <c r="H49"/>
  <c r="I50"/>
  <c r="H51"/>
  <c r="I57"/>
  <c r="I66"/>
  <c r="I68"/>
  <c r="I70"/>
  <c r="H93"/>
  <c r="H96"/>
  <c r="H93" i="22"/>
  <c r="H18"/>
  <c r="I18"/>
  <c r="H16"/>
  <c r="I17"/>
  <c r="H19"/>
  <c r="I20"/>
  <c r="H21"/>
  <c r="I22"/>
  <c r="H23"/>
  <c r="I24"/>
  <c r="H25"/>
  <c r="I30"/>
  <c r="H31"/>
  <c r="I32"/>
  <c r="H33"/>
  <c r="I38"/>
  <c r="H39"/>
  <c r="I40"/>
  <c r="H41"/>
  <c r="I44"/>
  <c r="H45"/>
  <c r="I46"/>
  <c r="H47"/>
  <c r="I48"/>
  <c r="H49"/>
  <c r="I50"/>
  <c r="H51"/>
  <c r="I57"/>
  <c r="I66"/>
  <c r="H67"/>
  <c r="I68"/>
  <c r="H69"/>
  <c r="I70"/>
  <c r="I95"/>
  <c r="H96" i="21"/>
  <c r="H93"/>
  <c r="H25"/>
  <c r="I18"/>
  <c r="H18"/>
  <c r="I16"/>
  <c r="H17"/>
  <c r="I19"/>
  <c r="H20"/>
  <c r="I21"/>
  <c r="H22"/>
  <c r="I23"/>
  <c r="H24"/>
  <c r="H30"/>
  <c r="I31"/>
  <c r="H32"/>
  <c r="I33"/>
  <c r="H38"/>
  <c r="I39"/>
  <c r="H40"/>
  <c r="I41"/>
  <c r="H44"/>
  <c r="I45"/>
  <c r="H46"/>
  <c r="I47"/>
  <c r="H48"/>
  <c r="I49"/>
  <c r="H50"/>
  <c r="I51"/>
  <c r="H57"/>
  <c r="H66"/>
  <c r="I67"/>
  <c r="H68"/>
  <c r="I69"/>
  <c r="H70"/>
  <c r="I95"/>
  <c r="H30" i="20"/>
  <c r="H44"/>
  <c r="H45"/>
  <c r="H46"/>
  <c r="H47"/>
  <c r="I21"/>
  <c r="I23"/>
  <c r="I25"/>
  <c r="I66"/>
  <c r="I69"/>
  <c r="I67"/>
  <c r="H17"/>
  <c r="H38"/>
  <c r="I22"/>
  <c r="I20"/>
  <c r="I24"/>
  <c r="I50"/>
  <c r="I51"/>
  <c r="I70"/>
  <c r="I68"/>
  <c r="I93"/>
  <c r="H40"/>
  <c r="H32"/>
  <c r="I18"/>
  <c r="H18"/>
  <c r="I16"/>
  <c r="I31"/>
  <c r="I33"/>
  <c r="I39"/>
  <c r="I41"/>
  <c r="H57"/>
  <c r="I95"/>
  <c r="I104" i="24" l="1"/>
  <c r="I108" i="23"/>
  <c r="I105" i="22"/>
  <c r="I110" i="20"/>
  <c r="I105" i="25"/>
  <c r="I103" i="21"/>
  <c r="F97" i="19" l="1"/>
  <c r="I97" s="1"/>
  <c r="F96"/>
  <c r="H96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F84"/>
  <c r="H84" s="1"/>
  <c r="H82"/>
  <c r="F80"/>
  <c r="H80" s="1"/>
  <c r="H79"/>
  <c r="F78"/>
  <c r="H78" s="1"/>
  <c r="H77"/>
  <c r="F76"/>
  <c r="H76" s="1"/>
  <c r="I74"/>
  <c r="H74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F61"/>
  <c r="H61" s="1"/>
  <c r="H59"/>
  <c r="F58"/>
  <c r="I58" s="1"/>
  <c r="I55"/>
  <c r="F55"/>
  <c r="H55" s="1"/>
  <c r="I54"/>
  <c r="F54"/>
  <c r="H54" s="1"/>
  <c r="H53"/>
  <c r="F52"/>
  <c r="F51"/>
  <c r="F50"/>
  <c r="I50" s="1"/>
  <c r="F49"/>
  <c r="H49" s="1"/>
  <c r="F48"/>
  <c r="H48" s="1"/>
  <c r="F47"/>
  <c r="H47" s="1"/>
  <c r="F46"/>
  <c r="H46" s="1"/>
  <c r="F45"/>
  <c r="H45" s="1"/>
  <c r="H43"/>
  <c r="F42"/>
  <c r="F41"/>
  <c r="I41" s="1"/>
  <c r="F40"/>
  <c r="H40" s="1"/>
  <c r="F39"/>
  <c r="I39" s="1"/>
  <c r="I38"/>
  <c r="H38"/>
  <c r="H36"/>
  <c r="H35"/>
  <c r="F34"/>
  <c r="H34" s="1"/>
  <c r="E34"/>
  <c r="F33"/>
  <c r="H33" s="1"/>
  <c r="F32"/>
  <c r="I32" s="1"/>
  <c r="F31"/>
  <c r="H31" s="1"/>
  <c r="F30"/>
  <c r="I30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97" i="18"/>
  <c r="I97" s="1"/>
  <c r="F96"/>
  <c r="H96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F84"/>
  <c r="H84" s="1"/>
  <c r="H82"/>
  <c r="F80"/>
  <c r="H80" s="1"/>
  <c r="H79"/>
  <c r="F78"/>
  <c r="H78" s="1"/>
  <c r="H77"/>
  <c r="F76"/>
  <c r="H76" s="1"/>
  <c r="I74"/>
  <c r="H74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F61"/>
  <c r="H61" s="1"/>
  <c r="H59"/>
  <c r="F58"/>
  <c r="I58" s="1"/>
  <c r="I55"/>
  <c r="F55"/>
  <c r="H55" s="1"/>
  <c r="I54"/>
  <c r="F54"/>
  <c r="H54" s="1"/>
  <c r="H53"/>
  <c r="F52"/>
  <c r="F51"/>
  <c r="F50"/>
  <c r="I50" s="1"/>
  <c r="F49"/>
  <c r="H49" s="1"/>
  <c r="F48"/>
  <c r="H48" s="1"/>
  <c r="F47"/>
  <c r="H47" s="1"/>
  <c r="F46"/>
  <c r="H46" s="1"/>
  <c r="F45"/>
  <c r="H45" s="1"/>
  <c r="H43"/>
  <c r="F42"/>
  <c r="F41"/>
  <c r="I41" s="1"/>
  <c r="F40"/>
  <c r="H40" s="1"/>
  <c r="F39"/>
  <c r="I39" s="1"/>
  <c r="H38"/>
  <c r="H36"/>
  <c r="H35"/>
  <c r="F34"/>
  <c r="H34" s="1"/>
  <c r="E34"/>
  <c r="F33"/>
  <c r="H33" s="1"/>
  <c r="F32"/>
  <c r="I32" s="1"/>
  <c r="F31"/>
  <c r="H31" s="1"/>
  <c r="F30"/>
  <c r="I30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75" i="17"/>
  <c r="F98"/>
  <c r="I98" s="1"/>
  <c r="F97"/>
  <c r="H97" s="1"/>
  <c r="F95"/>
  <c r="H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H75"/>
  <c r="F73"/>
  <c r="H73" s="1"/>
  <c r="F72"/>
  <c r="H72" s="1"/>
  <c r="F71"/>
  <c r="H71" s="1"/>
  <c r="F70"/>
  <c r="H70" s="1"/>
  <c r="F69"/>
  <c r="H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H44"/>
  <c r="F43"/>
  <c r="I43" s="1"/>
  <c r="F42"/>
  <c r="H42" s="1"/>
  <c r="F41"/>
  <c r="I41" s="1"/>
  <c r="F40"/>
  <c r="I40" s="1"/>
  <c r="H39"/>
  <c r="H37"/>
  <c r="H36"/>
  <c r="F35"/>
  <c r="I35" s="1"/>
  <c r="E35"/>
  <c r="F34"/>
  <c r="I34" s="1"/>
  <c r="F33"/>
  <c r="H33" s="1"/>
  <c r="F32"/>
  <c r="I32" s="1"/>
  <c r="F31"/>
  <c r="H31" s="1"/>
  <c r="F28"/>
  <c r="I28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F97" i="8"/>
  <c r="H97" s="1"/>
  <c r="F96"/>
  <c r="H96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F84"/>
  <c r="H84" s="1"/>
  <c r="H82"/>
  <c r="F80"/>
  <c r="H80" s="1"/>
  <c r="H79"/>
  <c r="F78"/>
  <c r="H78" s="1"/>
  <c r="H77"/>
  <c r="F76"/>
  <c r="H76" s="1"/>
  <c r="H74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F61"/>
  <c r="H61" s="1"/>
  <c r="H59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H43"/>
  <c r="F42"/>
  <c r="F41"/>
  <c r="I41" s="1"/>
  <c r="F40"/>
  <c r="H40" s="1"/>
  <c r="F39"/>
  <c r="I39" s="1"/>
  <c r="H38"/>
  <c r="H36"/>
  <c r="H35"/>
  <c r="F34"/>
  <c r="H34" s="1"/>
  <c r="E34"/>
  <c r="F33"/>
  <c r="H33" s="1"/>
  <c r="F32"/>
  <c r="H32" s="1"/>
  <c r="F31"/>
  <c r="H31" s="1"/>
  <c r="F30"/>
  <c r="H30" s="1"/>
  <c r="H27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52" i="19" l="1"/>
  <c r="I52"/>
  <c r="H30"/>
  <c r="H51"/>
  <c r="I51"/>
  <c r="H42" i="18"/>
  <c r="I42"/>
  <c r="H97"/>
  <c r="H39" i="8"/>
  <c r="H42"/>
  <c r="I42"/>
  <c r="H17" i="19"/>
  <c r="H39"/>
  <c r="H32"/>
  <c r="H41"/>
  <c r="H50"/>
  <c r="H58"/>
  <c r="H42"/>
  <c r="I42"/>
  <c r="H52" i="18"/>
  <c r="I52"/>
  <c r="H51"/>
  <c r="I51"/>
  <c r="H40" i="17"/>
  <c r="I18" i="19"/>
  <c r="H18"/>
  <c r="I16"/>
  <c r="I31"/>
  <c r="I33"/>
  <c r="I34"/>
  <c r="I40"/>
  <c r="I96"/>
  <c r="I98" s="1"/>
  <c r="H97"/>
  <c r="I18" i="18"/>
  <c r="H18"/>
  <c r="I16"/>
  <c r="H17"/>
  <c r="H30"/>
  <c r="I31"/>
  <c r="H32"/>
  <c r="I33"/>
  <c r="I34"/>
  <c r="H39"/>
  <c r="I40"/>
  <c r="H41"/>
  <c r="H50"/>
  <c r="H58"/>
  <c r="I96"/>
  <c r="H18" i="17"/>
  <c r="I18"/>
  <c r="H16"/>
  <c r="I17"/>
  <c r="H28"/>
  <c r="I31"/>
  <c r="H32"/>
  <c r="I33"/>
  <c r="H34"/>
  <c r="H35"/>
  <c r="H41"/>
  <c r="I42"/>
  <c r="H43"/>
  <c r="I51"/>
  <c r="I97"/>
  <c r="H98"/>
  <c r="I34" i="8"/>
  <c r="H17"/>
  <c r="H41"/>
  <c r="H50"/>
  <c r="H58"/>
  <c r="I97"/>
  <c r="I96"/>
  <c r="I40"/>
  <c r="I30"/>
  <c r="I33"/>
  <c r="I32"/>
  <c r="I31"/>
  <c r="I27"/>
  <c r="I18"/>
  <c r="H18"/>
  <c r="I16"/>
  <c r="I109" i="19" l="1"/>
  <c r="I122" i="17"/>
  <c r="I98" i="8"/>
  <c r="I110" i="18"/>
  <c r="I106" i="8" l="1"/>
</calcChain>
</file>

<file path=xl/sharedStrings.xml><?xml version="1.0" encoding="utf-8"?>
<sst xmlns="http://schemas.openxmlformats.org/spreadsheetml/2006/main" count="3126" uniqueCount="274">
  <si>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</si>
  <si>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</si>
  <si>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</si>
  <si>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</si>
  <si>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</si>
  <si>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</si>
  <si>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</si>
  <si>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</si>
  <si>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</si>
  <si>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</si>
  <si>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</si>
  <si>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</si>
  <si>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</si>
  <si>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</si>
  <si>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</si>
  <si>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</si>
  <si>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</si>
  <si>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</si>
  <si>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</si>
  <si>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</si>
  <si>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</si>
  <si>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</si>
  <si>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</si>
  <si>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</si>
  <si>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</si>
  <si>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</si>
  <si>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</si>
  <si>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</si>
  <si>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</si>
  <si>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</si>
  <si>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</si>
  <si>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</si>
  <si>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</si>
  <si>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</si>
  <si>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</si>
  <si>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</si>
  <si>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</si>
  <si>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</si>
  <si>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</si>
  <si>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</si>
  <si>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</si>
  <si>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</si>
  <si>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</si>
  <si>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</si>
  <si>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</si>
  <si>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</si>
  <si>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</si>
  <si>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</si>
  <si>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</si>
  <si>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</si>
  <si>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</si>
  <si>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</si>
  <si>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</si>
  <si>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</si>
  <si>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</si>
  <si>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</si>
  <si>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</si>
  <si>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</si>
  <si>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</si>
  <si>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</si>
  <si>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</si>
  <si>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</si>
  <si>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</si>
  <si>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</si>
  <si>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</si>
  <si>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</si>
  <si>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</si>
  <si>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</si>
  <si>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</si>
  <si>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</si>
  <si>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</si>
  <si>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</si>
  <si>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</si>
  <si>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</si>
  <si>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</si>
  <si>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</si>
  <si>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</si>
  <si>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</si>
  <si>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</si>
  <si>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</si>
  <si>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</si>
  <si>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</si>
  <si>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</si>
  <si>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 xml:space="preserve">ежедневно </t>
  </si>
  <si>
    <t>Влажное подметание лестничных клеток 1 этажа</t>
  </si>
  <si>
    <t>генеральный директор Куканов Ю.Л.</t>
  </si>
  <si>
    <t>100м2</t>
  </si>
  <si>
    <t>Мытье лестничных  площадок и маршей 1-5 этаж.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</si>
  <si>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</si>
  <si>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</si>
  <si>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</si>
  <si>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</si>
  <si>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</si>
  <si>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</si>
  <si>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</si>
  <si>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</si>
  <si>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</si>
  <si>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</si>
  <si>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</si>
  <si>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</si>
  <si>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</si>
  <si>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</si>
  <si>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</si>
  <si>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</si>
  <si>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</si>
  <si>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</si>
  <si>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</si>
  <si>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</si>
  <si>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</si>
  <si>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</si>
  <si>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</si>
  <si>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 xml:space="preserve">6 раз за сезон </t>
  </si>
  <si>
    <t>Работа автовышки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</si>
  <si>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</si>
  <si>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</si>
  <si>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</si>
  <si>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</si>
  <si>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</si>
  <si>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1 шт.</t>
  </si>
  <si>
    <t>Стоимость светодиодного светильника</t>
  </si>
  <si>
    <t>руб.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</si>
  <si>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</si>
  <si>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</si>
  <si>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 по ул.Нефтяников пгт.Ярега
</t>
  </si>
  <si>
    <t>Влажное подметание лестничных клеток 2-3 этажа</t>
  </si>
  <si>
    <t xml:space="preserve">1 раз в год  </t>
  </si>
  <si>
    <t>Влажная протирка шкафов для щитов и слаботочн. устройств</t>
  </si>
  <si>
    <t>Очистка урн от мусора</t>
  </si>
  <si>
    <t xml:space="preserve">Проверка дымоходов </t>
  </si>
  <si>
    <t>Лестничная клетка</t>
  </si>
  <si>
    <t>Установка пружин на входных дверях</t>
  </si>
  <si>
    <t>Смена светодиодных светильников</t>
  </si>
  <si>
    <t>Замена ламп ДРЛ</t>
  </si>
  <si>
    <t>Водоснабжение, канализация</t>
  </si>
  <si>
    <t>Зачеканка раструбов канализационных труб диаметром до 100 мм</t>
  </si>
  <si>
    <t>1 шт</t>
  </si>
  <si>
    <t>Очистка канализационной сети внутренней</t>
  </si>
  <si>
    <t>Прочистка засоров ХВС</t>
  </si>
  <si>
    <t>3 м</t>
  </si>
  <si>
    <t>Водоотлив с подвала электрическими (механическими) насосами (100 м3 воды)</t>
  </si>
  <si>
    <t>10 м3</t>
  </si>
  <si>
    <t>Смена внутренних трубопроводов из чугунных канализ.труб диаметром до 50 мм (без стоимости креплений)</t>
  </si>
  <si>
    <t>Смена внутренних трубопроводов из чугунных канализ.труб диаметром до 100 мм (без стоимости креплений)</t>
  </si>
  <si>
    <t>Смена полиэтиленовыхлизационных труб диаметром до 50 мм (без стоимости креплений)</t>
  </si>
  <si>
    <t>Смена полиэтиленовыхлизационных труб диаметром до 100 мм (без стоимости креплений)</t>
  </si>
  <si>
    <t>Ремонт вентильных кранов д=40 со снятием с места</t>
  </si>
  <si>
    <t>Смена внутренних трубопроводов из стальных труб диаметром до 50 мм (бес стоимости креплений)</t>
  </si>
  <si>
    <t>Осмотр водопровода, канализации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</si>
  <si>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</t>
    </r>
  </si>
  <si>
    <t>АКТ №1</t>
  </si>
  <si>
    <t>III. Проведение технических осмотров</t>
  </si>
  <si>
    <t>IV. Содержание общего имущества МКД</t>
  </si>
  <si>
    <t>V. Прочие услуги</t>
  </si>
  <si>
    <t>Уборка газонов, грунта сильной загрязненности</t>
  </si>
  <si>
    <t>Уборка газонов, грунта</t>
  </si>
  <si>
    <t>5 раз в год</t>
  </si>
  <si>
    <t>Очистка края кровли от слежавшегося снега со сбрасыванием сосулек (10% от S кровли, козырьки над подъездами)</t>
  </si>
  <si>
    <t>маш.-час</t>
  </si>
  <si>
    <t>Очистка чердака, подвала от мусора</t>
  </si>
  <si>
    <t>Спуск воды после промывки СО в канализацию</t>
  </si>
  <si>
    <t>1м2</t>
  </si>
  <si>
    <t>Итого затраты за месяц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</si>
  <si>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</si>
  <si>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</si>
  <si>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</si>
  <si>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</si>
  <si>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</si>
  <si>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</si>
  <si>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</si>
  <si>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</si>
  <si>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III. Прочие услуги</t>
  </si>
  <si>
    <t>АКТ №8</t>
  </si>
  <si>
    <t>АКТ №9</t>
  </si>
  <si>
    <t>АКТ №10</t>
  </si>
  <si>
    <t>АКТ №11</t>
  </si>
  <si>
    <t>АКТ №12</t>
  </si>
  <si>
    <t>Дератизация</t>
  </si>
  <si>
    <t>м2</t>
  </si>
  <si>
    <t>Внеплановый осмотр электросетей, армазуры и электрооборудования на лестничных клетках</t>
  </si>
  <si>
    <t>ООО «Движение»</t>
  </si>
  <si>
    <r>
      <t xml:space="preserve">    Собственники помещений в многоквартирном доме, расположенном по адресу:  пгт.Ярега, ул.Нефтяников, д.1,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</si>
  <si>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Закрыли слуховое окно</t>
  </si>
  <si>
    <t>Очистка вручную от снега и наледи люков каналиационных и водопроводных колодцев</t>
  </si>
  <si>
    <t>100 кв.</t>
  </si>
  <si>
    <t>место</t>
  </si>
  <si>
    <t>Смена арматуры - вентилей и клапанов обратных муфтовых диаметром до 32 мм</t>
  </si>
  <si>
    <t>за период с 01.01.2019 г. по 31.01.2019 г.</t>
  </si>
  <si>
    <t>Смена плавкой вставки</t>
  </si>
  <si>
    <t>Очистка от снега люков водопроводных и канализационных колодцев</t>
  </si>
  <si>
    <t>за период с 01.02.2019 г. по 28.02.2019 г.</t>
  </si>
  <si>
    <t>Работа ротенбергера</t>
  </si>
  <si>
    <t>час</t>
  </si>
  <si>
    <t>100шт</t>
  </si>
  <si>
    <t>Водоотлив из подвала электрическими (механическими) насосами (100 м3 воды)</t>
  </si>
  <si>
    <t>Установка насоса в подвале для откачки воды</t>
  </si>
  <si>
    <t>подвал</t>
  </si>
  <si>
    <t>Биосорбент</t>
  </si>
  <si>
    <t>кг</t>
  </si>
  <si>
    <t>Смена полипропиленовых каналиационных труб Dу100*2000</t>
  </si>
  <si>
    <t>Смена полиэтиленовых канализационных труб диаметром 100*500</t>
  </si>
  <si>
    <t>Отвод 110-90</t>
  </si>
  <si>
    <t>Отвод 110-45</t>
  </si>
  <si>
    <t>Муфта 110</t>
  </si>
  <si>
    <t>Патрубок компенсационный 110</t>
  </si>
  <si>
    <t>Переход чугун-пластик 110</t>
  </si>
  <si>
    <t>Укрепление оконных и дверных приборов - пружин, ручек, петель, шпингалетов</t>
  </si>
  <si>
    <t>Ремонт силового предохранительного шкафа (без стоимости материалов)</t>
  </si>
  <si>
    <t>за период с 01.03.2019 г. по 31.03.2019 г.</t>
  </si>
  <si>
    <t>Смена арматуры - вентилей и клапанов обратных муфтовых диаметром до 20 мм</t>
  </si>
  <si>
    <t>Белизна</t>
  </si>
  <si>
    <t>за период с 01.04.2019 г. по 30.04.2019 г.</t>
  </si>
  <si>
    <t>м</t>
  </si>
  <si>
    <t>Внеплановый осмотр водопроводов, канализации, отопления в квартирах</t>
  </si>
  <si>
    <t>8м</t>
  </si>
  <si>
    <t>Смена внутренних трубопроводов на полипропиленовые трубы PN 20 Dу 25 мм ( кв.2)</t>
  </si>
  <si>
    <t>за период с 01.05.2019 г. по 31.05.2019 г.</t>
  </si>
  <si>
    <t>Прозвонка жил проводов сечением 2,5 мм2, количество концов жил в коробах до 6</t>
  </si>
  <si>
    <t>Закрепили канализационную трубу в подвале</t>
  </si>
  <si>
    <t xml:space="preserve">Внеплановый осмотр водопроводов, канализации, отопления </t>
  </si>
  <si>
    <t>за период с 01.06.2019 г. по 30.06.2019 г.</t>
  </si>
  <si>
    <t>Организация и содержание мест накопления ТКО</t>
  </si>
  <si>
    <t>2. Всего за период с 01.01.2019 по 31.01.2019 выполнено работ (оказано услуг) на общую сумму: 32668,19 руб.</t>
  </si>
  <si>
    <t>(тридцать две тысячи шестьсот шестьдесят восемь рублей 19 копеек)</t>
  </si>
  <si>
    <t>2. Всего за период с 01.02.2019 по 28.02.2019 выполнено работ (оказано услуг) на общую сумму: 36144,48 руб.</t>
  </si>
  <si>
    <t>(тридцать шесть тысяч сто сорок четыре рубля 48 копеек)</t>
  </si>
  <si>
    <t>2. Всего за период с 01.03.2019 по 31.03.2019 выполнено работ (оказано услуг) на общую сумму: 33525,23 руб.</t>
  </si>
  <si>
    <t>(тридцать три тысячи пятьсот двадцать пять рублей 23 копейки)</t>
  </si>
  <si>
    <t>2. Всего за период с 01.04.2019 по 30.04.2019 выполнено работ (оказано услуг) на общую сумму: 32472,54 руб.</t>
  </si>
  <si>
    <t>(тридцать две тысячи четыреста семьдесят два рубля 54 копейки)</t>
  </si>
  <si>
    <t>2. Всего за период с 01.05.2019 по 31.05.2019 выполнено работ (оказано услуг) на общую сумму: 43196,18 руб.</t>
  </si>
  <si>
    <t>(сорок три тысячи сто девяносто шесть рублей 18 копеек)</t>
  </si>
  <si>
    <t>2. Всего за период с 01.06.2019 по 30.06.2019 выполнено работ (оказано услуг) на общую сумму: 68634,62 руб.</t>
  </si>
  <si>
    <t>(шестьдесят восемь тысяч шестьсот тридцать четыре рубля 62 копейки)</t>
  </si>
  <si>
    <t>13 раз</t>
  </si>
  <si>
    <t>8 раз</t>
  </si>
  <si>
    <t>2 раза</t>
  </si>
  <si>
    <t xml:space="preserve">2 раза </t>
  </si>
  <si>
    <t>21 раз</t>
  </si>
  <si>
    <t xml:space="preserve">1 раз      </t>
  </si>
  <si>
    <t xml:space="preserve">1 раз </t>
  </si>
  <si>
    <t>1 раз</t>
  </si>
  <si>
    <t xml:space="preserve">1 раз  </t>
  </si>
  <si>
    <t xml:space="preserve">1 раз   </t>
  </si>
  <si>
    <t>25 раз</t>
  </si>
  <si>
    <t>5 раз</t>
  </si>
  <si>
    <t>3 раза</t>
  </si>
  <si>
    <t>2. Всего за период с 01.07.2019 по 31.07.2019 выполнено работ (оказано услуг) на общую сумму: 20304,53 руб.</t>
  </si>
  <si>
    <t>(двадцать тысяч триста четыре рубля 53 копейки)</t>
  </si>
  <si>
    <t>за период с 01.08.2019 г. по 31.08.2019 г.</t>
  </si>
  <si>
    <t>1 маш-час</t>
  </si>
  <si>
    <t>Смена внутренних трубопроводов на полипропиленовые трубы PN 25 Dу 20 мм</t>
  </si>
  <si>
    <t>Смена радиаторов отопительных чугунных (без стоимости радиаторов) кв.21</t>
  </si>
  <si>
    <t>Ремонт отдельных мест покрытия из асбоцементных листов обыкновенного профиля</t>
  </si>
  <si>
    <t>10 м2</t>
  </si>
  <si>
    <t>Шифер</t>
  </si>
  <si>
    <t>2. Всего за период с 01.08.2019 по 31.08.2019 выполнено работ (оказано услуг) на общую сумму: 35942,56 руб.</t>
  </si>
  <si>
    <t>(тридцать пять тысяч девятьсот сорок два рубля 56 копеек)</t>
  </si>
  <si>
    <t>за период с 01.09.2019 г. по 30.09.2019 г.</t>
  </si>
  <si>
    <t>Закрыли чердачный люк</t>
  </si>
  <si>
    <t>за период с 01.10.2019 г. по 31.10.2019 г.</t>
  </si>
  <si>
    <t>2. Всего за период с 01.09.2019 по 30.09.2019 выполнено работ (оказано услуг) на общую сумму: 28360,44 руб.</t>
  </si>
  <si>
    <t>(двадцать восемь тысяч триста шестьдесят рублей 44 копеек)</t>
  </si>
  <si>
    <t>2. Всего за период с 01.10.2019 по 31.10.2019 выполнено работ (оказано услуг) на общую сумму: 19283,33 руб.</t>
  </si>
  <si>
    <t>(девятнадцать тысяч двести восемьдесят три рубля 33 копейки)</t>
  </si>
  <si>
    <t>за период с 01.11.2019 г. по 30.11.2019 г.</t>
  </si>
  <si>
    <t>6 раз</t>
  </si>
  <si>
    <t>2. Всего за период с 01.11.2019 по 30.11.2019 выполнено работ (оказано услуг) на общую сумму: 22243,43 руб.</t>
  </si>
  <si>
    <t>(двадцать две тысячи двести сорок три рубля 43 копейки)</t>
  </si>
  <si>
    <t>за период с 01.12.2019 г. по 31.12.2019 г.</t>
  </si>
  <si>
    <t>Внепланвая проверка вентканалов</t>
  </si>
  <si>
    <t>кв.19</t>
  </si>
  <si>
    <t>2. Всего за период с 01.12.2019 по 31.12.2019 выполнено работ (оказано услуг) на общую сумму: 23280,35 руб.</t>
  </si>
  <si>
    <t>(двадцать три тысячи двести восемьдесят рублей 35 копеек)</t>
  </si>
  <si>
    <t>за период с 01.07.2019 г. по 31.07.2019 г.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</si>
</sst>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4" fontId="20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7"/>
  <sheetViews>
    <sheetView workbookViewId="0">
      <selection activeCell="K95" sqref="K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179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37" t="s">
        <v>149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123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186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64"/>
      <c r="C6" s="64"/>
      <c r="D6" s="64"/>
      <c r="E6" s="64"/>
      <c r="F6" s="78"/>
      <c r="G6" s="64"/>
      <c r="H6" s="78"/>
      <c r="I6" s="34">
        <v>43496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180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148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57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3">
        <v>1</v>
      </c>
      <c r="B16" s="92" t="s">
        <v>84</v>
      </c>
      <c r="C16" s="93" t="s">
        <v>86</v>
      </c>
      <c r="D16" s="92" t="s">
        <v>233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124</v>
      </c>
      <c r="C17" s="93" t="s">
        <v>86</v>
      </c>
      <c r="D17" s="92" t="s">
        <v>234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87</v>
      </c>
      <c r="C18" s="93" t="s">
        <v>86</v>
      </c>
      <c r="D18" s="92" t="s">
        <v>235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/>
      <c r="B19" s="92" t="s">
        <v>88</v>
      </c>
      <c r="C19" s="93" t="s">
        <v>89</v>
      </c>
      <c r="D19" s="92" t="s">
        <v>90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92" t="s">
        <v>95</v>
      </c>
      <c r="C20" s="93" t="s">
        <v>50</v>
      </c>
      <c r="D20" s="92" t="s">
        <v>125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v>0</v>
      </c>
      <c r="J20" s="26"/>
      <c r="K20" s="8"/>
      <c r="L20" s="8"/>
      <c r="M20" s="8"/>
    </row>
    <row r="21" spans="1:13" ht="15.75" hidden="1" customHeight="1">
      <c r="A21" s="33">
        <v>5</v>
      </c>
      <c r="B21" s="92" t="s">
        <v>91</v>
      </c>
      <c r="C21" s="93" t="s">
        <v>86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v>0</v>
      </c>
      <c r="J21" s="26"/>
      <c r="K21" s="8"/>
      <c r="L21" s="8"/>
      <c r="M21" s="8"/>
    </row>
    <row r="22" spans="1:13" ht="15.75" hidden="1" customHeight="1">
      <c r="A22" s="33"/>
      <c r="B22" s="92" t="s">
        <v>92</v>
      </c>
      <c r="C22" s="93" t="s">
        <v>86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92" t="s">
        <v>93</v>
      </c>
      <c r="C23" s="93" t="s">
        <v>50</v>
      </c>
      <c r="D23" s="92" t="s">
        <v>90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92" t="s">
        <v>94</v>
      </c>
      <c r="C24" s="93" t="s">
        <v>50</v>
      </c>
      <c r="D24" s="92" t="s">
        <v>90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v>0</v>
      </c>
      <c r="J24" s="26"/>
      <c r="K24" s="8"/>
      <c r="L24" s="8"/>
      <c r="M24" s="8"/>
    </row>
    <row r="25" spans="1:13" ht="15.75" hidden="1" customHeight="1">
      <c r="A25" s="45">
        <v>6</v>
      </c>
      <c r="B25" s="92" t="s">
        <v>96</v>
      </c>
      <c r="C25" s="93" t="s">
        <v>50</v>
      </c>
      <c r="D25" s="92" t="s">
        <v>90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v>0</v>
      </c>
      <c r="J25" s="26"/>
      <c r="K25" s="8"/>
      <c r="L25" s="8"/>
      <c r="M25" s="8"/>
    </row>
    <row r="26" spans="1:13" ht="15.75" hidden="1" customHeight="1">
      <c r="A26" s="45"/>
      <c r="B26" s="92" t="s">
        <v>126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v>0</v>
      </c>
      <c r="J26" s="26"/>
      <c r="K26" s="8"/>
      <c r="L26" s="8"/>
      <c r="M26" s="8"/>
    </row>
    <row r="27" spans="1:13" ht="15.75" customHeight="1">
      <c r="A27" s="45">
        <v>4</v>
      </c>
      <c r="B27" s="92" t="s">
        <v>220</v>
      </c>
      <c r="C27" s="44" t="s">
        <v>177</v>
      </c>
      <c r="D27" s="127" t="s">
        <v>237</v>
      </c>
      <c r="E27" s="128">
        <v>2.5099999999999998</v>
      </c>
      <c r="F27" s="129">
        <f>E27*258</f>
        <v>647.57999999999993</v>
      </c>
      <c r="G27" s="129">
        <v>10.39</v>
      </c>
      <c r="H27" s="96">
        <f t="shared" ref="H27" si="1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3" t="s">
        <v>82</v>
      </c>
      <c r="B28" s="143"/>
      <c r="C28" s="143"/>
      <c r="D28" s="143"/>
      <c r="E28" s="143"/>
      <c r="F28" s="143"/>
      <c r="G28" s="143"/>
      <c r="H28" s="143"/>
      <c r="I28" s="143"/>
      <c r="J28" s="26"/>
      <c r="K28" s="8"/>
      <c r="L28" s="8"/>
      <c r="M28" s="8"/>
    </row>
    <row r="29" spans="1:13" ht="15.75" hidden="1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hidden="1" customHeight="1">
      <c r="A30" s="45">
        <v>2</v>
      </c>
      <c r="B30" s="92" t="s">
        <v>154</v>
      </c>
      <c r="C30" s="93" t="s">
        <v>97</v>
      </c>
      <c r="D30" s="92" t="s">
        <v>98</v>
      </c>
      <c r="E30" s="95">
        <v>306.55</v>
      </c>
      <c r="F30" s="95">
        <f>SUM(E30*52/1000)</f>
        <v>15.9406</v>
      </c>
      <c r="G30" s="95">
        <v>193.97</v>
      </c>
      <c r="H30" s="96">
        <f t="shared" ref="H30:H36" si="2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hidden="1" customHeight="1">
      <c r="A31" s="45">
        <v>3</v>
      </c>
      <c r="B31" s="92" t="s">
        <v>99</v>
      </c>
      <c r="C31" s="93" t="s">
        <v>97</v>
      </c>
      <c r="D31" s="92" t="s">
        <v>100</v>
      </c>
      <c r="E31" s="95">
        <v>42.5</v>
      </c>
      <c r="F31" s="95">
        <f>SUM(E31*78/1000)</f>
        <v>3.3149999999999999</v>
      </c>
      <c r="G31" s="95">
        <v>321.82</v>
      </c>
      <c r="H31" s="96">
        <f t="shared" si="2"/>
        <v>1.0668333000000001</v>
      </c>
      <c r="I31" s="13">
        <f t="shared" ref="I31:I34" si="3">F31/6*G31</f>
        <v>177.80554999999998</v>
      </c>
      <c r="J31" s="26"/>
      <c r="K31" s="8"/>
      <c r="L31" s="8"/>
      <c r="M31" s="8"/>
    </row>
    <row r="32" spans="1:13" ht="15.75" hidden="1" customHeight="1">
      <c r="A32" s="45">
        <v>4</v>
      </c>
      <c r="B32" s="92" t="s">
        <v>153</v>
      </c>
      <c r="C32" s="93" t="s">
        <v>97</v>
      </c>
      <c r="D32" s="92" t="s">
        <v>51</v>
      </c>
      <c r="E32" s="95">
        <v>306.55</v>
      </c>
      <c r="F32" s="95">
        <f>SUM(E32/1000)</f>
        <v>0.30654999999999999</v>
      </c>
      <c r="G32" s="95">
        <v>3758.28</v>
      </c>
      <c r="H32" s="96">
        <f t="shared" si="2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hidden="1" customHeight="1">
      <c r="A33" s="45"/>
      <c r="B33" s="92" t="s">
        <v>127</v>
      </c>
      <c r="C33" s="93" t="s">
        <v>38</v>
      </c>
      <c r="D33" s="92" t="s">
        <v>61</v>
      </c>
      <c r="E33" s="95">
        <v>3</v>
      </c>
      <c r="F33" s="95">
        <f>E33*155/100</f>
        <v>4.6500000000000004</v>
      </c>
      <c r="G33" s="95">
        <v>1620.15</v>
      </c>
      <c r="H33" s="96">
        <f t="shared" si="2"/>
        <v>7.5336975000000015</v>
      </c>
      <c r="I33" s="13">
        <f t="shared" si="3"/>
        <v>1255.61625</v>
      </c>
      <c r="J33" s="26"/>
      <c r="K33" s="8"/>
      <c r="L33" s="8"/>
      <c r="M33" s="8"/>
    </row>
    <row r="34" spans="1:14" ht="15.75" hidden="1" customHeight="1">
      <c r="A34" s="45">
        <v>5</v>
      </c>
      <c r="B34" s="92" t="s">
        <v>101</v>
      </c>
      <c r="C34" s="93" t="s">
        <v>28</v>
      </c>
      <c r="D34" s="92" t="s">
        <v>61</v>
      </c>
      <c r="E34" s="99">
        <f>1/3</f>
        <v>0.33333333333333331</v>
      </c>
      <c r="F34" s="95">
        <f>155/3</f>
        <v>51.666666666666664</v>
      </c>
      <c r="G34" s="95">
        <v>70.540000000000006</v>
      </c>
      <c r="H34" s="96">
        <f t="shared" si="2"/>
        <v>3.6445666666666665</v>
      </c>
      <c r="I34" s="13">
        <f t="shared" si="3"/>
        <v>607.42777777777781</v>
      </c>
      <c r="J34" s="26"/>
      <c r="K34" s="8"/>
      <c r="L34" s="8"/>
      <c r="M34" s="8"/>
    </row>
    <row r="35" spans="1:14" ht="15.75" hidden="1" customHeight="1">
      <c r="A35" s="45">
        <v>4</v>
      </c>
      <c r="B35" s="92" t="s">
        <v>62</v>
      </c>
      <c r="C35" s="93" t="s">
        <v>30</v>
      </c>
      <c r="D35" s="92" t="s">
        <v>64</v>
      </c>
      <c r="E35" s="94"/>
      <c r="F35" s="95">
        <v>2</v>
      </c>
      <c r="G35" s="95">
        <v>238.07</v>
      </c>
      <c r="H35" s="96">
        <f t="shared" si="2"/>
        <v>0.47614000000000001</v>
      </c>
      <c r="I35" s="13">
        <v>0</v>
      </c>
      <c r="J35" s="26"/>
      <c r="K35" s="8"/>
    </row>
    <row r="36" spans="1:14" ht="15.75" hidden="1" customHeight="1">
      <c r="A36" s="33">
        <v>8</v>
      </c>
      <c r="B36" s="92" t="s">
        <v>63</v>
      </c>
      <c r="C36" s="93" t="s">
        <v>29</v>
      </c>
      <c r="D36" s="92" t="s">
        <v>64</v>
      </c>
      <c r="E36" s="94"/>
      <c r="F36" s="95">
        <v>3</v>
      </c>
      <c r="G36" s="95">
        <v>1413.96</v>
      </c>
      <c r="H36" s="96">
        <f t="shared" si="2"/>
        <v>4.2418800000000001</v>
      </c>
      <c r="I36" s="13">
        <v>0</v>
      </c>
      <c r="J36" s="27"/>
    </row>
    <row r="37" spans="1:14" ht="15.75" customHeight="1">
      <c r="A37" s="45"/>
      <c r="B37" s="53" t="s">
        <v>5</v>
      </c>
      <c r="C37" s="53"/>
      <c r="D37" s="53"/>
      <c r="E37" s="13"/>
      <c r="F37" s="13"/>
      <c r="G37" s="14"/>
      <c r="H37" s="14"/>
      <c r="I37" s="19"/>
      <c r="J37" s="27"/>
    </row>
    <row r="38" spans="1:14" ht="15.75" customHeight="1">
      <c r="A38" s="37">
        <v>5</v>
      </c>
      <c r="B38" s="92" t="s">
        <v>25</v>
      </c>
      <c r="C38" s="93" t="s">
        <v>29</v>
      </c>
      <c r="D38" s="130">
        <v>43476</v>
      </c>
      <c r="E38" s="94"/>
      <c r="F38" s="95">
        <v>2</v>
      </c>
      <c r="G38" s="95">
        <v>1900.37</v>
      </c>
      <c r="H38" s="96">
        <f t="shared" ref="H38:H43" si="4">SUM(F38*G38/1000)</f>
        <v>3.8007399999999998</v>
      </c>
      <c r="I38" s="13">
        <f>G38*0.4</f>
        <v>760.14800000000002</v>
      </c>
      <c r="J38" s="27"/>
    </row>
    <row r="39" spans="1:14" ht="15.75" customHeight="1">
      <c r="A39" s="37">
        <v>6</v>
      </c>
      <c r="B39" s="92" t="s">
        <v>65</v>
      </c>
      <c r="C39" s="93" t="s">
        <v>27</v>
      </c>
      <c r="D39" s="92" t="s">
        <v>155</v>
      </c>
      <c r="E39" s="95">
        <v>42.5</v>
      </c>
      <c r="F39" s="95">
        <f>SUM(E39*30/1000)</f>
        <v>1.2749999999999999</v>
      </c>
      <c r="G39" s="95">
        <v>2616.4899999999998</v>
      </c>
      <c r="H39" s="96">
        <f t="shared" si="4"/>
        <v>3.3360247499999995</v>
      </c>
      <c r="I39" s="13">
        <f t="shared" ref="I39:I41" si="5">F39/6*G39</f>
        <v>556.00412499999993</v>
      </c>
      <c r="J39" s="27"/>
    </row>
    <row r="40" spans="1:14" ht="15.75" customHeight="1">
      <c r="A40" s="37">
        <v>7</v>
      </c>
      <c r="B40" s="92" t="s">
        <v>66</v>
      </c>
      <c r="C40" s="93" t="s">
        <v>27</v>
      </c>
      <c r="D40" s="92" t="s">
        <v>243</v>
      </c>
      <c r="E40" s="95">
        <v>42.5</v>
      </c>
      <c r="F40" s="95">
        <f>SUM(E40*155/1000)</f>
        <v>6.5875000000000004</v>
      </c>
      <c r="G40" s="95">
        <v>436.45</v>
      </c>
      <c r="H40" s="96">
        <f t="shared" si="4"/>
        <v>2.8751143749999999</v>
      </c>
      <c r="I40" s="13">
        <f t="shared" si="5"/>
        <v>479.18572916666665</v>
      </c>
      <c r="J40" s="27"/>
    </row>
    <row r="41" spans="1:14" ht="47.25" customHeight="1">
      <c r="A41" s="37">
        <v>8</v>
      </c>
      <c r="B41" s="92" t="s">
        <v>81</v>
      </c>
      <c r="C41" s="93" t="s">
        <v>97</v>
      </c>
      <c r="D41" s="92" t="s">
        <v>244</v>
      </c>
      <c r="E41" s="95">
        <v>42.5</v>
      </c>
      <c r="F41" s="95">
        <f>SUM(E41*35/1000)</f>
        <v>1.4875</v>
      </c>
      <c r="G41" s="95">
        <v>7221.21</v>
      </c>
      <c r="H41" s="96">
        <f t="shared" si="4"/>
        <v>10.741549875</v>
      </c>
      <c r="I41" s="13">
        <f t="shared" si="5"/>
        <v>1790.2583125000001</v>
      </c>
      <c r="J41" s="27"/>
    </row>
    <row r="42" spans="1:14" ht="15.75" customHeight="1">
      <c r="A42" s="37">
        <v>9</v>
      </c>
      <c r="B42" s="92" t="s">
        <v>105</v>
      </c>
      <c r="C42" s="93" t="s">
        <v>97</v>
      </c>
      <c r="D42" s="92" t="s">
        <v>245</v>
      </c>
      <c r="E42" s="95">
        <v>42.5</v>
      </c>
      <c r="F42" s="95">
        <f>SUM(E42*20/1000)</f>
        <v>0.85</v>
      </c>
      <c r="G42" s="95">
        <v>533.45000000000005</v>
      </c>
      <c r="H42" s="96">
        <f t="shared" si="4"/>
        <v>0.45343250000000002</v>
      </c>
      <c r="I42" s="13">
        <f>F42/7.5*G42</f>
        <v>60.457666666666668</v>
      </c>
      <c r="J42" s="27"/>
      <c r="L42" s="21"/>
      <c r="M42" s="22"/>
      <c r="N42" s="23"/>
    </row>
    <row r="43" spans="1:14" ht="15.75" customHeight="1">
      <c r="A43" s="37">
        <v>10</v>
      </c>
      <c r="B43" s="92" t="s">
        <v>67</v>
      </c>
      <c r="C43" s="93" t="s">
        <v>30</v>
      </c>
      <c r="D43" s="92"/>
      <c r="E43" s="94"/>
      <c r="F43" s="95">
        <v>0.5</v>
      </c>
      <c r="G43" s="95">
        <v>992.97</v>
      </c>
      <c r="H43" s="96">
        <f t="shared" si="4"/>
        <v>0.49648500000000001</v>
      </c>
      <c r="I43" s="13">
        <f>F43/7.5*G43</f>
        <v>66.198000000000008</v>
      </c>
      <c r="J43" s="27"/>
      <c r="L43" s="21"/>
      <c r="M43" s="22"/>
      <c r="N43" s="23"/>
    </row>
    <row r="44" spans="1:14" ht="15.75" customHeight="1">
      <c r="A44" s="132" t="s">
        <v>150</v>
      </c>
      <c r="B44" s="133"/>
      <c r="C44" s="133"/>
      <c r="D44" s="133"/>
      <c r="E44" s="133"/>
      <c r="F44" s="133"/>
      <c r="G44" s="133"/>
      <c r="H44" s="133"/>
      <c r="I44" s="134"/>
      <c r="J44" s="27"/>
      <c r="L44" s="21"/>
      <c r="M44" s="22"/>
      <c r="N44" s="23"/>
    </row>
    <row r="45" spans="1:14" ht="15.75" hidden="1" customHeight="1">
      <c r="A45" s="45">
        <v>15</v>
      </c>
      <c r="B45" s="92" t="s">
        <v>107</v>
      </c>
      <c r="C45" s="93" t="s">
        <v>97</v>
      </c>
      <c r="D45" s="92" t="s">
        <v>40</v>
      </c>
      <c r="E45" s="94">
        <v>1060.4000000000001</v>
      </c>
      <c r="F45" s="95">
        <f>SUM(E45*2/1000)</f>
        <v>2.1208</v>
      </c>
      <c r="G45" s="13">
        <v>1283.46</v>
      </c>
      <c r="H45" s="96">
        <f t="shared" ref="H45:H55" si="6">SUM(F45*G45/1000)</f>
        <v>2.721961968</v>
      </c>
      <c r="I45" s="13">
        <v>0</v>
      </c>
      <c r="J45" s="27"/>
      <c r="L45" s="21"/>
      <c r="M45" s="22"/>
      <c r="N45" s="23"/>
    </row>
    <row r="46" spans="1:14" ht="15.75" hidden="1" customHeight="1">
      <c r="A46" s="45"/>
      <c r="B46" s="92" t="s">
        <v>33</v>
      </c>
      <c r="C46" s="93" t="s">
        <v>97</v>
      </c>
      <c r="D46" s="92" t="s">
        <v>40</v>
      </c>
      <c r="E46" s="94">
        <v>19.8</v>
      </c>
      <c r="F46" s="95">
        <f>SUM(E46*2/1000)</f>
        <v>3.9600000000000003E-2</v>
      </c>
      <c r="G46" s="13">
        <v>721.04</v>
      </c>
      <c r="H46" s="96">
        <f t="shared" si="6"/>
        <v>2.8553184000000002E-2</v>
      </c>
      <c r="I46" s="13">
        <v>0</v>
      </c>
      <c r="J46" s="27"/>
      <c r="L46" s="21"/>
      <c r="M46" s="22"/>
      <c r="N46" s="23"/>
    </row>
    <row r="47" spans="1:14" ht="15.75" hidden="1" customHeight="1">
      <c r="A47" s="45">
        <v>16</v>
      </c>
      <c r="B47" s="92" t="s">
        <v>34</v>
      </c>
      <c r="C47" s="93" t="s">
        <v>97</v>
      </c>
      <c r="D47" s="92" t="s">
        <v>40</v>
      </c>
      <c r="E47" s="94">
        <v>660.84</v>
      </c>
      <c r="F47" s="95">
        <f>SUM(E47*2/1000)</f>
        <v>1.32168</v>
      </c>
      <c r="G47" s="13">
        <v>1711.28</v>
      </c>
      <c r="H47" s="96">
        <f t="shared" si="6"/>
        <v>2.2617645503999997</v>
      </c>
      <c r="I47" s="13">
        <v>0</v>
      </c>
      <c r="J47" s="27"/>
      <c r="L47" s="21"/>
      <c r="M47" s="22"/>
      <c r="N47" s="23"/>
    </row>
    <row r="48" spans="1:14" ht="15.75" hidden="1" customHeight="1">
      <c r="A48" s="45">
        <v>17</v>
      </c>
      <c r="B48" s="92" t="s">
        <v>35</v>
      </c>
      <c r="C48" s="93" t="s">
        <v>97</v>
      </c>
      <c r="D48" s="92" t="s">
        <v>40</v>
      </c>
      <c r="E48" s="94">
        <v>1156.21</v>
      </c>
      <c r="F48" s="95">
        <f>SUM(E48*2/1000)</f>
        <v>2.3124199999999999</v>
      </c>
      <c r="G48" s="13">
        <v>1179.73</v>
      </c>
      <c r="H48" s="96">
        <f t="shared" si="6"/>
        <v>2.7280312466000001</v>
      </c>
      <c r="I48" s="13">
        <v>0</v>
      </c>
      <c r="J48" s="27"/>
      <c r="L48" s="21"/>
      <c r="M48" s="22"/>
      <c r="N48" s="23"/>
    </row>
    <row r="49" spans="1:14" ht="15.75" hidden="1" customHeight="1">
      <c r="A49" s="45">
        <v>18</v>
      </c>
      <c r="B49" s="92" t="s">
        <v>31</v>
      </c>
      <c r="C49" s="93" t="s">
        <v>32</v>
      </c>
      <c r="D49" s="92" t="s">
        <v>40</v>
      </c>
      <c r="E49" s="94">
        <v>15.38</v>
      </c>
      <c r="F49" s="95">
        <f>SUM(E49*2/100)</f>
        <v>0.30760000000000004</v>
      </c>
      <c r="G49" s="13">
        <v>90.61</v>
      </c>
      <c r="H49" s="96">
        <f t="shared" si="6"/>
        <v>2.7871636000000002E-2</v>
      </c>
      <c r="I49" s="13">
        <v>0</v>
      </c>
      <c r="J49" s="27"/>
      <c r="L49" s="21"/>
      <c r="M49" s="22"/>
      <c r="N49" s="23"/>
    </row>
    <row r="50" spans="1:14" ht="15.75" customHeight="1">
      <c r="A50" s="45">
        <v>11</v>
      </c>
      <c r="B50" s="92" t="s">
        <v>54</v>
      </c>
      <c r="C50" s="93" t="s">
        <v>97</v>
      </c>
      <c r="D50" s="92" t="s">
        <v>240</v>
      </c>
      <c r="E50" s="94">
        <v>823</v>
      </c>
      <c r="F50" s="95">
        <f>SUM(E50*5/1000)</f>
        <v>4.1150000000000002</v>
      </c>
      <c r="G50" s="13">
        <v>1711.28</v>
      </c>
      <c r="H50" s="96">
        <f t="shared" si="6"/>
        <v>7.0419171999999994</v>
      </c>
      <c r="I50" s="13">
        <f>F50/5*G50</f>
        <v>1408.3834400000001</v>
      </c>
      <c r="J50" s="27"/>
      <c r="L50" s="21"/>
      <c r="M50" s="22"/>
      <c r="N50" s="23"/>
    </row>
    <row r="51" spans="1:14" ht="31.5" hidden="1" customHeight="1">
      <c r="A51" s="45">
        <v>13</v>
      </c>
      <c r="B51" s="92" t="s">
        <v>108</v>
      </c>
      <c r="C51" s="93" t="s">
        <v>97</v>
      </c>
      <c r="D51" s="92" t="s">
        <v>40</v>
      </c>
      <c r="E51" s="94">
        <v>823</v>
      </c>
      <c r="F51" s="95">
        <f>SUM(E51*2/1000)</f>
        <v>1.6459999999999999</v>
      </c>
      <c r="G51" s="13">
        <v>1510.06</v>
      </c>
      <c r="H51" s="96">
        <f t="shared" si="6"/>
        <v>2.48555876</v>
      </c>
      <c r="I51" s="13">
        <v>0</v>
      </c>
      <c r="J51" s="27"/>
      <c r="L51" s="21"/>
      <c r="M51" s="22"/>
      <c r="N51" s="23"/>
    </row>
    <row r="52" spans="1:14" ht="31.5" hidden="1" customHeight="1">
      <c r="A52" s="45">
        <v>14</v>
      </c>
      <c r="B52" s="92" t="s">
        <v>109</v>
      </c>
      <c r="C52" s="93" t="s">
        <v>36</v>
      </c>
      <c r="D52" s="92" t="s">
        <v>40</v>
      </c>
      <c r="E52" s="94">
        <v>9</v>
      </c>
      <c r="F52" s="95">
        <f>SUM(E52*2/100)</f>
        <v>0.18</v>
      </c>
      <c r="G52" s="13">
        <v>3850.4</v>
      </c>
      <c r="H52" s="96">
        <f t="shared" si="6"/>
        <v>0.69307200000000002</v>
      </c>
      <c r="I52" s="13">
        <v>0</v>
      </c>
      <c r="J52" s="27"/>
      <c r="L52" s="21"/>
      <c r="M52" s="22"/>
      <c r="N52" s="23"/>
    </row>
    <row r="53" spans="1:14" ht="15.75" hidden="1" customHeight="1">
      <c r="A53" s="45">
        <v>15</v>
      </c>
      <c r="B53" s="92" t="s">
        <v>37</v>
      </c>
      <c r="C53" s="93" t="s">
        <v>38</v>
      </c>
      <c r="D53" s="92" t="s">
        <v>40</v>
      </c>
      <c r="E53" s="94">
        <v>1</v>
      </c>
      <c r="F53" s="95">
        <v>0.02</v>
      </c>
      <c r="G53" s="13">
        <v>7033.13</v>
      </c>
      <c r="H53" s="96">
        <f t="shared" si="6"/>
        <v>0.1406626</v>
      </c>
      <c r="I53" s="13">
        <v>0</v>
      </c>
      <c r="J53" s="27"/>
      <c r="L53" s="21"/>
      <c r="M53" s="22"/>
      <c r="N53" s="23"/>
    </row>
    <row r="54" spans="1:14" ht="15.75" customHeight="1">
      <c r="A54" s="45">
        <v>12</v>
      </c>
      <c r="B54" s="92" t="s">
        <v>128</v>
      </c>
      <c r="C54" s="93" t="s">
        <v>110</v>
      </c>
      <c r="D54" s="130">
        <v>43490</v>
      </c>
      <c r="E54" s="94">
        <v>36</v>
      </c>
      <c r="F54" s="95">
        <f>SUM(E54*3)</f>
        <v>108</v>
      </c>
      <c r="G54" s="13">
        <v>175.6</v>
      </c>
      <c r="H54" s="96">
        <f t="shared" si="6"/>
        <v>18.9648</v>
      </c>
      <c r="I54" s="13">
        <f>E54*G54</f>
        <v>6321.5999999999995</v>
      </c>
      <c r="J54" s="27"/>
      <c r="L54" s="21"/>
      <c r="M54" s="22"/>
      <c r="N54" s="23"/>
    </row>
    <row r="55" spans="1:14" ht="15.75" customHeight="1">
      <c r="A55" s="45">
        <v>13</v>
      </c>
      <c r="B55" s="92" t="s">
        <v>39</v>
      </c>
      <c r="C55" s="93" t="s">
        <v>110</v>
      </c>
      <c r="D55" s="130">
        <v>43490</v>
      </c>
      <c r="E55" s="94">
        <v>36</v>
      </c>
      <c r="F55" s="95">
        <f>SUM(E55)*3</f>
        <v>108</v>
      </c>
      <c r="G55" s="13">
        <v>81.73</v>
      </c>
      <c r="H55" s="96">
        <f t="shared" si="6"/>
        <v>8.8268400000000007</v>
      </c>
      <c r="I55" s="13">
        <f>E55*G55</f>
        <v>2942.28</v>
      </c>
      <c r="J55" s="27"/>
      <c r="L55" s="21"/>
      <c r="M55" s="22"/>
      <c r="N55" s="23"/>
    </row>
    <row r="56" spans="1:14" ht="15.75" customHeight="1">
      <c r="A56" s="132" t="s">
        <v>151</v>
      </c>
      <c r="B56" s="133"/>
      <c r="C56" s="133"/>
      <c r="D56" s="133"/>
      <c r="E56" s="133"/>
      <c r="F56" s="133"/>
      <c r="G56" s="133"/>
      <c r="H56" s="133"/>
      <c r="I56" s="134"/>
      <c r="J56" s="27"/>
      <c r="L56" s="21"/>
      <c r="M56" s="22"/>
      <c r="N56" s="23"/>
    </row>
    <row r="57" spans="1:14" ht="15.75" hidden="1" customHeight="1">
      <c r="A57" s="57"/>
      <c r="B57" s="52" t="s">
        <v>41</v>
      </c>
      <c r="C57" s="17"/>
      <c r="D57" s="16"/>
      <c r="E57" s="16"/>
      <c r="F57" s="16"/>
      <c r="G57" s="33"/>
      <c r="H57" s="33"/>
      <c r="I57" s="19"/>
      <c r="J57" s="27"/>
      <c r="L57" s="21"/>
      <c r="M57" s="22"/>
      <c r="N57" s="23"/>
    </row>
    <row r="58" spans="1:14" ht="31.5" hidden="1" customHeight="1">
      <c r="A58" s="45">
        <v>15</v>
      </c>
      <c r="B58" s="92" t="s">
        <v>156</v>
      </c>
      <c r="C58" s="93" t="s">
        <v>86</v>
      </c>
      <c r="D58" s="92" t="s">
        <v>111</v>
      </c>
      <c r="E58" s="94">
        <v>71.02</v>
      </c>
      <c r="F58" s="95">
        <f>SUM(E58*6/100)</f>
        <v>4.2611999999999997</v>
      </c>
      <c r="G58" s="13">
        <v>2306.62</v>
      </c>
      <c r="H58" s="96">
        <f>SUM(F58*G58/1000)</f>
        <v>9.8289691439999984</v>
      </c>
      <c r="I58" s="13">
        <f>F58/6*G58</f>
        <v>1638.1615239999999</v>
      </c>
      <c r="J58" s="27"/>
      <c r="L58" s="21"/>
      <c r="M58" s="22"/>
      <c r="N58" s="23"/>
    </row>
    <row r="59" spans="1:14" ht="15.75" hidden="1" customHeight="1">
      <c r="A59" s="45"/>
      <c r="B59" s="92" t="s">
        <v>112</v>
      </c>
      <c r="C59" s="93" t="s">
        <v>157</v>
      </c>
      <c r="D59" s="92" t="s">
        <v>64</v>
      </c>
      <c r="E59" s="100"/>
      <c r="F59" s="95">
        <v>2</v>
      </c>
      <c r="G59" s="95">
        <v>1501</v>
      </c>
      <c r="H59" s="96">
        <f>SUM(F59*G59/1000)</f>
        <v>3.0019999999999998</v>
      </c>
      <c r="I59" s="13">
        <v>0</v>
      </c>
      <c r="J59" s="27"/>
      <c r="L59" s="21"/>
      <c r="M59" s="22"/>
      <c r="N59" s="23"/>
    </row>
    <row r="60" spans="1:14" ht="15.75" hidden="1" customHeight="1">
      <c r="A60" s="45"/>
      <c r="B60" s="66" t="s">
        <v>42</v>
      </c>
      <c r="C60" s="66"/>
      <c r="D60" s="66"/>
      <c r="E60" s="66"/>
      <c r="F60" s="79"/>
      <c r="G60" s="66"/>
      <c r="H60" s="79"/>
      <c r="I60" s="39"/>
      <c r="J60" s="27"/>
      <c r="L60" s="21"/>
      <c r="M60" s="22"/>
      <c r="N60" s="23"/>
    </row>
    <row r="61" spans="1:14" ht="15.75" hidden="1" customHeight="1">
      <c r="A61" s="45">
        <v>27</v>
      </c>
      <c r="B61" s="92" t="s">
        <v>158</v>
      </c>
      <c r="C61" s="93" t="s">
        <v>50</v>
      </c>
      <c r="D61" s="92" t="s">
        <v>51</v>
      </c>
      <c r="E61" s="94">
        <v>434.4</v>
      </c>
      <c r="F61" s="96">
        <f>SUM(E61/100)</f>
        <v>4.3439999999999994</v>
      </c>
      <c r="G61" s="13">
        <v>987.51</v>
      </c>
      <c r="H61" s="101">
        <f>F61*G61/1000</f>
        <v>4.2897434399999996</v>
      </c>
      <c r="I61" s="13">
        <v>0</v>
      </c>
      <c r="J61" s="27"/>
      <c r="L61" s="21"/>
      <c r="M61" s="22"/>
      <c r="N61" s="23"/>
    </row>
    <row r="62" spans="1:14" ht="15.75" hidden="1" customHeight="1">
      <c r="A62" s="45"/>
      <c r="B62" s="71" t="s">
        <v>129</v>
      </c>
      <c r="C62" s="44"/>
      <c r="D62" s="70"/>
      <c r="E62" s="67"/>
      <c r="F62" s="67"/>
      <c r="G62" s="40"/>
      <c r="H62" s="40"/>
      <c r="I62" s="20"/>
      <c r="J62" s="27"/>
      <c r="L62" s="21"/>
      <c r="M62" s="22"/>
      <c r="N62" s="23"/>
    </row>
    <row r="63" spans="1:14" ht="15.75" hidden="1" customHeight="1">
      <c r="A63" s="45"/>
      <c r="B63" s="92" t="s">
        <v>130</v>
      </c>
      <c r="C63" s="93" t="s">
        <v>110</v>
      </c>
      <c r="D63" s="41" t="s">
        <v>64</v>
      </c>
      <c r="E63" s="94">
        <v>1</v>
      </c>
      <c r="F63" s="95">
        <f>E63</f>
        <v>1</v>
      </c>
      <c r="G63" s="102">
        <v>323.38</v>
      </c>
      <c r="H63" s="96">
        <f t="shared" ref="H63" si="7">SUM(F63*G63/1000)</f>
        <v>0.32338</v>
      </c>
      <c r="I63" s="13">
        <v>0</v>
      </c>
      <c r="J63" s="27"/>
      <c r="L63" s="21"/>
      <c r="M63" s="22"/>
      <c r="N63" s="23"/>
    </row>
    <row r="64" spans="1:14" ht="15.75" hidden="1" customHeight="1">
      <c r="A64" s="45"/>
      <c r="B64" s="66" t="s">
        <v>43</v>
      </c>
      <c r="C64" s="17"/>
      <c r="D64" s="41"/>
      <c r="E64" s="16"/>
      <c r="F64" s="16"/>
      <c r="G64" s="33"/>
      <c r="H64" s="33"/>
      <c r="I64" s="19"/>
      <c r="J64" s="27"/>
      <c r="L64" s="21"/>
      <c r="M64" s="22"/>
      <c r="N64" s="23"/>
    </row>
    <row r="65" spans="1:21" ht="15.75" hidden="1" customHeight="1">
      <c r="A65" s="45">
        <v>17</v>
      </c>
      <c r="B65" s="15" t="s">
        <v>44</v>
      </c>
      <c r="C65" s="17" t="s">
        <v>110</v>
      </c>
      <c r="D65" s="41" t="s">
        <v>64</v>
      </c>
      <c r="E65" s="19">
        <v>10</v>
      </c>
      <c r="F65" s="95">
        <v>10</v>
      </c>
      <c r="G65" s="13">
        <v>276.74</v>
      </c>
      <c r="H65" s="103">
        <f t="shared" ref="H65:H72" si="8">SUM(F65*G65/1000)</f>
        <v>2.7674000000000003</v>
      </c>
      <c r="I65" s="13">
        <v>0</v>
      </c>
      <c r="J65" s="27"/>
      <c r="L65" s="21"/>
      <c r="M65" s="22"/>
      <c r="N65" s="23"/>
    </row>
    <row r="66" spans="1:21" ht="15.75" hidden="1" customHeight="1">
      <c r="A66" s="33">
        <v>29</v>
      </c>
      <c r="B66" s="15" t="s">
        <v>45</v>
      </c>
      <c r="C66" s="17" t="s">
        <v>110</v>
      </c>
      <c r="D66" s="41" t="s">
        <v>64</v>
      </c>
      <c r="E66" s="19">
        <v>3</v>
      </c>
      <c r="F66" s="95">
        <v>3</v>
      </c>
      <c r="G66" s="13">
        <v>94.89</v>
      </c>
      <c r="H66" s="103">
        <f t="shared" si="8"/>
        <v>0.28467000000000003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8</v>
      </c>
      <c r="B67" s="15" t="s">
        <v>46</v>
      </c>
      <c r="C67" s="17" t="s">
        <v>113</v>
      </c>
      <c r="D67" s="15" t="s">
        <v>51</v>
      </c>
      <c r="E67" s="94">
        <v>7265</v>
      </c>
      <c r="F67" s="13">
        <f>SUM(E67/100)</f>
        <v>72.650000000000006</v>
      </c>
      <c r="G67" s="13">
        <v>263.99</v>
      </c>
      <c r="H67" s="103">
        <f t="shared" si="8"/>
        <v>19.178873500000002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9</v>
      </c>
      <c r="B68" s="15" t="s">
        <v>47</v>
      </c>
      <c r="C68" s="17" t="s">
        <v>114</v>
      </c>
      <c r="D68" s="15" t="s">
        <v>51</v>
      </c>
      <c r="E68" s="94">
        <v>7265</v>
      </c>
      <c r="F68" s="13">
        <f>SUM(E68/1000)</f>
        <v>7.2649999999999997</v>
      </c>
      <c r="G68" s="13">
        <v>205.57</v>
      </c>
      <c r="H68" s="103">
        <f t="shared" si="8"/>
        <v>1.4934660500000001</v>
      </c>
      <c r="I68" s="13">
        <v>0</v>
      </c>
      <c r="J68" s="27"/>
      <c r="L68" s="21"/>
      <c r="M68" s="22"/>
      <c r="N68" s="23"/>
    </row>
    <row r="69" spans="1:21" ht="15.75" hidden="1" customHeight="1">
      <c r="A69" s="33">
        <v>10</v>
      </c>
      <c r="B69" s="15" t="s">
        <v>48</v>
      </c>
      <c r="C69" s="17" t="s">
        <v>74</v>
      </c>
      <c r="D69" s="15" t="s">
        <v>51</v>
      </c>
      <c r="E69" s="94">
        <v>1090</v>
      </c>
      <c r="F69" s="13">
        <f>SUM(E69/100)</f>
        <v>10.9</v>
      </c>
      <c r="G69" s="13">
        <v>2581.5300000000002</v>
      </c>
      <c r="H69" s="103">
        <f t="shared" si="8"/>
        <v>28.138677000000005</v>
      </c>
      <c r="I69" s="13">
        <v>0</v>
      </c>
      <c r="J69" s="27"/>
      <c r="L69" s="21"/>
    </row>
    <row r="70" spans="1:21" ht="15.75" hidden="1" customHeight="1">
      <c r="A70" s="33">
        <v>11</v>
      </c>
      <c r="B70" s="104" t="s">
        <v>115</v>
      </c>
      <c r="C70" s="17" t="s">
        <v>30</v>
      </c>
      <c r="D70" s="15"/>
      <c r="E70" s="94">
        <v>7.4</v>
      </c>
      <c r="F70" s="13">
        <f>SUM(E70)</f>
        <v>7.4</v>
      </c>
      <c r="G70" s="13">
        <v>47.45</v>
      </c>
      <c r="H70" s="103">
        <f t="shared" si="8"/>
        <v>0.35113000000000005</v>
      </c>
      <c r="I70" s="13">
        <v>0</v>
      </c>
    </row>
    <row r="71" spans="1:21" ht="15.75" hidden="1" customHeight="1">
      <c r="A71" s="33">
        <v>12</v>
      </c>
      <c r="B71" s="104" t="s">
        <v>159</v>
      </c>
      <c r="C71" s="17" t="s">
        <v>30</v>
      </c>
      <c r="D71" s="15"/>
      <c r="E71" s="94">
        <v>7.4</v>
      </c>
      <c r="F71" s="13">
        <f>SUM(E71)</f>
        <v>7.4</v>
      </c>
      <c r="G71" s="13">
        <v>44.27</v>
      </c>
      <c r="H71" s="103">
        <f t="shared" si="8"/>
        <v>0.327598</v>
      </c>
      <c r="I71" s="13">
        <v>0</v>
      </c>
    </row>
    <row r="72" spans="1:21" ht="15.75" hidden="1" customHeight="1">
      <c r="A72" s="33">
        <v>13</v>
      </c>
      <c r="B72" s="15" t="s">
        <v>55</v>
      </c>
      <c r="C72" s="17" t="s">
        <v>56</v>
      </c>
      <c r="D72" s="15" t="s">
        <v>51</v>
      </c>
      <c r="E72" s="19">
        <v>3</v>
      </c>
      <c r="F72" s="95">
        <f>SUM(E72)</f>
        <v>3</v>
      </c>
      <c r="G72" s="13">
        <v>62.07</v>
      </c>
      <c r="H72" s="103">
        <f t="shared" si="8"/>
        <v>0.18621000000000001</v>
      </c>
      <c r="I72" s="13">
        <v>0</v>
      </c>
    </row>
    <row r="73" spans="1:21" ht="15.75" hidden="1" customHeight="1">
      <c r="A73" s="57"/>
      <c r="B73" s="66" t="s">
        <v>116</v>
      </c>
      <c r="C73" s="66"/>
      <c r="D73" s="66"/>
      <c r="E73" s="66"/>
      <c r="F73" s="79"/>
      <c r="G73" s="66"/>
      <c r="H73" s="79"/>
      <c r="I73" s="19"/>
      <c r="J73" s="29"/>
      <c r="K73" s="29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5.75" hidden="1" customHeight="1">
      <c r="A74" s="33">
        <v>36</v>
      </c>
      <c r="B74" s="105" t="s">
        <v>117</v>
      </c>
      <c r="C74" s="25"/>
      <c r="D74" s="24"/>
      <c r="E74" s="87"/>
      <c r="F74" s="106">
        <v>1</v>
      </c>
      <c r="G74" s="106">
        <v>12171.2</v>
      </c>
      <c r="H74" s="13">
        <f>G74*F74/1000</f>
        <v>12.171200000000001</v>
      </c>
      <c r="I74" s="13">
        <v>0</v>
      </c>
      <c r="J74" s="3"/>
      <c r="K74" s="3"/>
      <c r="L74" s="3"/>
      <c r="M74" s="3"/>
      <c r="N74" s="3"/>
      <c r="O74" s="3"/>
      <c r="P74" s="3"/>
      <c r="Q74" s="3"/>
      <c r="S74" s="3"/>
      <c r="T74" s="3"/>
      <c r="U74" s="3"/>
    </row>
    <row r="75" spans="1:21" ht="15.75" hidden="1" customHeight="1">
      <c r="A75" s="33"/>
      <c r="B75" s="53" t="s">
        <v>69</v>
      </c>
      <c r="C75" s="53"/>
      <c r="D75" s="53"/>
      <c r="E75" s="19"/>
      <c r="F75" s="19"/>
      <c r="G75" s="33"/>
      <c r="H75" s="33"/>
      <c r="I75" s="19"/>
      <c r="J75" s="5"/>
      <c r="K75" s="5"/>
      <c r="L75" s="5"/>
      <c r="M75" s="5"/>
      <c r="N75" s="5"/>
      <c r="O75" s="5"/>
      <c r="P75" s="5"/>
      <c r="Q75" s="5"/>
      <c r="R75" s="131"/>
      <c r="S75" s="131"/>
      <c r="T75" s="131"/>
      <c r="U75" s="131"/>
    </row>
    <row r="76" spans="1:21" ht="15.75" hidden="1" customHeight="1">
      <c r="A76" s="33"/>
      <c r="B76" s="15" t="s">
        <v>131</v>
      </c>
      <c r="C76" s="17" t="s">
        <v>118</v>
      </c>
      <c r="D76" s="41" t="s">
        <v>64</v>
      </c>
      <c r="E76" s="19">
        <v>1</v>
      </c>
      <c r="F76" s="13">
        <f>E76</f>
        <v>1</v>
      </c>
      <c r="G76" s="13">
        <v>976.4</v>
      </c>
      <c r="H76" s="103">
        <f>F76*G76/1000</f>
        <v>0.97639999999999993</v>
      </c>
      <c r="I76" s="13">
        <v>0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5.75" hidden="1" customHeight="1">
      <c r="A77" s="33"/>
      <c r="B77" s="15" t="s">
        <v>119</v>
      </c>
      <c r="C77" s="17" t="s">
        <v>120</v>
      </c>
      <c r="D77" s="15"/>
      <c r="E77" s="19">
        <v>1</v>
      </c>
      <c r="F77" s="13">
        <v>1</v>
      </c>
      <c r="G77" s="13">
        <v>750</v>
      </c>
      <c r="H77" s="103">
        <f>F77*G77/1000</f>
        <v>0.75</v>
      </c>
      <c r="I77" s="13">
        <v>0</v>
      </c>
    </row>
    <row r="78" spans="1:21" ht="15.75" hidden="1" customHeight="1">
      <c r="A78" s="33"/>
      <c r="B78" s="15" t="s">
        <v>70</v>
      </c>
      <c r="C78" s="17" t="s">
        <v>72</v>
      </c>
      <c r="D78" s="41" t="s">
        <v>64</v>
      </c>
      <c r="E78" s="19">
        <v>3</v>
      </c>
      <c r="F78" s="13">
        <f>SUM(E78/100)</f>
        <v>0.03</v>
      </c>
      <c r="G78" s="13">
        <v>624.16999999999996</v>
      </c>
      <c r="H78" s="103">
        <f>F78*G78/1000</f>
        <v>1.8725099999999998E-2</v>
      </c>
      <c r="I78" s="13">
        <v>0</v>
      </c>
    </row>
    <row r="79" spans="1:21" ht="15.75" hidden="1" customHeight="1">
      <c r="A79" s="33"/>
      <c r="B79" s="15" t="s">
        <v>71</v>
      </c>
      <c r="C79" s="17" t="s">
        <v>28</v>
      </c>
      <c r="D79" s="41" t="s">
        <v>64</v>
      </c>
      <c r="E79" s="19">
        <v>1</v>
      </c>
      <c r="F79" s="13">
        <v>1</v>
      </c>
      <c r="G79" s="13">
        <v>1061.4100000000001</v>
      </c>
      <c r="H79" s="103">
        <f>F79*G79/1000</f>
        <v>1.0614100000000002</v>
      </c>
      <c r="I79" s="13">
        <v>0</v>
      </c>
    </row>
    <row r="80" spans="1:21" ht="15.75" hidden="1" customHeight="1">
      <c r="A80" s="33">
        <v>17</v>
      </c>
      <c r="B80" s="15" t="s">
        <v>132</v>
      </c>
      <c r="C80" s="17" t="s">
        <v>28</v>
      </c>
      <c r="D80" s="41" t="s">
        <v>64</v>
      </c>
      <c r="E80" s="19">
        <v>1</v>
      </c>
      <c r="F80" s="95">
        <f>SUM(E80)</f>
        <v>1</v>
      </c>
      <c r="G80" s="13">
        <v>446.12</v>
      </c>
      <c r="H80" s="103">
        <f t="shared" ref="H80" si="9">SUM(F80*G80/1000)</f>
        <v>0.44612000000000002</v>
      </c>
      <c r="I80" s="13">
        <v>0</v>
      </c>
    </row>
    <row r="81" spans="1:9" ht="15.75" hidden="1" customHeight="1">
      <c r="A81" s="33"/>
      <c r="B81" s="54" t="s">
        <v>73</v>
      </c>
      <c r="C81" s="42"/>
      <c r="D81" s="33"/>
      <c r="E81" s="19"/>
      <c r="F81" s="19"/>
      <c r="G81" s="40"/>
      <c r="H81" s="40"/>
      <c r="I81" s="19"/>
    </row>
    <row r="82" spans="1:9" ht="15.75" hidden="1" customHeight="1">
      <c r="A82" s="33">
        <v>39</v>
      </c>
      <c r="B82" s="56" t="s">
        <v>121</v>
      </c>
      <c r="C82" s="17" t="s">
        <v>74</v>
      </c>
      <c r="D82" s="15"/>
      <c r="E82" s="19"/>
      <c r="F82" s="13">
        <v>1.35</v>
      </c>
      <c r="G82" s="13">
        <v>3433.68</v>
      </c>
      <c r="H82" s="103">
        <f t="shared" ref="H82" si="10">SUM(F82*G82/1000)</f>
        <v>4.6354679999999995</v>
      </c>
      <c r="I82" s="13">
        <v>0</v>
      </c>
    </row>
    <row r="83" spans="1:9" ht="15.75" customHeight="1">
      <c r="A83" s="33"/>
      <c r="B83" s="66" t="s">
        <v>133</v>
      </c>
      <c r="C83" s="72"/>
      <c r="D83" s="35"/>
      <c r="E83" s="12"/>
      <c r="F83" s="12"/>
      <c r="G83" s="40"/>
      <c r="H83" s="40"/>
      <c r="I83" s="19"/>
    </row>
    <row r="84" spans="1:9" ht="31.5" hidden="1" customHeight="1">
      <c r="A84" s="33"/>
      <c r="B84" s="15" t="s">
        <v>134</v>
      </c>
      <c r="C84" s="17" t="s">
        <v>135</v>
      </c>
      <c r="D84" s="41" t="s">
        <v>64</v>
      </c>
      <c r="E84" s="19">
        <v>6</v>
      </c>
      <c r="F84" s="13">
        <f>E84</f>
        <v>6</v>
      </c>
      <c r="G84" s="13">
        <v>297.44</v>
      </c>
      <c r="H84" s="103">
        <f t="shared" ref="H84:H94" si="11">SUM(F84*G84/1000)</f>
        <v>1.7846399999999998</v>
      </c>
      <c r="I84" s="13">
        <v>0</v>
      </c>
    </row>
    <row r="85" spans="1:9" ht="15.75" customHeight="1">
      <c r="A85" s="33">
        <v>14</v>
      </c>
      <c r="B85" s="15" t="s">
        <v>136</v>
      </c>
      <c r="C85" s="17" t="s">
        <v>79</v>
      </c>
      <c r="D85" s="41"/>
      <c r="E85" s="19">
        <v>12</v>
      </c>
      <c r="F85" s="13">
        <f>E85</f>
        <v>12</v>
      </c>
      <c r="G85" s="13">
        <v>122.35</v>
      </c>
      <c r="H85" s="103">
        <f t="shared" si="11"/>
        <v>1.4681999999999997</v>
      </c>
      <c r="I85" s="13">
        <f>G85*3</f>
        <v>367.04999999999995</v>
      </c>
    </row>
    <row r="86" spans="1:9" ht="15.75" hidden="1" customHeight="1">
      <c r="A86" s="33"/>
      <c r="B86" s="15" t="s">
        <v>137</v>
      </c>
      <c r="C86" s="17" t="s">
        <v>138</v>
      </c>
      <c r="D86" s="41" t="s">
        <v>64</v>
      </c>
      <c r="E86" s="19">
        <v>9</v>
      </c>
      <c r="F86" s="13">
        <f>E86/3</f>
        <v>3</v>
      </c>
      <c r="G86" s="13">
        <v>1063.47</v>
      </c>
      <c r="H86" s="103">
        <f t="shared" si="11"/>
        <v>3.19041</v>
      </c>
      <c r="I86" s="13">
        <v>0</v>
      </c>
    </row>
    <row r="87" spans="1:9" ht="31.5" hidden="1" customHeight="1">
      <c r="A87" s="33"/>
      <c r="B87" s="15" t="s">
        <v>139</v>
      </c>
      <c r="C87" s="17" t="s">
        <v>140</v>
      </c>
      <c r="D87" s="41" t="s">
        <v>64</v>
      </c>
      <c r="E87" s="19">
        <v>10</v>
      </c>
      <c r="F87" s="13">
        <f>E87/10</f>
        <v>1</v>
      </c>
      <c r="G87" s="13">
        <v>297.99</v>
      </c>
      <c r="H87" s="103">
        <f t="shared" si="11"/>
        <v>0.29799000000000003</v>
      </c>
      <c r="I87" s="13">
        <v>0</v>
      </c>
    </row>
    <row r="88" spans="1:9" ht="31.5" hidden="1" customHeight="1">
      <c r="A88" s="33"/>
      <c r="B88" s="15" t="s">
        <v>141</v>
      </c>
      <c r="C88" s="17" t="s">
        <v>79</v>
      </c>
      <c r="D88" s="41" t="s">
        <v>64</v>
      </c>
      <c r="E88" s="19">
        <v>6</v>
      </c>
      <c r="F88" s="13">
        <f t="shared" ref="F88:F93" si="12">E88</f>
        <v>6</v>
      </c>
      <c r="G88" s="13">
        <v>1564.44</v>
      </c>
      <c r="H88" s="103">
        <f t="shared" si="11"/>
        <v>9.3866399999999999</v>
      </c>
      <c r="I88" s="13">
        <v>0</v>
      </c>
    </row>
    <row r="89" spans="1:9" ht="31.5" hidden="1" customHeight="1">
      <c r="A89" s="33"/>
      <c r="B89" s="15" t="s">
        <v>142</v>
      </c>
      <c r="C89" s="17" t="s">
        <v>79</v>
      </c>
      <c r="D89" s="41" t="s">
        <v>64</v>
      </c>
      <c r="E89" s="19">
        <v>6</v>
      </c>
      <c r="F89" s="13">
        <f t="shared" si="12"/>
        <v>6</v>
      </c>
      <c r="G89" s="13">
        <v>1906.89</v>
      </c>
      <c r="H89" s="103">
        <f t="shared" si="11"/>
        <v>11.44134</v>
      </c>
      <c r="I89" s="13">
        <v>0</v>
      </c>
    </row>
    <row r="90" spans="1:9" ht="31.5" hidden="1" customHeight="1">
      <c r="A90" s="33"/>
      <c r="B90" s="15" t="s">
        <v>143</v>
      </c>
      <c r="C90" s="17" t="s">
        <v>79</v>
      </c>
      <c r="D90" s="41" t="s">
        <v>64</v>
      </c>
      <c r="E90" s="19">
        <v>6</v>
      </c>
      <c r="F90" s="13">
        <f t="shared" si="12"/>
        <v>6</v>
      </c>
      <c r="G90" s="13">
        <v>664.35</v>
      </c>
      <c r="H90" s="103">
        <f t="shared" si="11"/>
        <v>3.9861000000000004</v>
      </c>
      <c r="I90" s="13">
        <v>0</v>
      </c>
    </row>
    <row r="91" spans="1:9" ht="31.5" hidden="1" customHeight="1">
      <c r="A91" s="33"/>
      <c r="B91" s="15" t="s">
        <v>144</v>
      </c>
      <c r="C91" s="17" t="s">
        <v>79</v>
      </c>
      <c r="D91" s="41" t="s">
        <v>64</v>
      </c>
      <c r="E91" s="19">
        <v>6</v>
      </c>
      <c r="F91" s="13">
        <f t="shared" si="12"/>
        <v>6</v>
      </c>
      <c r="G91" s="13">
        <v>778.85</v>
      </c>
      <c r="H91" s="103">
        <f t="shared" si="11"/>
        <v>4.6731000000000007</v>
      </c>
      <c r="I91" s="13">
        <v>0</v>
      </c>
    </row>
    <row r="92" spans="1:9" ht="15.75" hidden="1" customHeight="1">
      <c r="A92" s="33"/>
      <c r="B92" s="15" t="s">
        <v>145</v>
      </c>
      <c r="C92" s="17" t="s">
        <v>118</v>
      </c>
      <c r="D92" s="41" t="s">
        <v>64</v>
      </c>
      <c r="E92" s="19">
        <v>4</v>
      </c>
      <c r="F92" s="13">
        <f t="shared" si="12"/>
        <v>4</v>
      </c>
      <c r="G92" s="13">
        <v>498.11</v>
      </c>
      <c r="H92" s="103">
        <f t="shared" si="11"/>
        <v>1.99244</v>
      </c>
      <c r="I92" s="13">
        <v>0</v>
      </c>
    </row>
    <row r="93" spans="1:9" ht="31.5" hidden="1" customHeight="1">
      <c r="A93" s="33"/>
      <c r="B93" s="15" t="s">
        <v>146</v>
      </c>
      <c r="C93" s="17" t="s">
        <v>79</v>
      </c>
      <c r="D93" s="41" t="s">
        <v>64</v>
      </c>
      <c r="E93" s="19">
        <v>6</v>
      </c>
      <c r="F93" s="13">
        <f t="shared" si="12"/>
        <v>6</v>
      </c>
      <c r="G93" s="13">
        <v>1264.3399999999999</v>
      </c>
      <c r="H93" s="103">
        <f t="shared" si="11"/>
        <v>7.5860399999999988</v>
      </c>
      <c r="I93" s="13">
        <v>0</v>
      </c>
    </row>
    <row r="94" spans="1:9" ht="15.75" hidden="1" customHeight="1">
      <c r="A94" s="33"/>
      <c r="B94" s="15" t="s">
        <v>147</v>
      </c>
      <c r="C94" s="17" t="s">
        <v>27</v>
      </c>
      <c r="D94" s="15" t="s">
        <v>40</v>
      </c>
      <c r="E94" s="19">
        <v>823</v>
      </c>
      <c r="F94" s="13">
        <f>E94*2/1000</f>
        <v>1.6459999999999999</v>
      </c>
      <c r="G94" s="13">
        <v>1707.71</v>
      </c>
      <c r="H94" s="103">
        <f t="shared" si="11"/>
        <v>2.8108906600000001</v>
      </c>
      <c r="I94" s="13">
        <v>0</v>
      </c>
    </row>
    <row r="95" spans="1:9" ht="15.75" customHeight="1">
      <c r="A95" s="144" t="s">
        <v>152</v>
      </c>
      <c r="B95" s="145"/>
      <c r="C95" s="145"/>
      <c r="D95" s="145"/>
      <c r="E95" s="145"/>
      <c r="F95" s="145"/>
      <c r="G95" s="145"/>
      <c r="H95" s="145"/>
      <c r="I95" s="146"/>
    </row>
    <row r="96" spans="1:9" ht="15.75" customHeight="1">
      <c r="A96" s="33">
        <v>15</v>
      </c>
      <c r="B96" s="92" t="s">
        <v>122</v>
      </c>
      <c r="C96" s="17" t="s">
        <v>52</v>
      </c>
      <c r="D96" s="108"/>
      <c r="E96" s="13">
        <v>1832</v>
      </c>
      <c r="F96" s="13">
        <f>SUM(E96*12)</f>
        <v>21984</v>
      </c>
      <c r="G96" s="13">
        <v>2.95</v>
      </c>
      <c r="H96" s="103">
        <f>SUM(F96*G96/1000)</f>
        <v>64.852800000000002</v>
      </c>
      <c r="I96" s="13">
        <f>F96/12*G96</f>
        <v>5404.4000000000005</v>
      </c>
    </row>
    <row r="97" spans="1:9" ht="31.5" customHeight="1">
      <c r="A97" s="33">
        <v>16</v>
      </c>
      <c r="B97" s="15" t="s">
        <v>75</v>
      </c>
      <c r="C97" s="17" t="s">
        <v>160</v>
      </c>
      <c r="D97" s="108"/>
      <c r="E97" s="94">
        <v>1832</v>
      </c>
      <c r="F97" s="13">
        <f>E97*12</f>
        <v>21984</v>
      </c>
      <c r="G97" s="13">
        <v>3.05</v>
      </c>
      <c r="H97" s="103">
        <f>F97*G97/1000</f>
        <v>67.051199999999994</v>
      </c>
      <c r="I97" s="13">
        <f>F97/12*G97</f>
        <v>5587.5999999999995</v>
      </c>
    </row>
    <row r="98" spans="1:9" ht="15.75" customHeight="1">
      <c r="A98" s="57"/>
      <c r="B98" s="43" t="s">
        <v>78</v>
      </c>
      <c r="C98" s="45"/>
      <c r="D98" s="16"/>
      <c r="E98" s="16"/>
      <c r="F98" s="16"/>
      <c r="G98" s="19"/>
      <c r="H98" s="19"/>
      <c r="I98" s="36">
        <f>I97+I96+I85+I55+I54+I50+I43+I42+I41+I40+I39+I38+I27+I18+I17+I16</f>
        <v>31891.744909999998</v>
      </c>
    </row>
    <row r="99" spans="1:9" ht="15.75" customHeight="1">
      <c r="A99" s="147" t="s">
        <v>58</v>
      </c>
      <c r="B99" s="148"/>
      <c r="C99" s="148"/>
      <c r="D99" s="148"/>
      <c r="E99" s="148"/>
      <c r="F99" s="148"/>
      <c r="G99" s="148"/>
      <c r="H99" s="148"/>
      <c r="I99" s="149"/>
    </row>
    <row r="100" spans="1:9" ht="15.75" customHeight="1">
      <c r="A100" s="33">
        <v>17</v>
      </c>
      <c r="B100" s="112" t="s">
        <v>176</v>
      </c>
      <c r="C100" s="113" t="s">
        <v>177</v>
      </c>
      <c r="D100" s="112"/>
      <c r="E100" s="114"/>
      <c r="F100" s="115">
        <v>24</v>
      </c>
      <c r="G100" s="116">
        <v>1.4</v>
      </c>
      <c r="H100" s="117">
        <f>F100*G100/1000</f>
        <v>3.3599999999999991E-2</v>
      </c>
      <c r="I100" s="118">
        <f>G100*12</f>
        <v>16.799999999999997</v>
      </c>
    </row>
    <row r="101" spans="1:9" ht="31.5" customHeight="1">
      <c r="A101" s="33">
        <v>18</v>
      </c>
      <c r="B101" s="122" t="s">
        <v>178</v>
      </c>
      <c r="C101" s="123" t="s">
        <v>36</v>
      </c>
      <c r="D101" s="15"/>
      <c r="E101" s="19"/>
      <c r="F101" s="13">
        <v>0.03</v>
      </c>
      <c r="G101" s="40">
        <v>3914.31</v>
      </c>
      <c r="H101" s="103">
        <f>G101*F101/1000</f>
        <v>0.1174293</v>
      </c>
      <c r="I101" s="118">
        <f>G101*0.01</f>
        <v>39.143099999999997</v>
      </c>
    </row>
    <row r="102" spans="1:9" ht="14.25" customHeight="1">
      <c r="A102" s="33">
        <v>19</v>
      </c>
      <c r="B102" s="122" t="s">
        <v>187</v>
      </c>
      <c r="C102" s="123" t="s">
        <v>110</v>
      </c>
      <c r="D102" s="15"/>
      <c r="E102" s="19"/>
      <c r="F102" s="13">
        <v>2</v>
      </c>
      <c r="G102" s="40">
        <v>208.61</v>
      </c>
      <c r="H102" s="103">
        <f>G102*F102/1000</f>
        <v>0.41722000000000004</v>
      </c>
      <c r="I102" s="13">
        <f>G102*3</f>
        <v>625.83000000000004</v>
      </c>
    </row>
    <row r="103" spans="1:9" ht="31.5" customHeight="1">
      <c r="A103" s="33">
        <v>20</v>
      </c>
      <c r="B103" s="41" t="s">
        <v>188</v>
      </c>
      <c r="C103" s="42" t="s">
        <v>97</v>
      </c>
      <c r="D103" s="15"/>
      <c r="E103" s="19"/>
      <c r="F103" s="13"/>
      <c r="G103" s="40">
        <v>19757.060000000001</v>
      </c>
      <c r="H103" s="103"/>
      <c r="I103" s="13">
        <f>G103*0.599*8/1000+0.001</f>
        <v>94.676831520000007</v>
      </c>
    </row>
    <row r="104" spans="1:9" ht="15.75" customHeight="1">
      <c r="A104" s="33"/>
      <c r="B104" s="50" t="s">
        <v>49</v>
      </c>
      <c r="C104" s="46"/>
      <c r="D104" s="58"/>
      <c r="E104" s="46">
        <v>1</v>
      </c>
      <c r="F104" s="46"/>
      <c r="G104" s="46"/>
      <c r="H104" s="46"/>
      <c r="I104" s="36">
        <f>SUM(I100:I103)</f>
        <v>776.44993152000006</v>
      </c>
    </row>
    <row r="105" spans="1:9" ht="15.75" customHeight="1">
      <c r="A105" s="33"/>
      <c r="B105" s="56" t="s">
        <v>76</v>
      </c>
      <c r="C105" s="16"/>
      <c r="D105" s="16"/>
      <c r="E105" s="47"/>
      <c r="F105" s="47"/>
      <c r="G105" s="48"/>
      <c r="H105" s="48"/>
      <c r="I105" s="18">
        <v>0</v>
      </c>
    </row>
    <row r="106" spans="1:9" ht="15.75" customHeight="1">
      <c r="A106" s="59"/>
      <c r="B106" s="51" t="s">
        <v>161</v>
      </c>
      <c r="C106" s="38"/>
      <c r="D106" s="38"/>
      <c r="E106" s="38"/>
      <c r="F106" s="38"/>
      <c r="G106" s="38"/>
      <c r="H106" s="38"/>
      <c r="I106" s="49">
        <f>I98+I104</f>
        <v>32668.194841519999</v>
      </c>
    </row>
    <row r="107" spans="1:9" ht="15.75" customHeight="1">
      <c r="A107" s="136" t="s">
        <v>221</v>
      </c>
      <c r="B107" s="136"/>
      <c r="C107" s="136"/>
      <c r="D107" s="136"/>
      <c r="E107" s="136"/>
      <c r="F107" s="136"/>
      <c r="G107" s="136"/>
      <c r="H107" s="136"/>
      <c r="I107" s="136"/>
    </row>
    <row r="108" spans="1:9" ht="15.75" customHeight="1">
      <c r="A108" s="65"/>
      <c r="B108" s="150" t="s">
        <v>222</v>
      </c>
      <c r="C108" s="150"/>
      <c r="D108" s="150"/>
      <c r="E108" s="150"/>
      <c r="F108" s="150"/>
      <c r="G108" s="150"/>
      <c r="H108" s="90"/>
      <c r="I108" s="3"/>
    </row>
    <row r="109" spans="1:9" ht="15.75" customHeight="1">
      <c r="A109" s="60"/>
      <c r="B109" s="151" t="s">
        <v>6</v>
      </c>
      <c r="C109" s="151"/>
      <c r="D109" s="151"/>
      <c r="E109" s="151"/>
      <c r="F109" s="151"/>
      <c r="G109" s="151"/>
      <c r="H109" s="28"/>
      <c r="I109" s="5"/>
    </row>
    <row r="110" spans="1:9" ht="15.75" customHeight="1">
      <c r="A110" s="9"/>
      <c r="B110" s="9"/>
      <c r="C110" s="9"/>
      <c r="D110" s="9"/>
      <c r="E110" s="9"/>
      <c r="F110" s="9"/>
      <c r="G110" s="9"/>
      <c r="H110" s="9"/>
      <c r="I110" s="9"/>
    </row>
    <row r="111" spans="1:9" ht="15.75" customHeight="1">
      <c r="A111" s="135" t="s">
        <v>7</v>
      </c>
      <c r="B111" s="135"/>
      <c r="C111" s="135"/>
      <c r="D111" s="135"/>
      <c r="E111" s="135"/>
      <c r="F111" s="135"/>
      <c r="G111" s="135"/>
      <c r="H111" s="135"/>
      <c r="I111" s="135"/>
    </row>
    <row r="112" spans="1:9" ht="15.75" customHeight="1">
      <c r="A112" s="135" t="s">
        <v>8</v>
      </c>
      <c r="B112" s="135"/>
      <c r="C112" s="135"/>
      <c r="D112" s="135"/>
      <c r="E112" s="135"/>
      <c r="F112" s="135"/>
      <c r="G112" s="135"/>
      <c r="H112" s="135"/>
      <c r="I112" s="135"/>
    </row>
    <row r="113" spans="1:9" ht="15.75" customHeight="1">
      <c r="A113" s="155" t="s">
        <v>59</v>
      </c>
      <c r="B113" s="155"/>
      <c r="C113" s="155"/>
      <c r="D113" s="155"/>
      <c r="E113" s="155"/>
      <c r="F113" s="155"/>
      <c r="G113" s="155"/>
      <c r="H113" s="155"/>
      <c r="I113" s="155"/>
    </row>
    <row r="114" spans="1:9" ht="15.75" customHeight="1">
      <c r="A114" s="10"/>
    </row>
    <row r="115" spans="1:9" ht="15.75" customHeight="1">
      <c r="A115" s="156" t="s">
        <v>9</v>
      </c>
      <c r="B115" s="156"/>
      <c r="C115" s="156"/>
      <c r="D115" s="156"/>
      <c r="E115" s="156"/>
      <c r="F115" s="156"/>
      <c r="G115" s="156"/>
      <c r="H115" s="156"/>
      <c r="I115" s="156"/>
    </row>
    <row r="116" spans="1:9" ht="15.75" customHeight="1">
      <c r="A116" s="4"/>
    </row>
    <row r="117" spans="1:9" ht="15.75" customHeight="1">
      <c r="B117" s="61" t="s">
        <v>10</v>
      </c>
      <c r="C117" s="157" t="s">
        <v>85</v>
      </c>
      <c r="D117" s="157"/>
      <c r="E117" s="157"/>
      <c r="F117" s="88"/>
      <c r="I117" s="63"/>
    </row>
    <row r="118" spans="1:9" ht="15.75" customHeight="1">
      <c r="A118" s="60"/>
      <c r="C118" s="151" t="s">
        <v>11</v>
      </c>
      <c r="D118" s="151"/>
      <c r="E118" s="151"/>
      <c r="F118" s="28"/>
      <c r="I118" s="62" t="s">
        <v>12</v>
      </c>
    </row>
    <row r="119" spans="1:9" ht="15.75" customHeight="1">
      <c r="A119" s="29"/>
      <c r="C119" s="11"/>
      <c r="D119" s="11"/>
      <c r="G119" s="11"/>
      <c r="H119" s="11"/>
    </row>
    <row r="120" spans="1:9" ht="15.75" customHeight="1">
      <c r="B120" s="61" t="s">
        <v>13</v>
      </c>
      <c r="C120" s="152"/>
      <c r="D120" s="152"/>
      <c r="E120" s="152"/>
      <c r="F120" s="89"/>
      <c r="I120" s="63"/>
    </row>
    <row r="121" spans="1:9" ht="15.75" customHeight="1">
      <c r="A121" s="60"/>
      <c r="C121" s="131" t="s">
        <v>11</v>
      </c>
      <c r="D121" s="131"/>
      <c r="E121" s="131"/>
      <c r="F121" s="74"/>
      <c r="I121" s="62" t="s">
        <v>12</v>
      </c>
    </row>
    <row r="122" spans="1:9" ht="15.75" customHeight="1">
      <c r="A122" s="4" t="s">
        <v>14</v>
      </c>
    </row>
    <row r="123" spans="1:9" ht="15.75" customHeight="1">
      <c r="A123" s="154" t="s">
        <v>15</v>
      </c>
      <c r="B123" s="154"/>
      <c r="C123" s="154"/>
      <c r="D123" s="154"/>
      <c r="E123" s="154"/>
      <c r="F123" s="154"/>
      <c r="G123" s="154"/>
      <c r="H123" s="154"/>
      <c r="I123" s="154"/>
    </row>
    <row r="124" spans="1:9" ht="45" customHeight="1">
      <c r="A124" s="153" t="s">
        <v>16</v>
      </c>
      <c r="B124" s="153"/>
      <c r="C124" s="153"/>
      <c r="D124" s="153"/>
      <c r="E124" s="153"/>
      <c r="F124" s="153"/>
      <c r="G124" s="153"/>
      <c r="H124" s="153"/>
      <c r="I124" s="153"/>
    </row>
    <row r="125" spans="1:9" ht="30" customHeight="1">
      <c r="A125" s="153" t="s">
        <v>17</v>
      </c>
      <c r="B125" s="153"/>
      <c r="C125" s="153"/>
      <c r="D125" s="153"/>
      <c r="E125" s="153"/>
      <c r="F125" s="153"/>
      <c r="G125" s="153"/>
      <c r="H125" s="153"/>
      <c r="I125" s="153"/>
    </row>
    <row r="126" spans="1:9" ht="30" customHeight="1">
      <c r="A126" s="153" t="s">
        <v>21</v>
      </c>
      <c r="B126" s="153"/>
      <c r="C126" s="153"/>
      <c r="D126" s="153"/>
      <c r="E126" s="153"/>
      <c r="F126" s="153"/>
      <c r="G126" s="153"/>
      <c r="H126" s="153"/>
      <c r="I126" s="153"/>
    </row>
    <row r="127" spans="1:9" ht="15" customHeight="1">
      <c r="A127" s="153" t="s">
        <v>20</v>
      </c>
      <c r="B127" s="153"/>
      <c r="C127" s="153"/>
      <c r="D127" s="153"/>
      <c r="E127" s="153"/>
      <c r="F127" s="153"/>
      <c r="G127" s="153"/>
      <c r="H127" s="153"/>
      <c r="I127" s="153"/>
    </row>
  </sheetData>
  <autoFilter ref="I12:I71"/>
  <mergeCells count="29">
    <mergeCell ref="B109:G109"/>
    <mergeCell ref="A111:I111"/>
    <mergeCell ref="A113:I113"/>
    <mergeCell ref="A115:I115"/>
    <mergeCell ref="C117:E117"/>
    <mergeCell ref="C118:E118"/>
    <mergeCell ref="C120:E120"/>
    <mergeCell ref="A127:I127"/>
    <mergeCell ref="C121:E121"/>
    <mergeCell ref="A123:I123"/>
    <mergeCell ref="A124:I124"/>
    <mergeCell ref="A125:I125"/>
    <mergeCell ref="A126:I126"/>
    <mergeCell ref="R75:U75"/>
    <mergeCell ref="A56:I56"/>
    <mergeCell ref="A112:I112"/>
    <mergeCell ref="A107:I107"/>
    <mergeCell ref="A3:I3"/>
    <mergeCell ref="A4:I4"/>
    <mergeCell ref="A8:I8"/>
    <mergeCell ref="A10:I10"/>
    <mergeCell ref="A5:I5"/>
    <mergeCell ref="A14:I14"/>
    <mergeCell ref="A15:I15"/>
    <mergeCell ref="A28:I28"/>
    <mergeCell ref="A44:I44"/>
    <mergeCell ref="A95:I95"/>
    <mergeCell ref="A99:I99"/>
    <mergeCell ref="B108:G108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U126"/>
  <sheetViews>
    <sheetView workbookViewId="0">
      <selection activeCell="B16" sqref="B16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179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37" t="s">
        <v>173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123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259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43769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180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148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57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3">
        <v>1</v>
      </c>
      <c r="B16" s="92" t="s">
        <v>84</v>
      </c>
      <c r="C16" s="93" t="s">
        <v>86</v>
      </c>
      <c r="D16" s="92" t="s">
        <v>233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124</v>
      </c>
      <c r="C17" s="93" t="s">
        <v>86</v>
      </c>
      <c r="D17" s="92" t="s">
        <v>234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87</v>
      </c>
      <c r="C18" s="93" t="s">
        <v>86</v>
      </c>
      <c r="D18" s="92" t="s">
        <v>235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88</v>
      </c>
      <c r="C19" s="93" t="s">
        <v>89</v>
      </c>
      <c r="D19" s="92" t="s">
        <v>90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95</v>
      </c>
      <c r="C20" s="93" t="s">
        <v>50</v>
      </c>
      <c r="D20" s="92" t="s">
        <v>125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4</v>
      </c>
      <c r="B21" s="92" t="s">
        <v>91</v>
      </c>
      <c r="C21" s="93" t="s">
        <v>86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5</v>
      </c>
      <c r="B22" s="92" t="s">
        <v>92</v>
      </c>
      <c r="C22" s="93" t="s">
        <v>86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93</v>
      </c>
      <c r="C23" s="93" t="s">
        <v>50</v>
      </c>
      <c r="D23" s="92" t="s">
        <v>90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94</v>
      </c>
      <c r="C24" s="93" t="s">
        <v>50</v>
      </c>
      <c r="D24" s="92" t="s">
        <v>90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96</v>
      </c>
      <c r="C25" s="93" t="s">
        <v>50</v>
      </c>
      <c r="D25" s="92" t="s">
        <v>90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126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220</v>
      </c>
      <c r="C27" s="44" t="s">
        <v>177</v>
      </c>
      <c r="D27" s="127" t="s">
        <v>237</v>
      </c>
      <c r="E27" s="128">
        <v>2.5099999999999998</v>
      </c>
      <c r="F27" s="129">
        <f>E27*258</f>
        <v>647.57999999999993</v>
      </c>
      <c r="G27" s="129">
        <v>10.39</v>
      </c>
      <c r="H27" s="96">
        <f t="shared" ref="H27" si="3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3" t="s">
        <v>82</v>
      </c>
      <c r="B28" s="143"/>
      <c r="C28" s="143"/>
      <c r="D28" s="143"/>
      <c r="E28" s="143"/>
      <c r="F28" s="143"/>
      <c r="G28" s="143"/>
      <c r="H28" s="143"/>
      <c r="I28" s="143"/>
      <c r="J28" s="26"/>
      <c r="K28" s="8"/>
      <c r="L28" s="8"/>
      <c r="M28" s="8"/>
    </row>
    <row r="29" spans="1:13" ht="15.75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customHeight="1">
      <c r="A30" s="45">
        <v>5</v>
      </c>
      <c r="B30" s="92" t="s">
        <v>154</v>
      </c>
      <c r="C30" s="93" t="s">
        <v>97</v>
      </c>
      <c r="D30" s="92" t="s">
        <v>234</v>
      </c>
      <c r="E30" s="95">
        <v>306.55</v>
      </c>
      <c r="F30" s="95">
        <f>SUM(E30*52/1000)</f>
        <v>15.9406</v>
      </c>
      <c r="G30" s="95">
        <v>193.97</v>
      </c>
      <c r="H30" s="96">
        <f t="shared" ref="H30:H33" si="4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customHeight="1">
      <c r="A31" s="45">
        <v>6</v>
      </c>
      <c r="B31" s="92" t="s">
        <v>99</v>
      </c>
      <c r="C31" s="93" t="s">
        <v>97</v>
      </c>
      <c r="D31" s="92" t="s">
        <v>233</v>
      </c>
      <c r="E31" s="95">
        <v>42.5</v>
      </c>
      <c r="F31" s="95">
        <f>SUM(E31*78/1000)</f>
        <v>3.3149999999999999</v>
      </c>
      <c r="G31" s="95">
        <v>321.82</v>
      </c>
      <c r="H31" s="96">
        <f t="shared" si="4"/>
        <v>1.0668333000000001</v>
      </c>
      <c r="I31" s="13">
        <f t="shared" ref="I31:I33" si="5">F31/6*G31</f>
        <v>177.80554999999998</v>
      </c>
      <c r="J31" s="26"/>
      <c r="K31" s="8"/>
      <c r="L31" s="8"/>
      <c r="M31" s="8"/>
    </row>
    <row r="32" spans="1:13" ht="15.75" hidden="1" customHeight="1">
      <c r="A32" s="45">
        <v>16</v>
      </c>
      <c r="B32" s="92" t="s">
        <v>153</v>
      </c>
      <c r="C32" s="93" t="s">
        <v>97</v>
      </c>
      <c r="D32" s="92" t="s">
        <v>51</v>
      </c>
      <c r="E32" s="95">
        <v>306.55</v>
      </c>
      <c r="F32" s="95">
        <f>SUM(E32/1000)</f>
        <v>0.30654999999999999</v>
      </c>
      <c r="G32" s="95">
        <v>3758.28</v>
      </c>
      <c r="H32" s="96">
        <f t="shared" si="4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customHeight="1">
      <c r="A33" s="45">
        <v>7</v>
      </c>
      <c r="B33" s="92" t="s">
        <v>127</v>
      </c>
      <c r="C33" s="93" t="s">
        <v>38</v>
      </c>
      <c r="D33" s="92" t="s">
        <v>243</v>
      </c>
      <c r="E33" s="95">
        <v>3</v>
      </c>
      <c r="F33" s="95">
        <f>E33*155/100</f>
        <v>4.6500000000000004</v>
      </c>
      <c r="G33" s="95">
        <v>1620.15</v>
      </c>
      <c r="H33" s="96">
        <f t="shared" si="4"/>
        <v>7.5336975000000015</v>
      </c>
      <c r="I33" s="13">
        <f t="shared" si="5"/>
        <v>1255.61625</v>
      </c>
      <c r="J33" s="26"/>
      <c r="K33" s="8"/>
      <c r="L33" s="8"/>
      <c r="M33" s="8"/>
    </row>
    <row r="34" spans="1:14" ht="15.75" hidden="1" customHeight="1">
      <c r="A34" s="45">
        <v>4</v>
      </c>
      <c r="B34" s="92" t="s">
        <v>62</v>
      </c>
      <c r="C34" s="93" t="s">
        <v>30</v>
      </c>
      <c r="D34" s="92" t="s">
        <v>64</v>
      </c>
      <c r="E34" s="94"/>
      <c r="F34" s="95">
        <v>2</v>
      </c>
      <c r="G34" s="95">
        <v>238.07</v>
      </c>
      <c r="H34" s="96">
        <f t="shared" ref="H34:H35" si="6">SUM(F34*G34/1000)</f>
        <v>0.47614000000000001</v>
      </c>
      <c r="I34" s="13">
        <v>0</v>
      </c>
      <c r="J34" s="26"/>
      <c r="K34" s="8"/>
    </row>
    <row r="35" spans="1:14" ht="15.75" hidden="1" customHeight="1">
      <c r="A35" s="33">
        <v>8</v>
      </c>
      <c r="B35" s="92" t="s">
        <v>63</v>
      </c>
      <c r="C35" s="93" t="s">
        <v>29</v>
      </c>
      <c r="D35" s="92" t="s">
        <v>64</v>
      </c>
      <c r="E35" s="94"/>
      <c r="F35" s="95">
        <v>3</v>
      </c>
      <c r="G35" s="95">
        <v>1413.96</v>
      </c>
      <c r="H35" s="96">
        <f t="shared" si="6"/>
        <v>4.2418800000000001</v>
      </c>
      <c r="I35" s="13">
        <v>0</v>
      </c>
      <c r="J35" s="27"/>
    </row>
    <row r="36" spans="1:14" ht="15.75" hidden="1" customHeight="1">
      <c r="A36" s="45"/>
      <c r="B36" s="53" t="s">
        <v>5</v>
      </c>
      <c r="C36" s="53"/>
      <c r="D36" s="53"/>
      <c r="E36" s="13"/>
      <c r="F36" s="13"/>
      <c r="G36" s="14"/>
      <c r="H36" s="14"/>
      <c r="I36" s="19"/>
      <c r="J36" s="27"/>
    </row>
    <row r="37" spans="1:14" ht="15.75" hidden="1" customHeight="1">
      <c r="A37" s="37">
        <v>6</v>
      </c>
      <c r="B37" s="92" t="s">
        <v>25</v>
      </c>
      <c r="C37" s="93" t="s">
        <v>29</v>
      </c>
      <c r="D37" s="92"/>
      <c r="E37" s="94"/>
      <c r="F37" s="95">
        <v>2</v>
      </c>
      <c r="G37" s="95">
        <v>1900.37</v>
      </c>
      <c r="H37" s="96">
        <f t="shared" ref="H37:H42" si="7">SUM(F37*G37/1000)</f>
        <v>3.8007399999999998</v>
      </c>
      <c r="I37" s="13">
        <f t="shared" ref="I37:I42" si="8">F37/6*G37</f>
        <v>633.45666666666659</v>
      </c>
      <c r="J37" s="27"/>
    </row>
    <row r="38" spans="1:14" ht="15.75" hidden="1" customHeight="1">
      <c r="A38" s="37">
        <v>7</v>
      </c>
      <c r="B38" s="92" t="s">
        <v>65</v>
      </c>
      <c r="C38" s="93" t="s">
        <v>27</v>
      </c>
      <c r="D38" s="92" t="s">
        <v>102</v>
      </c>
      <c r="E38" s="95">
        <v>42.5</v>
      </c>
      <c r="F38" s="95">
        <f>SUM(E38*30/1000)</f>
        <v>1.2749999999999999</v>
      </c>
      <c r="G38" s="95">
        <v>2616.4899999999998</v>
      </c>
      <c r="H38" s="96">
        <f t="shared" si="7"/>
        <v>3.3360247499999995</v>
      </c>
      <c r="I38" s="13">
        <f t="shared" si="8"/>
        <v>556.00412499999993</v>
      </c>
      <c r="J38" s="27"/>
    </row>
    <row r="39" spans="1:14" ht="15.75" hidden="1" customHeight="1">
      <c r="A39" s="37">
        <v>8</v>
      </c>
      <c r="B39" s="92" t="s">
        <v>66</v>
      </c>
      <c r="C39" s="93" t="s">
        <v>27</v>
      </c>
      <c r="D39" s="92" t="s">
        <v>103</v>
      </c>
      <c r="E39" s="95">
        <v>42.5</v>
      </c>
      <c r="F39" s="95">
        <f>SUM(E39*155/1000)</f>
        <v>6.5875000000000004</v>
      </c>
      <c r="G39" s="95">
        <v>436.45</v>
      </c>
      <c r="H39" s="96">
        <f t="shared" si="7"/>
        <v>2.8751143749999999</v>
      </c>
      <c r="I39" s="13">
        <f t="shared" si="8"/>
        <v>479.18572916666665</v>
      </c>
      <c r="J39" s="27"/>
    </row>
    <row r="40" spans="1:14" ht="47.25" hidden="1" customHeight="1">
      <c r="A40" s="37">
        <v>9</v>
      </c>
      <c r="B40" s="92" t="s">
        <v>81</v>
      </c>
      <c r="C40" s="93" t="s">
        <v>97</v>
      </c>
      <c r="D40" s="92" t="s">
        <v>104</v>
      </c>
      <c r="E40" s="95">
        <v>42.5</v>
      </c>
      <c r="F40" s="95">
        <f>SUM(E40*35/1000)</f>
        <v>1.4875</v>
      </c>
      <c r="G40" s="95">
        <v>7221.21</v>
      </c>
      <c r="H40" s="96">
        <f t="shared" si="7"/>
        <v>10.741549875</v>
      </c>
      <c r="I40" s="13">
        <f t="shared" si="8"/>
        <v>1790.2583125000001</v>
      </c>
      <c r="J40" s="27"/>
    </row>
    <row r="41" spans="1:14" ht="15.75" hidden="1" customHeight="1">
      <c r="A41" s="37">
        <v>10</v>
      </c>
      <c r="B41" s="92" t="s">
        <v>105</v>
      </c>
      <c r="C41" s="93" t="s">
        <v>97</v>
      </c>
      <c r="D41" s="92" t="s">
        <v>106</v>
      </c>
      <c r="E41" s="95">
        <v>42.5</v>
      </c>
      <c r="F41" s="95">
        <f>SUM(E41*20/1000)</f>
        <v>0.85</v>
      </c>
      <c r="G41" s="95">
        <v>533.45000000000005</v>
      </c>
      <c r="H41" s="96">
        <f t="shared" si="7"/>
        <v>0.45343250000000002</v>
      </c>
      <c r="I41" s="13">
        <f t="shared" si="8"/>
        <v>75.572083333333339</v>
      </c>
      <c r="J41" s="27"/>
      <c r="L41" s="21"/>
      <c r="M41" s="22"/>
      <c r="N41" s="23"/>
    </row>
    <row r="42" spans="1:14" ht="15.75" hidden="1" customHeight="1">
      <c r="A42" s="37">
        <v>11</v>
      </c>
      <c r="B42" s="92" t="s">
        <v>67</v>
      </c>
      <c r="C42" s="93" t="s">
        <v>30</v>
      </c>
      <c r="D42" s="92"/>
      <c r="E42" s="94"/>
      <c r="F42" s="95">
        <v>0.5</v>
      </c>
      <c r="G42" s="95">
        <v>992.97</v>
      </c>
      <c r="H42" s="96">
        <f t="shared" si="7"/>
        <v>0.49648500000000001</v>
      </c>
      <c r="I42" s="13">
        <f t="shared" si="8"/>
        <v>82.747500000000002</v>
      </c>
      <c r="J42" s="27"/>
      <c r="L42" s="21"/>
      <c r="M42" s="22"/>
      <c r="N42" s="23"/>
    </row>
    <row r="43" spans="1:14" ht="15.75" hidden="1" customHeight="1">
      <c r="A43" s="132" t="s">
        <v>150</v>
      </c>
      <c r="B43" s="133"/>
      <c r="C43" s="133"/>
      <c r="D43" s="133"/>
      <c r="E43" s="133"/>
      <c r="F43" s="133"/>
      <c r="G43" s="133"/>
      <c r="H43" s="133"/>
      <c r="I43" s="134"/>
      <c r="J43" s="27"/>
      <c r="L43" s="21"/>
      <c r="M43" s="22"/>
      <c r="N43" s="23"/>
    </row>
    <row r="44" spans="1:14" ht="15.75" hidden="1" customHeight="1">
      <c r="A44" s="45">
        <v>12</v>
      </c>
      <c r="B44" s="92" t="s">
        <v>107</v>
      </c>
      <c r="C44" s="93" t="s">
        <v>97</v>
      </c>
      <c r="D44" s="92" t="s">
        <v>40</v>
      </c>
      <c r="E44" s="94">
        <v>1060.4000000000001</v>
      </c>
      <c r="F44" s="95">
        <f>SUM(E44*2/1000)</f>
        <v>2.1208</v>
      </c>
      <c r="G44" s="13">
        <v>1283.46</v>
      </c>
      <c r="H44" s="96">
        <f t="shared" ref="H44:H54" si="9">SUM(F44*G44/1000)</f>
        <v>2.721961968</v>
      </c>
      <c r="I44" s="13">
        <f t="shared" ref="I44:I47" si="10">F44/2*G44</f>
        <v>1360.980984</v>
      </c>
      <c r="J44" s="27"/>
      <c r="L44" s="21"/>
      <c r="M44" s="22"/>
      <c r="N44" s="23"/>
    </row>
    <row r="45" spans="1:14" ht="15.75" hidden="1" customHeight="1">
      <c r="A45" s="45">
        <v>13</v>
      </c>
      <c r="B45" s="92" t="s">
        <v>33</v>
      </c>
      <c r="C45" s="93" t="s">
        <v>97</v>
      </c>
      <c r="D45" s="92" t="s">
        <v>40</v>
      </c>
      <c r="E45" s="94">
        <v>19.8</v>
      </c>
      <c r="F45" s="95">
        <f>SUM(E45*2/1000)</f>
        <v>3.9600000000000003E-2</v>
      </c>
      <c r="G45" s="13">
        <v>721.04</v>
      </c>
      <c r="H45" s="96">
        <f t="shared" si="9"/>
        <v>2.8553184000000002E-2</v>
      </c>
      <c r="I45" s="13">
        <f t="shared" si="10"/>
        <v>14.276592000000001</v>
      </c>
      <c r="J45" s="27"/>
      <c r="L45" s="21"/>
      <c r="M45" s="22"/>
      <c r="N45" s="23"/>
    </row>
    <row r="46" spans="1:14" ht="15.75" hidden="1" customHeight="1">
      <c r="A46" s="45">
        <v>14</v>
      </c>
      <c r="B46" s="92" t="s">
        <v>34</v>
      </c>
      <c r="C46" s="93" t="s">
        <v>97</v>
      </c>
      <c r="D46" s="92" t="s">
        <v>40</v>
      </c>
      <c r="E46" s="94">
        <v>660.84</v>
      </c>
      <c r="F46" s="95">
        <f>SUM(E46*2/1000)</f>
        <v>1.32168</v>
      </c>
      <c r="G46" s="13">
        <v>1711.28</v>
      </c>
      <c r="H46" s="96">
        <f t="shared" si="9"/>
        <v>2.2617645503999997</v>
      </c>
      <c r="I46" s="13">
        <f t="shared" si="10"/>
        <v>1130.8822751999999</v>
      </c>
      <c r="J46" s="27"/>
      <c r="L46" s="21"/>
      <c r="M46" s="22"/>
      <c r="N46" s="23"/>
    </row>
    <row r="47" spans="1:14" ht="15.75" hidden="1" customHeight="1">
      <c r="A47" s="45">
        <v>15</v>
      </c>
      <c r="B47" s="92" t="s">
        <v>35</v>
      </c>
      <c r="C47" s="93" t="s">
        <v>97</v>
      </c>
      <c r="D47" s="92" t="s">
        <v>40</v>
      </c>
      <c r="E47" s="94">
        <v>1156.21</v>
      </c>
      <c r="F47" s="95">
        <f>SUM(E47*2/1000)</f>
        <v>2.3124199999999999</v>
      </c>
      <c r="G47" s="13">
        <v>1179.73</v>
      </c>
      <c r="H47" s="96">
        <f t="shared" si="9"/>
        <v>2.7280312466000001</v>
      </c>
      <c r="I47" s="13">
        <f t="shared" si="10"/>
        <v>1364.0156233</v>
      </c>
      <c r="J47" s="27"/>
      <c r="L47" s="21"/>
      <c r="M47" s="22"/>
      <c r="N47" s="23"/>
    </row>
    <row r="48" spans="1:14" ht="15.75" hidden="1" customHeight="1">
      <c r="A48" s="45">
        <v>16</v>
      </c>
      <c r="B48" s="92" t="s">
        <v>31</v>
      </c>
      <c r="C48" s="93" t="s">
        <v>32</v>
      </c>
      <c r="D48" s="92" t="s">
        <v>40</v>
      </c>
      <c r="E48" s="94">
        <v>15.38</v>
      </c>
      <c r="F48" s="95">
        <f>SUM(E48*2/100)</f>
        <v>0.30760000000000004</v>
      </c>
      <c r="G48" s="13">
        <v>90.61</v>
      </c>
      <c r="H48" s="96">
        <f t="shared" si="9"/>
        <v>2.7871636000000002E-2</v>
      </c>
      <c r="I48" s="13">
        <f>F48/2*G48</f>
        <v>13.935818000000001</v>
      </c>
      <c r="J48" s="27"/>
      <c r="L48" s="21"/>
      <c r="M48" s="22"/>
      <c r="N48" s="23"/>
    </row>
    <row r="49" spans="1:14" ht="15.75" hidden="1" customHeight="1">
      <c r="A49" s="45">
        <v>17</v>
      </c>
      <c r="B49" s="92" t="s">
        <v>54</v>
      </c>
      <c r="C49" s="93" t="s">
        <v>97</v>
      </c>
      <c r="D49" s="92" t="s">
        <v>155</v>
      </c>
      <c r="E49" s="94">
        <v>823</v>
      </c>
      <c r="F49" s="95">
        <f>SUM(E49*5/1000)</f>
        <v>4.1150000000000002</v>
      </c>
      <c r="G49" s="13">
        <v>1711.28</v>
      </c>
      <c r="H49" s="96">
        <f t="shared" si="9"/>
        <v>7.0419171999999994</v>
      </c>
      <c r="I49" s="13">
        <f>F49/5*G49</f>
        <v>1408.3834400000001</v>
      </c>
      <c r="J49" s="27"/>
      <c r="L49" s="21"/>
      <c r="M49" s="22"/>
      <c r="N49" s="23"/>
    </row>
    <row r="50" spans="1:14" ht="31.5" hidden="1" customHeight="1">
      <c r="A50" s="45">
        <v>10</v>
      </c>
      <c r="B50" s="92" t="s">
        <v>108</v>
      </c>
      <c r="C50" s="93" t="s">
        <v>97</v>
      </c>
      <c r="D50" s="92" t="s">
        <v>40</v>
      </c>
      <c r="E50" s="94">
        <v>823</v>
      </c>
      <c r="F50" s="95">
        <f>SUM(E50*2/1000)</f>
        <v>1.6459999999999999</v>
      </c>
      <c r="G50" s="13">
        <v>1510.06</v>
      </c>
      <c r="H50" s="96">
        <f t="shared" si="9"/>
        <v>2.48555876</v>
      </c>
      <c r="I50" s="13">
        <f>F50/2*G50</f>
        <v>1242.7793799999999</v>
      </c>
      <c r="J50" s="27"/>
      <c r="L50" s="21"/>
      <c r="M50" s="22"/>
      <c r="N50" s="23"/>
    </row>
    <row r="51" spans="1:14" ht="31.5" hidden="1" customHeight="1">
      <c r="A51" s="45">
        <v>11</v>
      </c>
      <c r="B51" s="92" t="s">
        <v>109</v>
      </c>
      <c r="C51" s="93" t="s">
        <v>36</v>
      </c>
      <c r="D51" s="92" t="s">
        <v>40</v>
      </c>
      <c r="E51" s="94">
        <v>9</v>
      </c>
      <c r="F51" s="95">
        <f>SUM(E51*2/100)</f>
        <v>0.18</v>
      </c>
      <c r="G51" s="13">
        <v>3850.4</v>
      </c>
      <c r="H51" s="96">
        <f t="shared" si="9"/>
        <v>0.69307200000000002</v>
      </c>
      <c r="I51" s="13">
        <f t="shared" ref="I51:I52" si="11">F51/2*G51</f>
        <v>346.536</v>
      </c>
      <c r="J51" s="27"/>
      <c r="L51" s="21"/>
      <c r="M51" s="22"/>
      <c r="N51" s="23"/>
    </row>
    <row r="52" spans="1:14" ht="15.75" hidden="1" customHeight="1">
      <c r="A52" s="45">
        <v>12</v>
      </c>
      <c r="B52" s="92" t="s">
        <v>37</v>
      </c>
      <c r="C52" s="93" t="s">
        <v>38</v>
      </c>
      <c r="D52" s="92" t="s">
        <v>40</v>
      </c>
      <c r="E52" s="94">
        <v>1</v>
      </c>
      <c r="F52" s="95">
        <v>0.02</v>
      </c>
      <c r="G52" s="13">
        <v>7033.13</v>
      </c>
      <c r="H52" s="96">
        <f t="shared" si="9"/>
        <v>0.1406626</v>
      </c>
      <c r="I52" s="13">
        <f t="shared" si="11"/>
        <v>70.331299999999999</v>
      </c>
      <c r="J52" s="27"/>
      <c r="L52" s="21"/>
      <c r="M52" s="22"/>
      <c r="N52" s="23"/>
    </row>
    <row r="53" spans="1:14" ht="15.75" hidden="1" customHeight="1">
      <c r="A53" s="45">
        <v>13</v>
      </c>
      <c r="B53" s="92" t="s">
        <v>128</v>
      </c>
      <c r="C53" s="93" t="s">
        <v>110</v>
      </c>
      <c r="D53" s="92" t="s">
        <v>68</v>
      </c>
      <c r="E53" s="94">
        <v>36</v>
      </c>
      <c r="F53" s="95">
        <f>SUM(E53*3)</f>
        <v>108</v>
      </c>
      <c r="G53" s="13">
        <v>175.6</v>
      </c>
      <c r="H53" s="96">
        <f t="shared" si="9"/>
        <v>18.9648</v>
      </c>
      <c r="I53" s="13">
        <f>E53*G53</f>
        <v>6321.5999999999995</v>
      </c>
      <c r="J53" s="27"/>
      <c r="L53" s="21"/>
      <c r="M53" s="22"/>
      <c r="N53" s="23"/>
    </row>
    <row r="54" spans="1:14" ht="15.75" hidden="1" customHeight="1">
      <c r="A54" s="45">
        <v>14</v>
      </c>
      <c r="B54" s="92" t="s">
        <v>39</v>
      </c>
      <c r="C54" s="93" t="s">
        <v>110</v>
      </c>
      <c r="D54" s="92" t="s">
        <v>68</v>
      </c>
      <c r="E54" s="94">
        <v>36</v>
      </c>
      <c r="F54" s="95">
        <f>SUM(E54)*3</f>
        <v>108</v>
      </c>
      <c r="G54" s="13">
        <v>81.73</v>
      </c>
      <c r="H54" s="96">
        <f t="shared" si="9"/>
        <v>8.8268400000000007</v>
      </c>
      <c r="I54" s="13">
        <f>E54*G54</f>
        <v>2942.28</v>
      </c>
      <c r="J54" s="27"/>
      <c r="L54" s="21"/>
      <c r="M54" s="22"/>
      <c r="N54" s="23"/>
    </row>
    <row r="55" spans="1:14" ht="15.75" hidden="1" customHeight="1">
      <c r="A55" s="132" t="s">
        <v>151</v>
      </c>
      <c r="B55" s="133"/>
      <c r="C55" s="133"/>
      <c r="D55" s="133"/>
      <c r="E55" s="133"/>
      <c r="F55" s="133"/>
      <c r="G55" s="133"/>
      <c r="H55" s="133"/>
      <c r="I55" s="134"/>
      <c r="J55" s="27"/>
      <c r="L55" s="21"/>
      <c r="M55" s="22"/>
      <c r="N55" s="23"/>
    </row>
    <row r="56" spans="1:14" ht="15.75" hidden="1" customHeight="1">
      <c r="A56" s="57"/>
      <c r="B56" s="52" t="s">
        <v>41</v>
      </c>
      <c r="C56" s="17"/>
      <c r="D56" s="16"/>
      <c r="E56" s="16"/>
      <c r="F56" s="16"/>
      <c r="G56" s="33"/>
      <c r="H56" s="33"/>
      <c r="I56" s="19"/>
      <c r="J56" s="27"/>
      <c r="L56" s="21"/>
      <c r="M56" s="22"/>
      <c r="N56" s="23"/>
    </row>
    <row r="57" spans="1:14" ht="31.5" hidden="1" customHeight="1">
      <c r="A57" s="45">
        <v>12</v>
      </c>
      <c r="B57" s="92" t="s">
        <v>156</v>
      </c>
      <c r="C57" s="93" t="s">
        <v>86</v>
      </c>
      <c r="D57" s="92" t="s">
        <v>111</v>
      </c>
      <c r="E57" s="94">
        <v>71.02</v>
      </c>
      <c r="F57" s="95">
        <f>SUM(E57*6/100)</f>
        <v>4.2611999999999997</v>
      </c>
      <c r="G57" s="13">
        <v>2306.62</v>
      </c>
      <c r="H57" s="96">
        <f>SUM(F57*G57/1000)</f>
        <v>9.8289691439999984</v>
      </c>
      <c r="I57" s="13">
        <f>F57/6*G57</f>
        <v>1638.1615239999999</v>
      </c>
      <c r="J57" s="27"/>
      <c r="L57" s="21"/>
      <c r="M57" s="22"/>
      <c r="N57" s="23"/>
    </row>
    <row r="58" spans="1:14" ht="15.75" hidden="1" customHeight="1">
      <c r="A58" s="45"/>
      <c r="B58" s="92" t="s">
        <v>112</v>
      </c>
      <c r="C58" s="93" t="s">
        <v>157</v>
      </c>
      <c r="D58" s="92" t="s">
        <v>64</v>
      </c>
      <c r="E58" s="100"/>
      <c r="F58" s="95">
        <v>2</v>
      </c>
      <c r="G58" s="95">
        <v>1501</v>
      </c>
      <c r="H58" s="96">
        <f>SUM(F58*G58/1000)</f>
        <v>3.0019999999999998</v>
      </c>
      <c r="I58" s="13">
        <v>0</v>
      </c>
      <c r="J58" s="27"/>
      <c r="L58" s="21"/>
      <c r="M58" s="22"/>
      <c r="N58" s="23"/>
    </row>
    <row r="59" spans="1:14" ht="15.75" hidden="1" customHeight="1">
      <c r="A59" s="45"/>
      <c r="B59" s="79" t="s">
        <v>42</v>
      </c>
      <c r="C59" s="79"/>
      <c r="D59" s="79"/>
      <c r="E59" s="79"/>
      <c r="F59" s="79"/>
      <c r="G59" s="79"/>
      <c r="H59" s="79"/>
      <c r="I59" s="39"/>
      <c r="J59" s="27"/>
      <c r="L59" s="21"/>
      <c r="M59" s="22"/>
      <c r="N59" s="23"/>
    </row>
    <row r="60" spans="1:14" ht="15.75" hidden="1" customHeight="1">
      <c r="A60" s="45">
        <v>27</v>
      </c>
      <c r="B60" s="92" t="s">
        <v>158</v>
      </c>
      <c r="C60" s="93" t="s">
        <v>50</v>
      </c>
      <c r="D60" s="92" t="s">
        <v>51</v>
      </c>
      <c r="E60" s="94">
        <v>434.4</v>
      </c>
      <c r="F60" s="96">
        <f>SUM(E60/100)</f>
        <v>4.3439999999999994</v>
      </c>
      <c r="G60" s="13">
        <v>987.51</v>
      </c>
      <c r="H60" s="101">
        <f>F60*G60/1000</f>
        <v>4.2897434399999996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1" t="s">
        <v>129</v>
      </c>
      <c r="C61" s="44"/>
      <c r="D61" s="70"/>
      <c r="E61" s="67"/>
      <c r="F61" s="67"/>
      <c r="G61" s="40"/>
      <c r="H61" s="40"/>
      <c r="I61" s="20"/>
      <c r="J61" s="27"/>
      <c r="L61" s="21"/>
      <c r="M61" s="22"/>
      <c r="N61" s="23"/>
    </row>
    <row r="62" spans="1:14" ht="15.75" hidden="1" customHeight="1">
      <c r="A62" s="45"/>
      <c r="B62" s="92" t="s">
        <v>130</v>
      </c>
      <c r="C62" s="93" t="s">
        <v>110</v>
      </c>
      <c r="D62" s="41" t="s">
        <v>64</v>
      </c>
      <c r="E62" s="94">
        <v>1</v>
      </c>
      <c r="F62" s="95">
        <f>E62</f>
        <v>1</v>
      </c>
      <c r="G62" s="102">
        <v>323.38</v>
      </c>
      <c r="H62" s="96">
        <f t="shared" ref="H62" si="12">SUM(F62*G62/1000)</f>
        <v>0.32338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9" t="s">
        <v>43</v>
      </c>
      <c r="C63" s="17"/>
      <c r="D63" s="41"/>
      <c r="E63" s="16"/>
      <c r="F63" s="16"/>
      <c r="G63" s="33"/>
      <c r="H63" s="33"/>
      <c r="I63" s="19"/>
      <c r="J63" s="27"/>
      <c r="L63" s="21"/>
      <c r="M63" s="22"/>
      <c r="N63" s="23"/>
    </row>
    <row r="64" spans="1:14" ht="15.75" hidden="1" customHeight="1">
      <c r="A64" s="45">
        <v>17</v>
      </c>
      <c r="B64" s="15" t="s">
        <v>44</v>
      </c>
      <c r="C64" s="17" t="s">
        <v>110</v>
      </c>
      <c r="D64" s="41" t="s">
        <v>64</v>
      </c>
      <c r="E64" s="19">
        <v>10</v>
      </c>
      <c r="F64" s="95">
        <v>10</v>
      </c>
      <c r="G64" s="13">
        <v>276.74</v>
      </c>
      <c r="H64" s="103">
        <f t="shared" ref="H64:H71" si="13">SUM(F64*G64/1000)</f>
        <v>2.7674000000000003</v>
      </c>
      <c r="I64" s="13">
        <v>0</v>
      </c>
      <c r="J64" s="27"/>
      <c r="L64" s="21"/>
      <c r="M64" s="22"/>
      <c r="N64" s="23"/>
    </row>
    <row r="65" spans="1:21" ht="15.75" hidden="1" customHeight="1">
      <c r="A65" s="33">
        <v>29</v>
      </c>
      <c r="B65" s="15" t="s">
        <v>45</v>
      </c>
      <c r="C65" s="17" t="s">
        <v>110</v>
      </c>
      <c r="D65" s="41" t="s">
        <v>64</v>
      </c>
      <c r="E65" s="19">
        <v>3</v>
      </c>
      <c r="F65" s="95">
        <v>3</v>
      </c>
      <c r="G65" s="13">
        <v>94.89</v>
      </c>
      <c r="H65" s="103">
        <f t="shared" si="13"/>
        <v>0.28467000000000003</v>
      </c>
      <c r="I65" s="13">
        <v>0</v>
      </c>
      <c r="J65" s="27"/>
      <c r="L65" s="21"/>
      <c r="M65" s="22"/>
      <c r="N65" s="23"/>
    </row>
    <row r="66" spans="1:21" ht="15.75" hidden="1" customHeight="1">
      <c r="A66" s="33">
        <v>28</v>
      </c>
      <c r="B66" s="15" t="s">
        <v>46</v>
      </c>
      <c r="C66" s="17" t="s">
        <v>113</v>
      </c>
      <c r="D66" s="15" t="s">
        <v>51</v>
      </c>
      <c r="E66" s="94">
        <v>7265</v>
      </c>
      <c r="F66" s="13">
        <f>SUM(E66/100)</f>
        <v>72.650000000000006</v>
      </c>
      <c r="G66" s="13">
        <v>263.99</v>
      </c>
      <c r="H66" s="103">
        <f t="shared" si="13"/>
        <v>19.178873500000002</v>
      </c>
      <c r="I66" s="13">
        <f>F66*G66</f>
        <v>19178.873500000002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47</v>
      </c>
      <c r="C67" s="17" t="s">
        <v>114</v>
      </c>
      <c r="D67" s="15" t="s">
        <v>51</v>
      </c>
      <c r="E67" s="94">
        <v>7265</v>
      </c>
      <c r="F67" s="13">
        <f>SUM(E67/1000)</f>
        <v>7.2649999999999997</v>
      </c>
      <c r="G67" s="13">
        <v>205.57</v>
      </c>
      <c r="H67" s="103">
        <f t="shared" si="13"/>
        <v>1.4934660500000001</v>
      </c>
      <c r="I67" s="13">
        <f t="shared" ref="I67:I70" si="14">F67*G67</f>
        <v>1493.46605</v>
      </c>
      <c r="J67" s="27"/>
      <c r="L67" s="21"/>
      <c r="M67" s="22"/>
      <c r="N67" s="23"/>
    </row>
    <row r="68" spans="1:21" ht="15.75" hidden="1" customHeight="1">
      <c r="A68" s="33">
        <v>30</v>
      </c>
      <c r="B68" s="15" t="s">
        <v>48</v>
      </c>
      <c r="C68" s="17" t="s">
        <v>74</v>
      </c>
      <c r="D68" s="15" t="s">
        <v>51</v>
      </c>
      <c r="E68" s="94">
        <v>1090</v>
      </c>
      <c r="F68" s="13">
        <f>SUM(E68/100)</f>
        <v>10.9</v>
      </c>
      <c r="G68" s="13">
        <v>2581.5300000000002</v>
      </c>
      <c r="H68" s="103">
        <f t="shared" si="13"/>
        <v>28.138677000000005</v>
      </c>
      <c r="I68" s="13">
        <f t="shared" si="14"/>
        <v>28138.677000000003</v>
      </c>
      <c r="J68" s="27"/>
      <c r="L68" s="21"/>
    </row>
    <row r="69" spans="1:21" ht="15.75" hidden="1" customHeight="1">
      <c r="A69" s="33">
        <v>31</v>
      </c>
      <c r="B69" s="104" t="s">
        <v>115</v>
      </c>
      <c r="C69" s="17" t="s">
        <v>30</v>
      </c>
      <c r="D69" s="15"/>
      <c r="E69" s="94">
        <v>7.4</v>
      </c>
      <c r="F69" s="13">
        <f>SUM(E69)</f>
        <v>7.4</v>
      </c>
      <c r="G69" s="13">
        <v>47.45</v>
      </c>
      <c r="H69" s="103">
        <f t="shared" si="13"/>
        <v>0.35113000000000005</v>
      </c>
      <c r="I69" s="13">
        <f t="shared" si="14"/>
        <v>351.13000000000005</v>
      </c>
    </row>
    <row r="70" spans="1:21" ht="15.75" hidden="1" customHeight="1">
      <c r="A70" s="33">
        <v>32</v>
      </c>
      <c r="B70" s="104" t="s">
        <v>159</v>
      </c>
      <c r="C70" s="17" t="s">
        <v>30</v>
      </c>
      <c r="D70" s="15"/>
      <c r="E70" s="94">
        <v>7.4</v>
      </c>
      <c r="F70" s="13">
        <f>SUM(E70)</f>
        <v>7.4</v>
      </c>
      <c r="G70" s="13">
        <v>44.27</v>
      </c>
      <c r="H70" s="103">
        <f t="shared" si="13"/>
        <v>0.327598</v>
      </c>
      <c r="I70" s="13">
        <f t="shared" si="14"/>
        <v>327.59800000000001</v>
      </c>
    </row>
    <row r="71" spans="1:21" ht="15.75" hidden="1" customHeight="1">
      <c r="A71" s="33">
        <v>18</v>
      </c>
      <c r="B71" s="15" t="s">
        <v>55</v>
      </c>
      <c r="C71" s="17" t="s">
        <v>56</v>
      </c>
      <c r="D71" s="15" t="s">
        <v>51</v>
      </c>
      <c r="E71" s="19">
        <v>3</v>
      </c>
      <c r="F71" s="95">
        <f>SUM(E71)</f>
        <v>3</v>
      </c>
      <c r="G71" s="13">
        <v>62.07</v>
      </c>
      <c r="H71" s="103">
        <f t="shared" si="13"/>
        <v>0.18621000000000001</v>
      </c>
      <c r="I71" s="13">
        <f>G71*3</f>
        <v>186.21</v>
      </c>
    </row>
    <row r="72" spans="1:21" ht="15.75" hidden="1" customHeight="1">
      <c r="A72" s="57"/>
      <c r="B72" s="79" t="s">
        <v>116</v>
      </c>
      <c r="C72" s="79"/>
      <c r="D72" s="79"/>
      <c r="E72" s="79"/>
      <c r="F72" s="79"/>
      <c r="G72" s="79"/>
      <c r="H72" s="79"/>
      <c r="I72" s="19"/>
      <c r="J72" s="29"/>
      <c r="K72" s="29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5.75" hidden="1" customHeight="1">
      <c r="A73" s="33">
        <v>14</v>
      </c>
      <c r="B73" s="105" t="s">
        <v>117</v>
      </c>
      <c r="C73" s="25"/>
      <c r="D73" s="24"/>
      <c r="E73" s="87"/>
      <c r="F73" s="106">
        <v>1</v>
      </c>
      <c r="G73" s="106">
        <v>12171.2</v>
      </c>
      <c r="H73" s="13">
        <f>G73*F73/1000</f>
        <v>12.171200000000001</v>
      </c>
      <c r="I73" s="13">
        <f>G73</f>
        <v>12171.2</v>
      </c>
      <c r="J73" s="3"/>
      <c r="K73" s="3"/>
      <c r="L73" s="3"/>
      <c r="M73" s="3"/>
      <c r="N73" s="3"/>
      <c r="O73" s="3"/>
      <c r="P73" s="3"/>
      <c r="Q73" s="3"/>
      <c r="S73" s="3"/>
      <c r="T73" s="3"/>
      <c r="U73" s="3"/>
    </row>
    <row r="74" spans="1:21" ht="15.75" hidden="1" customHeight="1">
      <c r="A74" s="33"/>
      <c r="B74" s="53" t="s">
        <v>69</v>
      </c>
      <c r="C74" s="53"/>
      <c r="D74" s="53"/>
      <c r="E74" s="19"/>
      <c r="F74" s="19"/>
      <c r="G74" s="33"/>
      <c r="H74" s="33"/>
      <c r="I74" s="19"/>
      <c r="J74" s="5"/>
      <c r="K74" s="5"/>
      <c r="L74" s="5"/>
      <c r="M74" s="5"/>
      <c r="N74" s="5"/>
      <c r="O74" s="5"/>
      <c r="P74" s="5"/>
      <c r="Q74" s="5"/>
      <c r="R74" s="131"/>
      <c r="S74" s="131"/>
      <c r="T74" s="131"/>
      <c r="U74" s="131"/>
    </row>
    <row r="75" spans="1:21" ht="15.75" hidden="1" customHeight="1">
      <c r="A75" s="33"/>
      <c r="B75" s="15" t="s">
        <v>131</v>
      </c>
      <c r="C75" s="17" t="s">
        <v>118</v>
      </c>
      <c r="D75" s="41" t="s">
        <v>64</v>
      </c>
      <c r="E75" s="19">
        <v>1</v>
      </c>
      <c r="F75" s="13">
        <f>E75</f>
        <v>1</v>
      </c>
      <c r="G75" s="13">
        <v>976.4</v>
      </c>
      <c r="H75" s="103">
        <f>F75*G75/1000</f>
        <v>0.97639999999999993</v>
      </c>
      <c r="I75" s="13">
        <v>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5.75" hidden="1" customHeight="1">
      <c r="A76" s="33"/>
      <c r="B76" s="15" t="s">
        <v>119</v>
      </c>
      <c r="C76" s="17" t="s">
        <v>120</v>
      </c>
      <c r="D76" s="15"/>
      <c r="E76" s="19">
        <v>1</v>
      </c>
      <c r="F76" s="13">
        <v>1</v>
      </c>
      <c r="G76" s="13">
        <v>750</v>
      </c>
      <c r="H76" s="103">
        <f>F76*G76/1000</f>
        <v>0.75</v>
      </c>
      <c r="I76" s="13">
        <v>0</v>
      </c>
    </row>
    <row r="77" spans="1:21" ht="15.75" hidden="1" customHeight="1">
      <c r="A77" s="33"/>
      <c r="B77" s="15" t="s">
        <v>70</v>
      </c>
      <c r="C77" s="17" t="s">
        <v>72</v>
      </c>
      <c r="D77" s="41" t="s">
        <v>64</v>
      </c>
      <c r="E77" s="19">
        <v>3</v>
      </c>
      <c r="F77" s="13">
        <f>SUM(E77/100)</f>
        <v>0.03</v>
      </c>
      <c r="G77" s="13">
        <v>624.16999999999996</v>
      </c>
      <c r="H77" s="103">
        <f>F77*G77/1000</f>
        <v>1.8725099999999998E-2</v>
      </c>
      <c r="I77" s="13">
        <v>0</v>
      </c>
    </row>
    <row r="78" spans="1:21" ht="15.75" hidden="1" customHeight="1">
      <c r="A78" s="33"/>
      <c r="B78" s="15" t="s">
        <v>71</v>
      </c>
      <c r="C78" s="17" t="s">
        <v>28</v>
      </c>
      <c r="D78" s="41" t="s">
        <v>64</v>
      </c>
      <c r="E78" s="19">
        <v>1</v>
      </c>
      <c r="F78" s="13">
        <v>1</v>
      </c>
      <c r="G78" s="13">
        <v>1061.4100000000001</v>
      </c>
      <c r="H78" s="103">
        <f>F78*G78/1000</f>
        <v>1.0614100000000002</v>
      </c>
      <c r="I78" s="13">
        <v>0</v>
      </c>
    </row>
    <row r="79" spans="1:21" ht="15.75" hidden="1" customHeight="1">
      <c r="A79" s="33">
        <v>17</v>
      </c>
      <c r="B79" s="15" t="s">
        <v>132</v>
      </c>
      <c r="C79" s="17" t="s">
        <v>28</v>
      </c>
      <c r="D79" s="41" t="s">
        <v>64</v>
      </c>
      <c r="E79" s="19">
        <v>1</v>
      </c>
      <c r="F79" s="95">
        <f>SUM(E79)</f>
        <v>1</v>
      </c>
      <c r="G79" s="13">
        <v>446.12</v>
      </c>
      <c r="H79" s="103">
        <f t="shared" ref="H79" si="15">SUM(F79*G79/1000)</f>
        <v>0.44612000000000002</v>
      </c>
      <c r="I79" s="13">
        <v>0</v>
      </c>
    </row>
    <row r="80" spans="1:21" ht="15.75" hidden="1" customHeight="1">
      <c r="A80" s="33"/>
      <c r="B80" s="54" t="s">
        <v>73</v>
      </c>
      <c r="C80" s="42"/>
      <c r="D80" s="33"/>
      <c r="E80" s="19"/>
      <c r="F80" s="19"/>
      <c r="G80" s="40"/>
      <c r="H80" s="40"/>
      <c r="I80" s="19"/>
    </row>
    <row r="81" spans="1:9" ht="0.75" hidden="1" customHeight="1">
      <c r="A81" s="33">
        <v>39</v>
      </c>
      <c r="B81" s="56" t="s">
        <v>121</v>
      </c>
      <c r="C81" s="17" t="s">
        <v>74</v>
      </c>
      <c r="D81" s="15"/>
      <c r="E81" s="19"/>
      <c r="F81" s="13">
        <v>1.35</v>
      </c>
      <c r="G81" s="13">
        <v>3433.68</v>
      </c>
      <c r="H81" s="103">
        <f t="shared" ref="H81" si="16">SUM(F81*G81/1000)</f>
        <v>4.6354679999999995</v>
      </c>
      <c r="I81" s="13">
        <v>0</v>
      </c>
    </row>
    <row r="82" spans="1:9" ht="15.75" hidden="1" customHeight="1">
      <c r="A82" s="33"/>
      <c r="B82" s="79" t="s">
        <v>133</v>
      </c>
      <c r="C82" s="72"/>
      <c r="D82" s="35"/>
      <c r="E82" s="12"/>
      <c r="F82" s="12"/>
      <c r="G82" s="40"/>
      <c r="H82" s="40"/>
      <c r="I82" s="19"/>
    </row>
    <row r="83" spans="1:9" ht="31.5" hidden="1" customHeight="1">
      <c r="A83" s="33"/>
      <c r="B83" s="15" t="s">
        <v>134</v>
      </c>
      <c r="C83" s="17" t="s">
        <v>135</v>
      </c>
      <c r="D83" s="41" t="s">
        <v>64</v>
      </c>
      <c r="E83" s="19">
        <v>6</v>
      </c>
      <c r="F83" s="13">
        <f>E83</f>
        <v>6</v>
      </c>
      <c r="G83" s="13">
        <v>297.44</v>
      </c>
      <c r="H83" s="103">
        <f t="shared" ref="H83:H93" si="17">SUM(F83*G83/1000)</f>
        <v>1.7846399999999998</v>
      </c>
      <c r="I83" s="13">
        <v>0</v>
      </c>
    </row>
    <row r="84" spans="1:9" ht="15.75" hidden="1" customHeight="1">
      <c r="A84" s="33"/>
      <c r="B84" s="15" t="s">
        <v>136</v>
      </c>
      <c r="C84" s="17" t="s">
        <v>79</v>
      </c>
      <c r="D84" s="41" t="s">
        <v>64</v>
      </c>
      <c r="E84" s="19">
        <v>12</v>
      </c>
      <c r="F84" s="13">
        <f>E84</f>
        <v>12</v>
      </c>
      <c r="G84" s="13">
        <v>122.35</v>
      </c>
      <c r="H84" s="103">
        <f t="shared" si="17"/>
        <v>1.4681999999999997</v>
      </c>
      <c r="I84" s="13">
        <v>0</v>
      </c>
    </row>
    <row r="85" spans="1:9" ht="15.75" hidden="1" customHeight="1">
      <c r="A85" s="33">
        <v>15</v>
      </c>
      <c r="B85" s="15" t="s">
        <v>137</v>
      </c>
      <c r="C85" s="17" t="s">
        <v>138</v>
      </c>
      <c r="D85" s="41" t="s">
        <v>64</v>
      </c>
      <c r="E85" s="19">
        <v>9</v>
      </c>
      <c r="F85" s="13">
        <f>E85/3</f>
        <v>3</v>
      </c>
      <c r="G85" s="13">
        <v>1063.47</v>
      </c>
      <c r="H85" s="103">
        <f t="shared" si="17"/>
        <v>3.19041</v>
      </c>
      <c r="I85" s="13">
        <f>G85*(10/3)</f>
        <v>3544.9</v>
      </c>
    </row>
    <row r="86" spans="1:9" ht="31.5" hidden="1" customHeight="1">
      <c r="A86" s="33">
        <v>16</v>
      </c>
      <c r="B86" s="15" t="s">
        <v>139</v>
      </c>
      <c r="C86" s="17" t="s">
        <v>140</v>
      </c>
      <c r="D86" s="41" t="s">
        <v>64</v>
      </c>
      <c r="E86" s="19">
        <v>10</v>
      </c>
      <c r="F86" s="13">
        <f>E86/10</f>
        <v>1</v>
      </c>
      <c r="G86" s="13">
        <v>297.99</v>
      </c>
      <c r="H86" s="103">
        <f t="shared" si="17"/>
        <v>0.29799000000000003</v>
      </c>
      <c r="I86" s="13">
        <f>G86*(3/10)</f>
        <v>89.397000000000006</v>
      </c>
    </row>
    <row r="87" spans="1:9" ht="31.5" hidden="1" customHeight="1">
      <c r="A87" s="33"/>
      <c r="B87" s="15" t="s">
        <v>141</v>
      </c>
      <c r="C87" s="17" t="s">
        <v>79</v>
      </c>
      <c r="D87" s="41" t="s">
        <v>64</v>
      </c>
      <c r="E87" s="19">
        <v>6</v>
      </c>
      <c r="F87" s="13">
        <f t="shared" ref="F87:F92" si="18">E87</f>
        <v>6</v>
      </c>
      <c r="G87" s="13">
        <v>1564.44</v>
      </c>
      <c r="H87" s="103">
        <f t="shared" si="17"/>
        <v>9.3866399999999999</v>
      </c>
      <c r="I87" s="13">
        <v>0</v>
      </c>
    </row>
    <row r="88" spans="1:9" ht="31.5" hidden="1" customHeight="1">
      <c r="A88" s="33"/>
      <c r="B88" s="15" t="s">
        <v>142</v>
      </c>
      <c r="C88" s="17" t="s">
        <v>79</v>
      </c>
      <c r="D88" s="41" t="s">
        <v>64</v>
      </c>
      <c r="E88" s="19">
        <v>6</v>
      </c>
      <c r="F88" s="13">
        <f t="shared" si="18"/>
        <v>6</v>
      </c>
      <c r="G88" s="13">
        <v>1906.89</v>
      </c>
      <c r="H88" s="103">
        <f t="shared" si="17"/>
        <v>11.44134</v>
      </c>
      <c r="I88" s="13">
        <v>0</v>
      </c>
    </row>
    <row r="89" spans="1:9" ht="31.5" hidden="1" customHeight="1">
      <c r="A89" s="33"/>
      <c r="B89" s="15" t="s">
        <v>143</v>
      </c>
      <c r="C89" s="17" t="s">
        <v>79</v>
      </c>
      <c r="D89" s="41" t="s">
        <v>64</v>
      </c>
      <c r="E89" s="19">
        <v>6</v>
      </c>
      <c r="F89" s="13">
        <f t="shared" si="18"/>
        <v>6</v>
      </c>
      <c r="G89" s="13">
        <v>664.35</v>
      </c>
      <c r="H89" s="103">
        <f t="shared" si="17"/>
        <v>3.9861000000000004</v>
      </c>
      <c r="I89" s="13">
        <v>0</v>
      </c>
    </row>
    <row r="90" spans="1:9" ht="31.5" hidden="1" customHeight="1">
      <c r="A90" s="33"/>
      <c r="B90" s="15" t="s">
        <v>144</v>
      </c>
      <c r="C90" s="17" t="s">
        <v>79</v>
      </c>
      <c r="D90" s="41" t="s">
        <v>64</v>
      </c>
      <c r="E90" s="19">
        <v>6</v>
      </c>
      <c r="F90" s="13">
        <f t="shared" si="18"/>
        <v>6</v>
      </c>
      <c r="G90" s="13">
        <v>778.85</v>
      </c>
      <c r="H90" s="103">
        <f t="shared" si="17"/>
        <v>4.6731000000000007</v>
      </c>
      <c r="I90" s="13">
        <v>0</v>
      </c>
    </row>
    <row r="91" spans="1:9" ht="15.75" hidden="1" customHeight="1">
      <c r="A91" s="33"/>
      <c r="B91" s="15" t="s">
        <v>145</v>
      </c>
      <c r="C91" s="17" t="s">
        <v>118</v>
      </c>
      <c r="D91" s="41" t="s">
        <v>64</v>
      </c>
      <c r="E91" s="19">
        <v>4</v>
      </c>
      <c r="F91" s="13">
        <f t="shared" si="18"/>
        <v>4</v>
      </c>
      <c r="G91" s="13">
        <v>498.11</v>
      </c>
      <c r="H91" s="103">
        <f t="shared" si="17"/>
        <v>1.99244</v>
      </c>
      <c r="I91" s="13">
        <v>0</v>
      </c>
    </row>
    <row r="92" spans="1:9" ht="31.5" hidden="1" customHeight="1">
      <c r="A92" s="33"/>
      <c r="B92" s="15" t="s">
        <v>146</v>
      </c>
      <c r="C92" s="17" t="s">
        <v>79</v>
      </c>
      <c r="D92" s="41" t="s">
        <v>64</v>
      </c>
      <c r="E92" s="19">
        <v>6</v>
      </c>
      <c r="F92" s="13">
        <f t="shared" si="18"/>
        <v>6</v>
      </c>
      <c r="G92" s="13">
        <v>1264.3399999999999</v>
      </c>
      <c r="H92" s="103">
        <f t="shared" si="17"/>
        <v>7.5860399999999988</v>
      </c>
      <c r="I92" s="13">
        <v>0</v>
      </c>
    </row>
    <row r="93" spans="1:9" ht="15.75" hidden="1" customHeight="1">
      <c r="A93" s="33">
        <v>20</v>
      </c>
      <c r="B93" s="15" t="s">
        <v>147</v>
      </c>
      <c r="C93" s="17" t="s">
        <v>27</v>
      </c>
      <c r="D93" s="15" t="s">
        <v>40</v>
      </c>
      <c r="E93" s="19">
        <v>823</v>
      </c>
      <c r="F93" s="13">
        <f>E93*2/1000</f>
        <v>1.6459999999999999</v>
      </c>
      <c r="G93" s="13">
        <v>1707.71</v>
      </c>
      <c r="H93" s="103">
        <f t="shared" si="17"/>
        <v>2.8108906600000001</v>
      </c>
      <c r="I93" s="13">
        <f>F93/2*G93</f>
        <v>1405.44533</v>
      </c>
    </row>
    <row r="94" spans="1:9" ht="15.75" customHeight="1">
      <c r="A94" s="144" t="s">
        <v>170</v>
      </c>
      <c r="B94" s="145"/>
      <c r="C94" s="145"/>
      <c r="D94" s="145"/>
      <c r="E94" s="145"/>
      <c r="F94" s="145"/>
      <c r="G94" s="145"/>
      <c r="H94" s="145"/>
      <c r="I94" s="146"/>
    </row>
    <row r="95" spans="1:9" ht="15.75" customHeight="1">
      <c r="A95" s="33">
        <v>8</v>
      </c>
      <c r="B95" s="92" t="s">
        <v>122</v>
      </c>
      <c r="C95" s="17" t="s">
        <v>52</v>
      </c>
      <c r="D95" s="108" t="s">
        <v>53</v>
      </c>
      <c r="E95" s="13">
        <v>1832</v>
      </c>
      <c r="F95" s="13">
        <f>SUM(E95*12)</f>
        <v>21984</v>
      </c>
      <c r="G95" s="13">
        <v>2.95</v>
      </c>
      <c r="H95" s="103">
        <f>SUM(F95*G95/1000)</f>
        <v>64.852800000000002</v>
      </c>
      <c r="I95" s="13">
        <f>F95/12*G95</f>
        <v>5404.4000000000005</v>
      </c>
    </row>
    <row r="96" spans="1:9" ht="31.5" customHeight="1">
      <c r="A96" s="33">
        <v>9</v>
      </c>
      <c r="B96" s="15" t="s">
        <v>75</v>
      </c>
      <c r="C96" s="17" t="s">
        <v>160</v>
      </c>
      <c r="D96" s="108" t="s">
        <v>53</v>
      </c>
      <c r="E96" s="94">
        <v>1832</v>
      </c>
      <c r="F96" s="13">
        <f>E96*12</f>
        <v>21984</v>
      </c>
      <c r="G96" s="13">
        <v>3.05</v>
      </c>
      <c r="H96" s="103">
        <f>F96*G96/1000</f>
        <v>67.051199999999994</v>
      </c>
      <c r="I96" s="13">
        <f>F96/12*G96</f>
        <v>5587.5999999999995</v>
      </c>
    </row>
    <row r="97" spans="1:9" ht="15.75" customHeight="1">
      <c r="A97" s="57"/>
      <c r="B97" s="43" t="s">
        <v>78</v>
      </c>
      <c r="C97" s="45"/>
      <c r="D97" s="16"/>
      <c r="E97" s="16"/>
      <c r="F97" s="16"/>
      <c r="G97" s="19"/>
      <c r="H97" s="19"/>
      <c r="I97" s="36">
        <f>I96+I95+I33+I31+I30+I27+I18+I17+I16</f>
        <v>19088.934466999995</v>
      </c>
    </row>
    <row r="98" spans="1:9" ht="15.75" customHeight="1">
      <c r="A98" s="147" t="s">
        <v>58</v>
      </c>
      <c r="B98" s="148"/>
      <c r="C98" s="148"/>
      <c r="D98" s="148"/>
      <c r="E98" s="148"/>
      <c r="F98" s="148"/>
      <c r="G98" s="148"/>
      <c r="H98" s="148"/>
      <c r="I98" s="149"/>
    </row>
    <row r="99" spans="1:9" ht="15.75" customHeight="1">
      <c r="A99" s="46">
        <v>10</v>
      </c>
      <c r="B99" s="112" t="s">
        <v>176</v>
      </c>
      <c r="C99" s="113" t="s">
        <v>177</v>
      </c>
      <c r="D99" s="112"/>
      <c r="E99" s="114"/>
      <c r="F99" s="115">
        <v>24</v>
      </c>
      <c r="G99" s="116">
        <v>1.4</v>
      </c>
      <c r="H99" s="117">
        <f>F99*G99/1000</f>
        <v>3.3599999999999991E-2</v>
      </c>
      <c r="I99" s="118">
        <f>G99*12</f>
        <v>16.799999999999997</v>
      </c>
    </row>
    <row r="100" spans="1:9" ht="36" customHeight="1">
      <c r="A100" s="33">
        <v>11</v>
      </c>
      <c r="B100" s="122" t="s">
        <v>178</v>
      </c>
      <c r="C100" s="123" t="s">
        <v>36</v>
      </c>
      <c r="D100" s="52"/>
      <c r="E100" s="52"/>
      <c r="F100" s="52"/>
      <c r="G100" s="40">
        <v>3914.31</v>
      </c>
      <c r="H100" s="52"/>
      <c r="I100" s="125">
        <f>G100*0.01</f>
        <v>39.143099999999997</v>
      </c>
    </row>
    <row r="101" spans="1:9" ht="30.75" customHeight="1">
      <c r="A101" s="33">
        <v>12</v>
      </c>
      <c r="B101" s="122" t="s">
        <v>77</v>
      </c>
      <c r="C101" s="123" t="s">
        <v>110</v>
      </c>
      <c r="D101" s="52"/>
      <c r="E101" s="52"/>
      <c r="F101" s="52"/>
      <c r="G101" s="40">
        <v>91.11</v>
      </c>
      <c r="H101" s="52"/>
      <c r="I101" s="125">
        <f>G101*1</f>
        <v>91.11</v>
      </c>
    </row>
    <row r="102" spans="1:9" ht="30.75" customHeight="1">
      <c r="A102" s="33">
        <v>13</v>
      </c>
      <c r="B102" s="41" t="s">
        <v>188</v>
      </c>
      <c r="C102" s="42" t="s">
        <v>97</v>
      </c>
      <c r="D102" s="52"/>
      <c r="E102" s="52"/>
      <c r="F102" s="52"/>
      <c r="G102" s="121">
        <v>19757.060000000001</v>
      </c>
      <c r="H102" s="52"/>
      <c r="I102" s="125">
        <f>G102*0.599*4/1000</f>
        <v>47.337915760000001</v>
      </c>
    </row>
    <row r="103" spans="1:9" ht="15.75" customHeight="1">
      <c r="A103" s="33"/>
      <c r="B103" s="50" t="s">
        <v>49</v>
      </c>
      <c r="C103" s="46"/>
      <c r="D103" s="58"/>
      <c r="E103" s="46">
        <v>1</v>
      </c>
      <c r="F103" s="46"/>
      <c r="G103" s="46"/>
      <c r="H103" s="46"/>
      <c r="I103" s="36">
        <f>SUM(I99:I102)</f>
        <v>194.39101576000002</v>
      </c>
    </row>
    <row r="104" spans="1:9" ht="15.75" customHeight="1">
      <c r="A104" s="33"/>
      <c r="B104" s="56" t="s">
        <v>76</v>
      </c>
      <c r="C104" s="16"/>
      <c r="D104" s="16"/>
      <c r="E104" s="47"/>
      <c r="F104" s="47"/>
      <c r="G104" s="48"/>
      <c r="H104" s="48"/>
      <c r="I104" s="18">
        <v>0</v>
      </c>
    </row>
    <row r="105" spans="1:9" ht="15.75" customHeight="1">
      <c r="A105" s="59"/>
      <c r="B105" s="51" t="s">
        <v>161</v>
      </c>
      <c r="C105" s="38"/>
      <c r="D105" s="38"/>
      <c r="E105" s="38"/>
      <c r="F105" s="38"/>
      <c r="G105" s="38"/>
      <c r="H105" s="38"/>
      <c r="I105" s="49">
        <f>I97+I103</f>
        <v>19283.325482759996</v>
      </c>
    </row>
    <row r="106" spans="1:9" ht="15.75" customHeight="1">
      <c r="A106" s="136" t="s">
        <v>262</v>
      </c>
      <c r="B106" s="136"/>
      <c r="C106" s="136"/>
      <c r="D106" s="136"/>
      <c r="E106" s="136"/>
      <c r="F106" s="136"/>
      <c r="G106" s="136"/>
      <c r="H106" s="136"/>
      <c r="I106" s="136"/>
    </row>
    <row r="107" spans="1:9" ht="15.75" customHeight="1">
      <c r="A107" s="80"/>
      <c r="B107" s="150" t="s">
        <v>263</v>
      </c>
      <c r="C107" s="150"/>
      <c r="D107" s="150"/>
      <c r="E107" s="150"/>
      <c r="F107" s="150"/>
      <c r="G107" s="150"/>
      <c r="H107" s="90"/>
      <c r="I107" s="3"/>
    </row>
    <row r="108" spans="1:9" ht="15.75" customHeight="1">
      <c r="A108" s="74"/>
      <c r="B108" s="151" t="s">
        <v>6</v>
      </c>
      <c r="C108" s="151"/>
      <c r="D108" s="151"/>
      <c r="E108" s="151"/>
      <c r="F108" s="151"/>
      <c r="G108" s="151"/>
      <c r="H108" s="28"/>
      <c r="I108" s="5"/>
    </row>
    <row r="109" spans="1:9" ht="8.25" customHeight="1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5.75" customHeight="1">
      <c r="A110" s="135" t="s">
        <v>7</v>
      </c>
      <c r="B110" s="135"/>
      <c r="C110" s="135"/>
      <c r="D110" s="135"/>
      <c r="E110" s="135"/>
      <c r="F110" s="135"/>
      <c r="G110" s="135"/>
      <c r="H110" s="135"/>
      <c r="I110" s="135"/>
    </row>
    <row r="111" spans="1:9" ht="15.75" customHeight="1">
      <c r="A111" s="135" t="s">
        <v>8</v>
      </c>
      <c r="B111" s="135"/>
      <c r="C111" s="135"/>
      <c r="D111" s="135"/>
      <c r="E111" s="135"/>
      <c r="F111" s="135"/>
      <c r="G111" s="135"/>
      <c r="H111" s="135"/>
      <c r="I111" s="135"/>
    </row>
    <row r="112" spans="1:9" ht="15.75" customHeight="1">
      <c r="A112" s="155" t="s">
        <v>59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15.75" customHeight="1">
      <c r="A113" s="10"/>
    </row>
    <row r="114" spans="1:9" ht="15.75" customHeight="1">
      <c r="A114" s="156" t="s">
        <v>9</v>
      </c>
      <c r="B114" s="156"/>
      <c r="C114" s="156"/>
      <c r="D114" s="156"/>
      <c r="E114" s="156"/>
      <c r="F114" s="156"/>
      <c r="G114" s="156"/>
      <c r="H114" s="156"/>
      <c r="I114" s="156"/>
    </row>
    <row r="115" spans="1:9" ht="15.75" customHeight="1">
      <c r="A115" s="4"/>
    </row>
    <row r="116" spans="1:9" ht="15.75" customHeight="1">
      <c r="B116" s="77" t="s">
        <v>10</v>
      </c>
      <c r="C116" s="157" t="s">
        <v>85</v>
      </c>
      <c r="D116" s="157"/>
      <c r="E116" s="157"/>
      <c r="F116" s="88"/>
      <c r="I116" s="76"/>
    </row>
    <row r="117" spans="1:9" ht="15.75" customHeight="1">
      <c r="A117" s="74"/>
      <c r="C117" s="151" t="s">
        <v>11</v>
      </c>
      <c r="D117" s="151"/>
      <c r="E117" s="151"/>
      <c r="F117" s="28"/>
      <c r="I117" s="75" t="s">
        <v>12</v>
      </c>
    </row>
    <row r="118" spans="1:9" ht="15.75" customHeight="1">
      <c r="A118" s="29"/>
      <c r="C118" s="11"/>
      <c r="D118" s="11"/>
      <c r="G118" s="11"/>
      <c r="H118" s="11"/>
    </row>
    <row r="119" spans="1:9" ht="15.75" customHeight="1">
      <c r="B119" s="77" t="s">
        <v>13</v>
      </c>
      <c r="C119" s="152"/>
      <c r="D119" s="152"/>
      <c r="E119" s="152"/>
      <c r="F119" s="89"/>
      <c r="I119" s="76"/>
    </row>
    <row r="120" spans="1:9" ht="15.75" customHeight="1">
      <c r="A120" s="74"/>
      <c r="C120" s="131" t="s">
        <v>11</v>
      </c>
      <c r="D120" s="131"/>
      <c r="E120" s="131"/>
      <c r="F120" s="74"/>
      <c r="I120" s="75" t="s">
        <v>12</v>
      </c>
    </row>
    <row r="121" spans="1:9" ht="15.75" customHeight="1">
      <c r="A121" s="4" t="s">
        <v>14</v>
      </c>
    </row>
    <row r="122" spans="1:9" ht="15.75" customHeight="1">
      <c r="A122" s="154" t="s">
        <v>15</v>
      </c>
      <c r="B122" s="154"/>
      <c r="C122" s="154"/>
      <c r="D122" s="154"/>
      <c r="E122" s="154"/>
      <c r="F122" s="154"/>
      <c r="G122" s="154"/>
      <c r="H122" s="154"/>
      <c r="I122" s="154"/>
    </row>
    <row r="123" spans="1:9" ht="45" customHeight="1">
      <c r="A123" s="153" t="s">
        <v>16</v>
      </c>
      <c r="B123" s="153"/>
      <c r="C123" s="153"/>
      <c r="D123" s="153"/>
      <c r="E123" s="153"/>
      <c r="F123" s="153"/>
      <c r="G123" s="153"/>
      <c r="H123" s="153"/>
      <c r="I123" s="153"/>
    </row>
    <row r="124" spans="1:9" ht="30" customHeight="1">
      <c r="A124" s="153" t="s">
        <v>17</v>
      </c>
      <c r="B124" s="153"/>
      <c r="C124" s="153"/>
      <c r="D124" s="153"/>
      <c r="E124" s="153"/>
      <c r="F124" s="153"/>
      <c r="G124" s="153"/>
      <c r="H124" s="153"/>
      <c r="I124" s="153"/>
    </row>
    <row r="125" spans="1:9" ht="30" customHeight="1">
      <c r="A125" s="153" t="s">
        <v>21</v>
      </c>
      <c r="B125" s="153"/>
      <c r="C125" s="153"/>
      <c r="D125" s="153"/>
      <c r="E125" s="153"/>
      <c r="F125" s="153"/>
      <c r="G125" s="153"/>
      <c r="H125" s="153"/>
      <c r="I125" s="153"/>
    </row>
    <row r="126" spans="1:9" ht="15" customHeight="1">
      <c r="A126" s="153" t="s">
        <v>20</v>
      </c>
      <c r="B126" s="153"/>
      <c r="C126" s="153"/>
      <c r="D126" s="153"/>
      <c r="E126" s="153"/>
      <c r="F126" s="153"/>
      <c r="G126" s="153"/>
      <c r="H126" s="153"/>
      <c r="I126" s="153"/>
    </row>
  </sheetData>
  <autoFilter ref="I12:I70"/>
  <mergeCells count="29">
    <mergeCell ref="A122:I122"/>
    <mergeCell ref="A123:I123"/>
    <mergeCell ref="A124:I124"/>
    <mergeCell ref="A125:I125"/>
    <mergeCell ref="A126:I126"/>
    <mergeCell ref="R74:U74"/>
    <mergeCell ref="C120:E120"/>
    <mergeCell ref="A98:I98"/>
    <mergeCell ref="A106:I106"/>
    <mergeCell ref="B107:G107"/>
    <mergeCell ref="B108:G108"/>
    <mergeCell ref="A110:I110"/>
    <mergeCell ref="A111:I111"/>
    <mergeCell ref="A112:I112"/>
    <mergeCell ref="A114:I114"/>
    <mergeCell ref="C116:E116"/>
    <mergeCell ref="C117:E117"/>
    <mergeCell ref="C119:E119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U127"/>
  <sheetViews>
    <sheetView workbookViewId="0">
      <selection activeCell="B102" sqref="B102:I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179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37" t="s">
        <v>174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123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264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85"/>
      <c r="C6" s="85"/>
      <c r="D6" s="85"/>
      <c r="E6" s="85"/>
      <c r="F6" s="85"/>
      <c r="G6" s="85"/>
      <c r="H6" s="85"/>
      <c r="I6" s="34">
        <v>43799</v>
      </c>
      <c r="J6" s="2"/>
      <c r="K6" s="2"/>
      <c r="L6" s="2"/>
      <c r="M6" s="2"/>
    </row>
    <row r="7" spans="1:13" ht="15.75" customHeight="1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180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148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57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3">
        <v>1</v>
      </c>
      <c r="B16" s="92" t="s">
        <v>84</v>
      </c>
      <c r="C16" s="93" t="s">
        <v>86</v>
      </c>
      <c r="D16" s="92" t="s">
        <v>233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124</v>
      </c>
      <c r="C17" s="93" t="s">
        <v>86</v>
      </c>
      <c r="D17" s="92" t="s">
        <v>234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87</v>
      </c>
      <c r="C18" s="93" t="s">
        <v>86</v>
      </c>
      <c r="D18" s="92" t="s">
        <v>235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88</v>
      </c>
      <c r="C19" s="93" t="s">
        <v>89</v>
      </c>
      <c r="D19" s="92" t="s">
        <v>90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95</v>
      </c>
      <c r="C20" s="93" t="s">
        <v>50</v>
      </c>
      <c r="D20" s="92" t="s">
        <v>125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4</v>
      </c>
      <c r="B21" s="92" t="s">
        <v>91</v>
      </c>
      <c r="C21" s="93" t="s">
        <v>86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5</v>
      </c>
      <c r="B22" s="92" t="s">
        <v>92</v>
      </c>
      <c r="C22" s="93" t="s">
        <v>86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93</v>
      </c>
      <c r="C23" s="93" t="s">
        <v>50</v>
      </c>
      <c r="D23" s="92" t="s">
        <v>90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94</v>
      </c>
      <c r="C24" s="93" t="s">
        <v>50</v>
      </c>
      <c r="D24" s="92" t="s">
        <v>90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96</v>
      </c>
      <c r="C25" s="93" t="s">
        <v>50</v>
      </c>
      <c r="D25" s="92" t="s">
        <v>90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126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220</v>
      </c>
      <c r="C27" s="44" t="s">
        <v>177</v>
      </c>
      <c r="D27" s="127" t="s">
        <v>237</v>
      </c>
      <c r="E27" s="128">
        <v>2.5099999999999998</v>
      </c>
      <c r="F27" s="129">
        <f>E27*258</f>
        <v>647.57999999999993</v>
      </c>
      <c r="G27" s="129">
        <v>10.39</v>
      </c>
      <c r="H27" s="96">
        <f t="shared" ref="H27" si="3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hidden="1" customHeight="1">
      <c r="A28" s="33">
        <v>5</v>
      </c>
      <c r="B28" s="98" t="s">
        <v>23</v>
      </c>
      <c r="C28" s="93" t="s">
        <v>24</v>
      </c>
      <c r="D28" s="92" t="s">
        <v>83</v>
      </c>
      <c r="E28" s="94">
        <v>1832</v>
      </c>
      <c r="F28" s="95">
        <f>SUM(E28*12)</f>
        <v>21984</v>
      </c>
      <c r="G28" s="95">
        <v>5.25</v>
      </c>
      <c r="H28" s="96">
        <f t="shared" ref="H28" si="4">SUM(F28*G28/1000)</f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3" t="s">
        <v>82</v>
      </c>
      <c r="B29" s="143"/>
      <c r="C29" s="143"/>
      <c r="D29" s="143"/>
      <c r="E29" s="143"/>
      <c r="F29" s="143"/>
      <c r="G29" s="143"/>
      <c r="H29" s="143"/>
      <c r="I29" s="143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6</v>
      </c>
      <c r="B31" s="92" t="s">
        <v>154</v>
      </c>
      <c r="C31" s="93" t="s">
        <v>97</v>
      </c>
      <c r="D31" s="92" t="s">
        <v>98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5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7</v>
      </c>
      <c r="B32" s="92" t="s">
        <v>99</v>
      </c>
      <c r="C32" s="93" t="s">
        <v>97</v>
      </c>
      <c r="D32" s="92" t="s">
        <v>100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5"/>
        <v>1.0668333000000001</v>
      </c>
      <c r="I32" s="13">
        <f t="shared" ref="I32:I35" si="6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2" t="s">
        <v>153</v>
      </c>
      <c r="C33" s="93" t="s">
        <v>97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5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>
        <v>8</v>
      </c>
      <c r="B34" s="92" t="s">
        <v>127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5"/>
        <v>7.5336975000000015</v>
      </c>
      <c r="I34" s="13">
        <f t="shared" si="6"/>
        <v>1255.61625</v>
      </c>
      <c r="J34" s="26"/>
      <c r="K34" s="8"/>
      <c r="L34" s="8"/>
      <c r="M34" s="8"/>
    </row>
    <row r="35" spans="1:14" ht="15.75" hidden="1" customHeight="1">
      <c r="A35" s="45">
        <v>9</v>
      </c>
      <c r="B35" s="92" t="s">
        <v>101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5"/>
        <v>3.6445666666666665</v>
      </c>
      <c r="I35" s="13">
        <f t="shared" si="6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62</v>
      </c>
      <c r="C36" s="93" t="s">
        <v>30</v>
      </c>
      <c r="D36" s="92" t="s">
        <v>64</v>
      </c>
      <c r="E36" s="94"/>
      <c r="F36" s="95">
        <v>2</v>
      </c>
      <c r="G36" s="95">
        <v>238.07</v>
      </c>
      <c r="H36" s="96">
        <f t="shared" si="5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63</v>
      </c>
      <c r="C37" s="93" t="s">
        <v>29</v>
      </c>
      <c r="D37" s="92" t="s">
        <v>64</v>
      </c>
      <c r="E37" s="94"/>
      <c r="F37" s="95">
        <v>3</v>
      </c>
      <c r="G37" s="95">
        <v>1413.96</v>
      </c>
      <c r="H37" s="96">
        <f t="shared" si="5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customHeight="1">
      <c r="A39" s="37">
        <v>5</v>
      </c>
      <c r="B39" s="92" t="s">
        <v>25</v>
      </c>
      <c r="C39" s="126" t="s">
        <v>29</v>
      </c>
      <c r="D39" s="92"/>
      <c r="E39" s="94"/>
      <c r="F39" s="95">
        <v>2</v>
      </c>
      <c r="G39" s="95">
        <v>1900.37</v>
      </c>
      <c r="H39" s="96">
        <f t="shared" ref="H39:H44" si="7">SUM(F39*G39/1000)</f>
        <v>3.8007399999999998</v>
      </c>
      <c r="I39" s="13">
        <f>G39*1</f>
        <v>1900.37</v>
      </c>
      <c r="J39" s="27"/>
    </row>
    <row r="40" spans="1:14" ht="15.75" customHeight="1">
      <c r="A40" s="37">
        <v>6</v>
      </c>
      <c r="B40" s="92" t="s">
        <v>65</v>
      </c>
      <c r="C40" s="93" t="s">
        <v>27</v>
      </c>
      <c r="D40" s="92" t="s">
        <v>244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7"/>
        <v>3.3360247499999995</v>
      </c>
      <c r="I40" s="13">
        <f t="shared" ref="I40:I42" si="8">F40/6*G40</f>
        <v>556.00412499999993</v>
      </c>
      <c r="J40" s="27"/>
    </row>
    <row r="41" spans="1:14" ht="15.75" customHeight="1">
      <c r="A41" s="37">
        <v>7</v>
      </c>
      <c r="B41" s="92" t="s">
        <v>66</v>
      </c>
      <c r="C41" s="93" t="s">
        <v>27</v>
      </c>
      <c r="D41" s="92" t="s">
        <v>243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7"/>
        <v>2.8751143749999999</v>
      </c>
      <c r="I41" s="13">
        <f t="shared" si="8"/>
        <v>479.18572916666665</v>
      </c>
      <c r="J41" s="27"/>
    </row>
    <row r="42" spans="1:14" ht="47.25" customHeight="1">
      <c r="A42" s="37">
        <v>8</v>
      </c>
      <c r="B42" s="92" t="s">
        <v>81</v>
      </c>
      <c r="C42" s="93" t="s">
        <v>97</v>
      </c>
      <c r="D42" s="92" t="s">
        <v>265</v>
      </c>
      <c r="E42" s="95">
        <v>42.5</v>
      </c>
      <c r="F42" s="95">
        <f>SUM(E42*35/1000)</f>
        <v>1.4875</v>
      </c>
      <c r="G42" s="95">
        <v>7221.21</v>
      </c>
      <c r="H42" s="96">
        <f t="shared" si="7"/>
        <v>10.741549875</v>
      </c>
      <c r="I42" s="13">
        <f t="shared" si="8"/>
        <v>1790.2583125000001</v>
      </c>
      <c r="J42" s="27"/>
    </row>
    <row r="43" spans="1:14" ht="15.75" customHeight="1">
      <c r="A43" s="37">
        <v>9</v>
      </c>
      <c r="B43" s="92" t="s">
        <v>105</v>
      </c>
      <c r="C43" s="93" t="s">
        <v>97</v>
      </c>
      <c r="D43" s="92" t="s">
        <v>245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7"/>
        <v>0.45343250000000002</v>
      </c>
      <c r="I43" s="13">
        <f>F43/7.5*G43</f>
        <v>60.457666666666668</v>
      </c>
      <c r="J43" s="27"/>
      <c r="L43" s="21"/>
      <c r="M43" s="22"/>
      <c r="N43" s="23"/>
    </row>
    <row r="44" spans="1:14" ht="15.75" customHeight="1">
      <c r="A44" s="37">
        <v>10</v>
      </c>
      <c r="B44" s="92" t="s">
        <v>67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7"/>
        <v>0.49648500000000001</v>
      </c>
      <c r="I44" s="13">
        <f>F44/7.5*G44</f>
        <v>66.198000000000008</v>
      </c>
      <c r="J44" s="27"/>
      <c r="L44" s="21"/>
      <c r="M44" s="22"/>
      <c r="N44" s="23"/>
    </row>
    <row r="45" spans="1:14" ht="15.75" hidden="1" customHeight="1">
      <c r="A45" s="132" t="s">
        <v>150</v>
      </c>
      <c r="B45" s="133"/>
      <c r="C45" s="133"/>
      <c r="D45" s="133"/>
      <c r="E45" s="133"/>
      <c r="F45" s="133"/>
      <c r="G45" s="133"/>
      <c r="H45" s="133"/>
      <c r="I45" s="134"/>
      <c r="J45" s="27"/>
      <c r="L45" s="21"/>
      <c r="M45" s="22"/>
      <c r="N45" s="23"/>
    </row>
    <row r="46" spans="1:14" ht="15.75" hidden="1" customHeight="1">
      <c r="A46" s="45">
        <v>12</v>
      </c>
      <c r="B46" s="92" t="s">
        <v>107</v>
      </c>
      <c r="C46" s="93" t="s">
        <v>97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9">SUM(F46*G46/1000)</f>
        <v>2.721961968</v>
      </c>
      <c r="I46" s="13">
        <f t="shared" ref="I46:I49" si="10">F46/2*G46</f>
        <v>1360.980984</v>
      </c>
      <c r="J46" s="27"/>
      <c r="L46" s="21"/>
      <c r="M46" s="22"/>
      <c r="N46" s="23"/>
    </row>
    <row r="47" spans="1:14" ht="15.75" hidden="1" customHeight="1">
      <c r="A47" s="45">
        <v>13</v>
      </c>
      <c r="B47" s="92" t="s">
        <v>33</v>
      </c>
      <c r="C47" s="93" t="s">
        <v>97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9"/>
        <v>2.8553184000000002E-2</v>
      </c>
      <c r="I47" s="13">
        <f t="shared" si="10"/>
        <v>14.276592000000001</v>
      </c>
      <c r="J47" s="27"/>
      <c r="L47" s="21"/>
      <c r="M47" s="22"/>
      <c r="N47" s="23"/>
    </row>
    <row r="48" spans="1:14" ht="15.75" hidden="1" customHeight="1">
      <c r="A48" s="45">
        <v>14</v>
      </c>
      <c r="B48" s="92" t="s">
        <v>34</v>
      </c>
      <c r="C48" s="93" t="s">
        <v>97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9"/>
        <v>2.2617645503999997</v>
      </c>
      <c r="I48" s="13">
        <f t="shared" si="10"/>
        <v>1130.8822751999999</v>
      </c>
      <c r="J48" s="27"/>
      <c r="L48" s="21"/>
      <c r="M48" s="22"/>
      <c r="N48" s="23"/>
    </row>
    <row r="49" spans="1:14" ht="15.75" hidden="1" customHeight="1">
      <c r="A49" s="45">
        <v>15</v>
      </c>
      <c r="B49" s="92" t="s">
        <v>35</v>
      </c>
      <c r="C49" s="93" t="s">
        <v>97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9"/>
        <v>2.7280312466000001</v>
      </c>
      <c r="I49" s="13">
        <f t="shared" si="10"/>
        <v>1364.0156233</v>
      </c>
      <c r="J49" s="27"/>
      <c r="L49" s="21"/>
      <c r="M49" s="22"/>
      <c r="N49" s="23"/>
    </row>
    <row r="50" spans="1:14" ht="15.75" hidden="1" customHeight="1">
      <c r="A50" s="45">
        <v>16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9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hidden="1" customHeight="1">
      <c r="A51" s="45">
        <v>17</v>
      </c>
      <c r="B51" s="92" t="s">
        <v>54</v>
      </c>
      <c r="C51" s="93" t="s">
        <v>97</v>
      </c>
      <c r="D51" s="92" t="s">
        <v>155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9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10</v>
      </c>
      <c r="B52" s="92" t="s">
        <v>108</v>
      </c>
      <c r="C52" s="93" t="s">
        <v>97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9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11</v>
      </c>
      <c r="B53" s="92" t="s">
        <v>109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9"/>
        <v>0.69307200000000002</v>
      </c>
      <c r="I53" s="13">
        <f t="shared" ref="I53:I54" si="11">F53/2*G53</f>
        <v>346.536</v>
      </c>
      <c r="J53" s="27"/>
      <c r="L53" s="21"/>
      <c r="M53" s="22"/>
      <c r="N53" s="23"/>
    </row>
    <row r="54" spans="1:14" ht="15.75" hidden="1" customHeight="1">
      <c r="A54" s="45">
        <v>12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9"/>
        <v>0.1406626</v>
      </c>
      <c r="I54" s="13">
        <f t="shared" si="11"/>
        <v>70.331299999999999</v>
      </c>
      <c r="J54" s="27"/>
      <c r="L54" s="21"/>
      <c r="M54" s="22"/>
      <c r="N54" s="23"/>
    </row>
    <row r="55" spans="1:14" ht="15.75" hidden="1" customHeight="1">
      <c r="A55" s="45">
        <v>13</v>
      </c>
      <c r="B55" s="92" t="s">
        <v>128</v>
      </c>
      <c r="C55" s="93" t="s">
        <v>110</v>
      </c>
      <c r="D55" s="92" t="s">
        <v>68</v>
      </c>
      <c r="E55" s="94">
        <v>36</v>
      </c>
      <c r="F55" s="95">
        <f>SUM(E55*3)</f>
        <v>108</v>
      </c>
      <c r="G55" s="13">
        <v>175.6</v>
      </c>
      <c r="H55" s="96">
        <f t="shared" si="9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14</v>
      </c>
      <c r="B56" s="92" t="s">
        <v>39</v>
      </c>
      <c r="C56" s="93" t="s">
        <v>110</v>
      </c>
      <c r="D56" s="92" t="s">
        <v>68</v>
      </c>
      <c r="E56" s="94">
        <v>36</v>
      </c>
      <c r="F56" s="95">
        <f>SUM(E56)*3</f>
        <v>108</v>
      </c>
      <c r="G56" s="13">
        <v>81.73</v>
      </c>
      <c r="H56" s="96">
        <f t="shared" si="9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8" hidden="1" customHeight="1">
      <c r="A57" s="132" t="s">
        <v>164</v>
      </c>
      <c r="B57" s="133"/>
      <c r="C57" s="133"/>
      <c r="D57" s="133"/>
      <c r="E57" s="133"/>
      <c r="F57" s="133"/>
      <c r="G57" s="133"/>
      <c r="H57" s="133"/>
      <c r="I57" s="134"/>
      <c r="J57" s="27"/>
      <c r="L57" s="21"/>
      <c r="M57" s="22"/>
      <c r="N57" s="23"/>
    </row>
    <row r="58" spans="1:14" ht="24" hidden="1" customHeight="1">
      <c r="A58" s="91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27" hidden="1" customHeight="1">
      <c r="A59" s="45">
        <v>12</v>
      </c>
      <c r="B59" s="92" t="s">
        <v>156</v>
      </c>
      <c r="C59" s="93" t="s">
        <v>86</v>
      </c>
      <c r="D59" s="92" t="s">
        <v>111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26.25" hidden="1" customHeight="1">
      <c r="A60" s="45"/>
      <c r="B60" s="92" t="s">
        <v>112</v>
      </c>
      <c r="C60" s="93" t="s">
        <v>157</v>
      </c>
      <c r="D60" s="92" t="s">
        <v>64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24.75" hidden="1" customHeight="1">
      <c r="A61" s="45"/>
      <c r="B61" s="84" t="s">
        <v>42</v>
      </c>
      <c r="C61" s="84"/>
      <c r="D61" s="84"/>
      <c r="E61" s="84"/>
      <c r="F61" s="84"/>
      <c r="G61" s="84"/>
      <c r="H61" s="84"/>
      <c r="I61" s="39"/>
      <c r="J61" s="27"/>
      <c r="L61" s="21"/>
      <c r="M61" s="22"/>
      <c r="N61" s="23"/>
    </row>
    <row r="62" spans="1:14" ht="22.5" hidden="1" customHeight="1">
      <c r="A62" s="45">
        <v>27</v>
      </c>
      <c r="B62" s="92" t="s">
        <v>158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9.5" hidden="1" customHeight="1">
      <c r="A63" s="45"/>
      <c r="B63" s="71" t="s">
        <v>129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20.25" hidden="1" customHeight="1">
      <c r="A64" s="45"/>
      <c r="B64" s="92" t="s">
        <v>130</v>
      </c>
      <c r="C64" s="93" t="s">
        <v>110</v>
      </c>
      <c r="D64" s="41" t="s">
        <v>64</v>
      </c>
      <c r="E64" s="94">
        <v>1</v>
      </c>
      <c r="F64" s="95">
        <f>E64</f>
        <v>1</v>
      </c>
      <c r="G64" s="102">
        <v>323.38</v>
      </c>
      <c r="H64" s="96">
        <f t="shared" ref="H64" si="12">SUM(F64*G64/1000)</f>
        <v>0.32338</v>
      </c>
      <c r="I64" s="13">
        <v>0</v>
      </c>
      <c r="J64" s="27"/>
      <c r="L64" s="21"/>
      <c r="M64" s="22"/>
      <c r="N64" s="23"/>
    </row>
    <row r="65" spans="1:21" ht="19.5" hidden="1" customHeight="1">
      <c r="A65" s="45"/>
      <c r="B65" s="84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6.5" hidden="1" customHeight="1">
      <c r="A66" s="45">
        <v>11</v>
      </c>
      <c r="B66" s="15" t="s">
        <v>44</v>
      </c>
      <c r="C66" s="17" t="s">
        <v>110</v>
      </c>
      <c r="D66" s="41" t="s">
        <v>64</v>
      </c>
      <c r="E66" s="19">
        <v>10</v>
      </c>
      <c r="F66" s="95">
        <v>10</v>
      </c>
      <c r="G66" s="13">
        <v>276.74</v>
      </c>
      <c r="H66" s="103">
        <f t="shared" ref="H66:H73" si="13">SUM(F66*G66/1000)</f>
        <v>2.7674000000000003</v>
      </c>
      <c r="I66" s="13">
        <f>G66*1</f>
        <v>276.74</v>
      </c>
      <c r="J66" s="27"/>
      <c r="L66" s="21"/>
      <c r="M66" s="22"/>
      <c r="N66" s="23"/>
    </row>
    <row r="67" spans="1:21" ht="16.5" hidden="1" customHeight="1">
      <c r="A67" s="33">
        <v>29</v>
      </c>
      <c r="B67" s="15" t="s">
        <v>45</v>
      </c>
      <c r="C67" s="17" t="s">
        <v>110</v>
      </c>
      <c r="D67" s="41" t="s">
        <v>64</v>
      </c>
      <c r="E67" s="19">
        <v>3</v>
      </c>
      <c r="F67" s="95">
        <v>3</v>
      </c>
      <c r="G67" s="13">
        <v>94.89</v>
      </c>
      <c r="H67" s="103">
        <f t="shared" si="13"/>
        <v>0.28467000000000003</v>
      </c>
      <c r="I67" s="13">
        <v>0</v>
      </c>
      <c r="J67" s="27"/>
      <c r="L67" s="21"/>
      <c r="M67" s="22"/>
      <c r="N67" s="23"/>
    </row>
    <row r="68" spans="1:21" ht="18.75" hidden="1" customHeight="1">
      <c r="A68" s="33">
        <v>28</v>
      </c>
      <c r="B68" s="15" t="s">
        <v>46</v>
      </c>
      <c r="C68" s="17" t="s">
        <v>113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3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8.75" hidden="1" customHeight="1">
      <c r="A69" s="33">
        <v>29</v>
      </c>
      <c r="B69" s="15" t="s">
        <v>47</v>
      </c>
      <c r="C69" s="17" t="s">
        <v>114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3"/>
        <v>1.4934660500000001</v>
      </c>
      <c r="I69" s="13">
        <f t="shared" ref="I69:I72" si="14">F69*G69</f>
        <v>1493.46605</v>
      </c>
      <c r="J69" s="27"/>
      <c r="L69" s="21"/>
      <c r="M69" s="22"/>
      <c r="N69" s="23"/>
    </row>
    <row r="70" spans="1:21" ht="20.25" hidden="1" customHeight="1">
      <c r="A70" s="33">
        <v>30</v>
      </c>
      <c r="B70" s="15" t="s">
        <v>48</v>
      </c>
      <c r="C70" s="17" t="s">
        <v>74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3"/>
        <v>28.138677000000005</v>
      </c>
      <c r="I70" s="13">
        <f t="shared" si="14"/>
        <v>28138.677000000003</v>
      </c>
      <c r="J70" s="27"/>
      <c r="L70" s="21"/>
    </row>
    <row r="71" spans="1:21" ht="18" hidden="1" customHeight="1">
      <c r="A71" s="33">
        <v>31</v>
      </c>
      <c r="B71" s="104" t="s">
        <v>115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3"/>
        <v>0.35113000000000005</v>
      </c>
      <c r="I71" s="13">
        <f t="shared" si="14"/>
        <v>351.13000000000005</v>
      </c>
    </row>
    <row r="72" spans="1:21" ht="19.5" hidden="1" customHeight="1">
      <c r="A72" s="33">
        <v>32</v>
      </c>
      <c r="B72" s="104" t="s">
        <v>159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3"/>
        <v>0.327598</v>
      </c>
      <c r="I72" s="13">
        <f t="shared" si="14"/>
        <v>327.59800000000001</v>
      </c>
    </row>
    <row r="73" spans="1:21" ht="19.5" hidden="1" customHeight="1">
      <c r="A73" s="33">
        <v>18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3"/>
        <v>0.18621000000000001</v>
      </c>
      <c r="I73" s="13">
        <f>G73*3</f>
        <v>186.21</v>
      </c>
    </row>
    <row r="74" spans="1:21" ht="21" hidden="1" customHeight="1">
      <c r="A74" s="91"/>
      <c r="B74" s="84" t="s">
        <v>116</v>
      </c>
      <c r="C74" s="84"/>
      <c r="D74" s="84"/>
      <c r="E74" s="84"/>
      <c r="F74" s="84"/>
      <c r="G74" s="84"/>
      <c r="H74" s="84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9.5" hidden="1" customHeight="1">
      <c r="A75" s="33">
        <v>14</v>
      </c>
      <c r="B75" s="105" t="s">
        <v>117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21.75" hidden="1" customHeight="1">
      <c r="A76" s="33"/>
      <c r="B76" s="53" t="s">
        <v>69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1"/>
      <c r="S76" s="131"/>
      <c r="T76" s="131"/>
      <c r="U76" s="131"/>
    </row>
    <row r="77" spans="1:21" ht="21.75" hidden="1" customHeight="1">
      <c r="A77" s="33"/>
      <c r="B77" s="15" t="s">
        <v>131</v>
      </c>
      <c r="C77" s="17" t="s">
        <v>118</v>
      </c>
      <c r="D77" s="41" t="s">
        <v>64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24.75" hidden="1" customHeight="1">
      <c r="A78" s="33"/>
      <c r="B78" s="15" t="s">
        <v>119</v>
      </c>
      <c r="C78" s="17" t="s">
        <v>120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8" hidden="1" customHeight="1">
      <c r="A79" s="33"/>
      <c r="B79" s="15" t="s">
        <v>70</v>
      </c>
      <c r="C79" s="17" t="s">
        <v>72</v>
      </c>
      <c r="D79" s="41" t="s">
        <v>64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8" hidden="1" customHeight="1">
      <c r="A80" s="33"/>
      <c r="B80" s="15" t="s">
        <v>71</v>
      </c>
      <c r="C80" s="17" t="s">
        <v>28</v>
      </c>
      <c r="D80" s="41" t="s">
        <v>64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8" hidden="1" customHeight="1">
      <c r="A81" s="33">
        <v>17</v>
      </c>
      <c r="B81" s="15" t="s">
        <v>132</v>
      </c>
      <c r="C81" s="17" t="s">
        <v>28</v>
      </c>
      <c r="D81" s="41" t="s">
        <v>64</v>
      </c>
      <c r="E81" s="19">
        <v>1</v>
      </c>
      <c r="F81" s="95">
        <f>SUM(E81)</f>
        <v>1</v>
      </c>
      <c r="G81" s="13">
        <v>446.12</v>
      </c>
      <c r="H81" s="103">
        <f t="shared" ref="H81" si="15">SUM(F81*G81/1000)</f>
        <v>0.44612000000000002</v>
      </c>
      <c r="I81" s="13">
        <v>0</v>
      </c>
    </row>
    <row r="82" spans="1:9" ht="23.25" hidden="1" customHeight="1">
      <c r="A82" s="33"/>
      <c r="B82" s="54" t="s">
        <v>73</v>
      </c>
      <c r="C82" s="42"/>
      <c r="D82" s="33"/>
      <c r="E82" s="19"/>
      <c r="F82" s="19"/>
      <c r="G82" s="40"/>
      <c r="H82" s="40"/>
      <c r="I82" s="19"/>
    </row>
    <row r="83" spans="1:9" ht="20.25" hidden="1" customHeight="1">
      <c r="A83" s="33">
        <v>39</v>
      </c>
      <c r="B83" s="56" t="s">
        <v>121</v>
      </c>
      <c r="C83" s="17" t="s">
        <v>74</v>
      </c>
      <c r="D83" s="15"/>
      <c r="E83" s="19"/>
      <c r="F83" s="13">
        <v>1.35</v>
      </c>
      <c r="G83" s="13">
        <v>3433.68</v>
      </c>
      <c r="H83" s="103">
        <f t="shared" ref="H83" si="16">SUM(F83*G83/1000)</f>
        <v>4.6354679999999995</v>
      </c>
      <c r="I83" s="13">
        <v>0</v>
      </c>
    </row>
    <row r="84" spans="1:9" ht="19.5" hidden="1" customHeight="1">
      <c r="A84" s="33"/>
      <c r="B84" s="84" t="s">
        <v>133</v>
      </c>
      <c r="C84" s="72"/>
      <c r="D84" s="35"/>
      <c r="E84" s="12"/>
      <c r="F84" s="12"/>
      <c r="G84" s="40"/>
      <c r="H84" s="40"/>
      <c r="I84" s="19"/>
    </row>
    <row r="85" spans="1:9" ht="23.25" hidden="1" customHeight="1">
      <c r="A85" s="33"/>
      <c r="B85" s="15" t="s">
        <v>134</v>
      </c>
      <c r="C85" s="17" t="s">
        <v>135</v>
      </c>
      <c r="D85" s="41" t="s">
        <v>64</v>
      </c>
      <c r="E85" s="19">
        <v>6</v>
      </c>
      <c r="F85" s="13">
        <f>E85</f>
        <v>6</v>
      </c>
      <c r="G85" s="13">
        <v>297.44</v>
      </c>
      <c r="H85" s="103">
        <f t="shared" ref="H85:H95" si="17">SUM(F85*G85/1000)</f>
        <v>1.7846399999999998</v>
      </c>
      <c r="I85" s="13">
        <v>0</v>
      </c>
    </row>
    <row r="86" spans="1:9" ht="27" hidden="1" customHeight="1">
      <c r="A86" s="33"/>
      <c r="B86" s="15" t="s">
        <v>136</v>
      </c>
      <c r="C86" s="17" t="s">
        <v>79</v>
      </c>
      <c r="D86" s="41" t="s">
        <v>64</v>
      </c>
      <c r="E86" s="19">
        <v>12</v>
      </c>
      <c r="F86" s="13">
        <f>E86</f>
        <v>12</v>
      </c>
      <c r="G86" s="13">
        <v>122.35</v>
      </c>
      <c r="H86" s="103">
        <f t="shared" si="17"/>
        <v>1.4681999999999997</v>
      </c>
      <c r="I86" s="13">
        <v>0</v>
      </c>
    </row>
    <row r="87" spans="1:9" ht="29.25" hidden="1" customHeight="1">
      <c r="A87" s="33">
        <v>15</v>
      </c>
      <c r="B87" s="15" t="s">
        <v>137</v>
      </c>
      <c r="C87" s="17" t="s">
        <v>138</v>
      </c>
      <c r="D87" s="41" t="s">
        <v>64</v>
      </c>
      <c r="E87" s="19">
        <v>9</v>
      </c>
      <c r="F87" s="13">
        <f>E87/3</f>
        <v>3</v>
      </c>
      <c r="G87" s="13">
        <v>1063.47</v>
      </c>
      <c r="H87" s="103">
        <f t="shared" si="17"/>
        <v>3.19041</v>
      </c>
      <c r="I87" s="13">
        <f>G87*(10/3)</f>
        <v>3544.9</v>
      </c>
    </row>
    <row r="88" spans="1:9" ht="21.75" hidden="1" customHeight="1">
      <c r="A88" s="33">
        <v>16</v>
      </c>
      <c r="B88" s="15" t="s">
        <v>139</v>
      </c>
      <c r="C88" s="17" t="s">
        <v>140</v>
      </c>
      <c r="D88" s="41" t="s">
        <v>64</v>
      </c>
      <c r="E88" s="19">
        <v>10</v>
      </c>
      <c r="F88" s="13">
        <f>E88/10</f>
        <v>1</v>
      </c>
      <c r="G88" s="13">
        <v>297.99</v>
      </c>
      <c r="H88" s="103">
        <f t="shared" si="17"/>
        <v>0.29799000000000003</v>
      </c>
      <c r="I88" s="13">
        <f>G88*(3/10)</f>
        <v>89.397000000000006</v>
      </c>
    </row>
    <row r="89" spans="1:9" ht="19.5" hidden="1" customHeight="1">
      <c r="A89" s="33"/>
      <c r="B89" s="15" t="s">
        <v>141</v>
      </c>
      <c r="C89" s="17" t="s">
        <v>79</v>
      </c>
      <c r="D89" s="41" t="s">
        <v>64</v>
      </c>
      <c r="E89" s="19">
        <v>6</v>
      </c>
      <c r="F89" s="13">
        <f t="shared" ref="F89:F94" si="18">E89</f>
        <v>6</v>
      </c>
      <c r="G89" s="13">
        <v>1564.44</v>
      </c>
      <c r="H89" s="103">
        <f t="shared" si="17"/>
        <v>9.3866399999999999</v>
      </c>
      <c r="I89" s="13">
        <v>0</v>
      </c>
    </row>
    <row r="90" spans="1:9" ht="30.75" hidden="1" customHeight="1">
      <c r="A90" s="33"/>
      <c r="B90" s="15" t="s">
        <v>142</v>
      </c>
      <c r="C90" s="17" t="s">
        <v>79</v>
      </c>
      <c r="D90" s="41" t="s">
        <v>64</v>
      </c>
      <c r="E90" s="19">
        <v>6</v>
      </c>
      <c r="F90" s="13">
        <f t="shared" si="18"/>
        <v>6</v>
      </c>
      <c r="G90" s="13">
        <v>1906.89</v>
      </c>
      <c r="H90" s="103">
        <f t="shared" si="17"/>
        <v>11.44134</v>
      </c>
      <c r="I90" s="13">
        <v>0</v>
      </c>
    </row>
    <row r="91" spans="1:9" ht="34.5" hidden="1" customHeight="1">
      <c r="A91" s="33"/>
      <c r="B91" s="15" t="s">
        <v>143</v>
      </c>
      <c r="C91" s="17" t="s">
        <v>79</v>
      </c>
      <c r="D91" s="41" t="s">
        <v>64</v>
      </c>
      <c r="E91" s="19">
        <v>6</v>
      </c>
      <c r="F91" s="13">
        <f t="shared" si="18"/>
        <v>6</v>
      </c>
      <c r="G91" s="13">
        <v>664.35</v>
      </c>
      <c r="H91" s="103">
        <f t="shared" si="17"/>
        <v>3.9861000000000004</v>
      </c>
      <c r="I91" s="13">
        <v>0</v>
      </c>
    </row>
    <row r="92" spans="1:9" ht="37.5" hidden="1" customHeight="1">
      <c r="A92" s="33"/>
      <c r="B92" s="15" t="s">
        <v>144</v>
      </c>
      <c r="C92" s="17" t="s">
        <v>79</v>
      </c>
      <c r="D92" s="41" t="s">
        <v>64</v>
      </c>
      <c r="E92" s="19">
        <v>6</v>
      </c>
      <c r="F92" s="13">
        <f t="shared" si="18"/>
        <v>6</v>
      </c>
      <c r="G92" s="13">
        <v>778.85</v>
      </c>
      <c r="H92" s="103">
        <f t="shared" si="17"/>
        <v>4.6731000000000007</v>
      </c>
      <c r="I92" s="13">
        <v>0</v>
      </c>
    </row>
    <row r="93" spans="1:9" ht="33.75" hidden="1" customHeight="1">
      <c r="A93" s="33"/>
      <c r="B93" s="15" t="s">
        <v>145</v>
      </c>
      <c r="C93" s="17" t="s">
        <v>118</v>
      </c>
      <c r="D93" s="41" t="s">
        <v>64</v>
      </c>
      <c r="E93" s="19">
        <v>4</v>
      </c>
      <c r="F93" s="13">
        <f t="shared" si="18"/>
        <v>4</v>
      </c>
      <c r="G93" s="13">
        <v>498.11</v>
      </c>
      <c r="H93" s="103">
        <f t="shared" si="17"/>
        <v>1.99244</v>
      </c>
      <c r="I93" s="13">
        <v>0</v>
      </c>
    </row>
    <row r="94" spans="1:9" ht="32.25" hidden="1" customHeight="1">
      <c r="A94" s="33"/>
      <c r="B94" s="15" t="s">
        <v>146</v>
      </c>
      <c r="C94" s="17" t="s">
        <v>79</v>
      </c>
      <c r="D94" s="41" t="s">
        <v>64</v>
      </c>
      <c r="E94" s="19">
        <v>6</v>
      </c>
      <c r="F94" s="13">
        <f t="shared" si="18"/>
        <v>6</v>
      </c>
      <c r="G94" s="13">
        <v>1264.3399999999999</v>
      </c>
      <c r="H94" s="103">
        <f t="shared" si="17"/>
        <v>7.5860399999999988</v>
      </c>
      <c r="I94" s="13">
        <v>0</v>
      </c>
    </row>
    <row r="95" spans="1:9" ht="23.25" hidden="1" customHeight="1">
      <c r="A95" s="33">
        <v>20</v>
      </c>
      <c r="B95" s="15" t="s">
        <v>147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7"/>
        <v>2.8108906600000001</v>
      </c>
      <c r="I95" s="13">
        <f>F95/2*G95</f>
        <v>1405.44533</v>
      </c>
    </row>
    <row r="96" spans="1:9" ht="15.75" customHeight="1">
      <c r="A96" s="144" t="s">
        <v>170</v>
      </c>
      <c r="B96" s="145"/>
      <c r="C96" s="145"/>
      <c r="D96" s="145"/>
      <c r="E96" s="145"/>
      <c r="F96" s="145"/>
      <c r="G96" s="145"/>
      <c r="H96" s="145"/>
      <c r="I96" s="146"/>
    </row>
    <row r="97" spans="1:9" ht="15.75" customHeight="1">
      <c r="A97" s="33">
        <v>11</v>
      </c>
      <c r="B97" s="92" t="s">
        <v>122</v>
      </c>
      <c r="C97" s="17" t="s">
        <v>52</v>
      </c>
      <c r="D97" s="108"/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12</v>
      </c>
      <c r="B98" s="15" t="s">
        <v>75</v>
      </c>
      <c r="C98" s="17" t="s">
        <v>160</v>
      </c>
      <c r="D98" s="108"/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91"/>
      <c r="B99" s="43" t="s">
        <v>78</v>
      </c>
      <c r="C99" s="45"/>
      <c r="D99" s="16"/>
      <c r="E99" s="16"/>
      <c r="F99" s="16"/>
      <c r="G99" s="19"/>
      <c r="H99" s="19"/>
      <c r="I99" s="36">
        <f>I98+I97+I44+I43+I42+I41+I40+I39+I27+I18+I17+I16</f>
        <v>21992.653469999997</v>
      </c>
    </row>
    <row r="100" spans="1:9" ht="15.75" customHeight="1">
      <c r="A100" s="147" t="s">
        <v>58</v>
      </c>
      <c r="B100" s="148"/>
      <c r="C100" s="148"/>
      <c r="D100" s="148"/>
      <c r="E100" s="148"/>
      <c r="F100" s="148"/>
      <c r="G100" s="148"/>
      <c r="H100" s="148"/>
      <c r="I100" s="149"/>
    </row>
    <row r="101" spans="1:9" ht="15.75" customHeight="1">
      <c r="A101" s="46">
        <v>13</v>
      </c>
      <c r="B101" s="112" t="s">
        <v>176</v>
      </c>
      <c r="C101" s="113" t="s">
        <v>177</v>
      </c>
      <c r="D101" s="112"/>
      <c r="E101" s="114"/>
      <c r="F101" s="115">
        <v>24</v>
      </c>
      <c r="G101" s="116">
        <v>1.4</v>
      </c>
      <c r="H101" s="117">
        <f>F101*G101/1000</f>
        <v>3.3599999999999991E-2</v>
      </c>
      <c r="I101" s="118">
        <f>G101*12</f>
        <v>16.799999999999997</v>
      </c>
    </row>
    <row r="102" spans="1:9" ht="33" customHeight="1">
      <c r="A102" s="33">
        <v>14</v>
      </c>
      <c r="B102" s="69" t="s">
        <v>182</v>
      </c>
      <c r="C102" s="73" t="s">
        <v>27</v>
      </c>
      <c r="D102" s="52"/>
      <c r="E102" s="52"/>
      <c r="F102" s="52"/>
      <c r="G102" s="121">
        <v>19757.060000000001</v>
      </c>
      <c r="H102" s="52"/>
      <c r="I102" s="125">
        <f>G102*0.599*8/1000</f>
        <v>94.675831520000003</v>
      </c>
    </row>
    <row r="103" spans="1:9" ht="16.5" customHeight="1">
      <c r="A103" s="33">
        <v>15</v>
      </c>
      <c r="B103" s="122" t="s">
        <v>107</v>
      </c>
      <c r="C103" s="123" t="s">
        <v>27</v>
      </c>
      <c r="D103" s="52"/>
      <c r="E103" s="52"/>
      <c r="F103" s="52"/>
      <c r="G103" s="40">
        <v>1160.81</v>
      </c>
      <c r="H103" s="52"/>
      <c r="I103" s="125">
        <f>G103*0.12</f>
        <v>139.29719999999998</v>
      </c>
    </row>
    <row r="104" spans="1:9" ht="15.75" customHeight="1">
      <c r="A104" s="33"/>
      <c r="B104" s="50" t="s">
        <v>49</v>
      </c>
      <c r="C104" s="46"/>
      <c r="D104" s="58"/>
      <c r="E104" s="46">
        <v>1</v>
      </c>
      <c r="F104" s="46"/>
      <c r="G104" s="46"/>
      <c r="H104" s="46"/>
      <c r="I104" s="36">
        <f>SUM(I101:I103)</f>
        <v>250.77303151999996</v>
      </c>
    </row>
    <row r="105" spans="1:9" ht="15.75" customHeight="1">
      <c r="A105" s="33"/>
      <c r="B105" s="56" t="s">
        <v>76</v>
      </c>
      <c r="C105" s="16"/>
      <c r="D105" s="16"/>
      <c r="E105" s="47"/>
      <c r="F105" s="47"/>
      <c r="G105" s="48"/>
      <c r="H105" s="48"/>
      <c r="I105" s="18">
        <v>0</v>
      </c>
    </row>
    <row r="106" spans="1:9" ht="15.75" customHeight="1">
      <c r="A106" s="59"/>
      <c r="B106" s="51" t="s">
        <v>161</v>
      </c>
      <c r="C106" s="38"/>
      <c r="D106" s="38"/>
      <c r="E106" s="38"/>
      <c r="F106" s="38"/>
      <c r="G106" s="38"/>
      <c r="H106" s="38"/>
      <c r="I106" s="49">
        <f>I99+I104</f>
        <v>22243.426501519996</v>
      </c>
    </row>
    <row r="107" spans="1:9" ht="15.75" customHeight="1">
      <c r="A107" s="136" t="s">
        <v>266</v>
      </c>
      <c r="B107" s="136"/>
      <c r="C107" s="136"/>
      <c r="D107" s="136"/>
      <c r="E107" s="136"/>
      <c r="F107" s="136"/>
      <c r="G107" s="136"/>
      <c r="H107" s="136"/>
      <c r="I107" s="136"/>
    </row>
    <row r="108" spans="1:9" ht="15.75" customHeight="1">
      <c r="A108" s="80"/>
      <c r="B108" s="150" t="s">
        <v>267</v>
      </c>
      <c r="C108" s="150"/>
      <c r="D108" s="150"/>
      <c r="E108" s="150"/>
      <c r="F108" s="150"/>
      <c r="G108" s="150"/>
      <c r="H108" s="90"/>
      <c r="I108" s="3"/>
    </row>
    <row r="109" spans="1:9" ht="15.75" customHeight="1">
      <c r="A109" s="83"/>
      <c r="B109" s="151" t="s">
        <v>6</v>
      </c>
      <c r="C109" s="151"/>
      <c r="D109" s="151"/>
      <c r="E109" s="151"/>
      <c r="F109" s="151"/>
      <c r="G109" s="151"/>
      <c r="H109" s="28"/>
      <c r="I109" s="5"/>
    </row>
    <row r="110" spans="1:9" ht="8.25" customHeight="1">
      <c r="A110" s="9"/>
      <c r="B110" s="9"/>
      <c r="C110" s="9"/>
      <c r="D110" s="9"/>
      <c r="E110" s="9"/>
      <c r="F110" s="9"/>
      <c r="G110" s="9"/>
      <c r="H110" s="9"/>
      <c r="I110" s="9"/>
    </row>
    <row r="111" spans="1:9" ht="15.75" customHeight="1">
      <c r="A111" s="135" t="s">
        <v>7</v>
      </c>
      <c r="B111" s="135"/>
      <c r="C111" s="135"/>
      <c r="D111" s="135"/>
      <c r="E111" s="135"/>
      <c r="F111" s="135"/>
      <c r="G111" s="135"/>
      <c r="H111" s="135"/>
      <c r="I111" s="135"/>
    </row>
    <row r="112" spans="1:9" ht="15.75" customHeight="1">
      <c r="A112" s="135" t="s">
        <v>8</v>
      </c>
      <c r="B112" s="135"/>
      <c r="C112" s="135"/>
      <c r="D112" s="135"/>
      <c r="E112" s="135"/>
      <c r="F112" s="135"/>
      <c r="G112" s="135"/>
      <c r="H112" s="135"/>
      <c r="I112" s="135"/>
    </row>
    <row r="113" spans="1:9" ht="15.75" customHeight="1">
      <c r="A113" s="155" t="s">
        <v>59</v>
      </c>
      <c r="B113" s="155"/>
      <c r="C113" s="155"/>
      <c r="D113" s="155"/>
      <c r="E113" s="155"/>
      <c r="F113" s="155"/>
      <c r="G113" s="155"/>
      <c r="H113" s="155"/>
      <c r="I113" s="155"/>
    </row>
    <row r="114" spans="1:9" ht="15.75" customHeight="1">
      <c r="A114" s="10"/>
    </row>
    <row r="115" spans="1:9" ht="15.75" customHeight="1">
      <c r="A115" s="156" t="s">
        <v>9</v>
      </c>
      <c r="B115" s="156"/>
      <c r="C115" s="156"/>
      <c r="D115" s="156"/>
      <c r="E115" s="156"/>
      <c r="F115" s="156"/>
      <c r="G115" s="156"/>
      <c r="H115" s="156"/>
      <c r="I115" s="156"/>
    </row>
    <row r="116" spans="1:9" ht="15.75" customHeight="1">
      <c r="A116" s="4"/>
    </row>
    <row r="117" spans="1:9" ht="15.75" customHeight="1">
      <c r="B117" s="86" t="s">
        <v>10</v>
      </c>
      <c r="C117" s="157" t="s">
        <v>85</v>
      </c>
      <c r="D117" s="157"/>
      <c r="E117" s="157"/>
      <c r="F117" s="88"/>
      <c r="I117" s="82"/>
    </row>
    <row r="118" spans="1:9" ht="15.75" customHeight="1">
      <c r="A118" s="83"/>
      <c r="C118" s="151" t="s">
        <v>11</v>
      </c>
      <c r="D118" s="151"/>
      <c r="E118" s="151"/>
      <c r="F118" s="28"/>
      <c r="I118" s="81" t="s">
        <v>12</v>
      </c>
    </row>
    <row r="119" spans="1:9" ht="15.75" customHeight="1">
      <c r="A119" s="29"/>
      <c r="C119" s="11"/>
      <c r="D119" s="11"/>
      <c r="G119" s="11"/>
      <c r="H119" s="11"/>
    </row>
    <row r="120" spans="1:9" ht="15.75" customHeight="1">
      <c r="B120" s="86" t="s">
        <v>13</v>
      </c>
      <c r="C120" s="152"/>
      <c r="D120" s="152"/>
      <c r="E120" s="152"/>
      <c r="F120" s="89"/>
      <c r="I120" s="82"/>
    </row>
    <row r="121" spans="1:9" ht="15.75" customHeight="1">
      <c r="A121" s="83"/>
      <c r="C121" s="131" t="s">
        <v>11</v>
      </c>
      <c r="D121" s="131"/>
      <c r="E121" s="131"/>
      <c r="F121" s="83"/>
      <c r="I121" s="81" t="s">
        <v>12</v>
      </c>
    </row>
    <row r="122" spans="1:9" ht="15.75" customHeight="1">
      <c r="A122" s="4" t="s">
        <v>14</v>
      </c>
    </row>
    <row r="123" spans="1:9" ht="15.75" customHeight="1">
      <c r="A123" s="154" t="s">
        <v>15</v>
      </c>
      <c r="B123" s="154"/>
      <c r="C123" s="154"/>
      <c r="D123" s="154"/>
      <c r="E123" s="154"/>
      <c r="F123" s="154"/>
      <c r="G123" s="154"/>
      <c r="H123" s="154"/>
      <c r="I123" s="154"/>
    </row>
    <row r="124" spans="1:9" ht="45" customHeight="1">
      <c r="A124" s="153" t="s">
        <v>16</v>
      </c>
      <c r="B124" s="153"/>
      <c r="C124" s="153"/>
      <c r="D124" s="153"/>
      <c r="E124" s="153"/>
      <c r="F124" s="153"/>
      <c r="G124" s="153"/>
      <c r="H124" s="153"/>
      <c r="I124" s="153"/>
    </row>
    <row r="125" spans="1:9" ht="30" customHeight="1">
      <c r="A125" s="153" t="s">
        <v>17</v>
      </c>
      <c r="B125" s="153"/>
      <c r="C125" s="153"/>
      <c r="D125" s="153"/>
      <c r="E125" s="153"/>
      <c r="F125" s="153"/>
      <c r="G125" s="153"/>
      <c r="H125" s="153"/>
      <c r="I125" s="153"/>
    </row>
    <row r="126" spans="1:9" ht="30" customHeight="1">
      <c r="A126" s="153" t="s">
        <v>21</v>
      </c>
      <c r="B126" s="153"/>
      <c r="C126" s="153"/>
      <c r="D126" s="153"/>
      <c r="E126" s="153"/>
      <c r="F126" s="153"/>
      <c r="G126" s="153"/>
      <c r="H126" s="153"/>
      <c r="I126" s="153"/>
    </row>
    <row r="127" spans="1:9" ht="15" customHeight="1">
      <c r="A127" s="153" t="s">
        <v>20</v>
      </c>
      <c r="B127" s="153"/>
      <c r="C127" s="153"/>
      <c r="D127" s="153"/>
      <c r="E127" s="153"/>
      <c r="F127" s="153"/>
      <c r="G127" s="153"/>
      <c r="H127" s="153"/>
      <c r="I127" s="153"/>
    </row>
  </sheetData>
  <autoFilter ref="I12:I72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6:U76"/>
    <mergeCell ref="C121:E121"/>
    <mergeCell ref="A100:I100"/>
    <mergeCell ref="A107:I107"/>
    <mergeCell ref="B108:G108"/>
    <mergeCell ref="B109:G109"/>
    <mergeCell ref="A111:I111"/>
    <mergeCell ref="A112:I112"/>
    <mergeCell ref="A113:I113"/>
    <mergeCell ref="A115:I115"/>
    <mergeCell ref="C117:E117"/>
    <mergeCell ref="C118:E118"/>
    <mergeCell ref="C120:E120"/>
    <mergeCell ref="A96:I96"/>
    <mergeCell ref="A123:I123"/>
    <mergeCell ref="A124:I124"/>
    <mergeCell ref="A125:I125"/>
    <mergeCell ref="A126:I126"/>
    <mergeCell ref="A127:I12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U130"/>
  <sheetViews>
    <sheetView tabSelected="1" workbookViewId="0">
      <selection activeCell="J112" sqref="J11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179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37" t="s">
        <v>175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123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268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85"/>
      <c r="C6" s="85"/>
      <c r="D6" s="85"/>
      <c r="E6" s="85"/>
      <c r="F6" s="85"/>
      <c r="G6" s="85"/>
      <c r="H6" s="85"/>
      <c r="I6" s="34">
        <v>43830</v>
      </c>
      <c r="J6" s="2"/>
      <c r="K6" s="2"/>
      <c r="L6" s="2"/>
      <c r="M6" s="2"/>
    </row>
    <row r="7" spans="1:13" ht="15.75" customHeight="1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180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148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57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3">
        <v>1</v>
      </c>
      <c r="B16" s="92" t="s">
        <v>84</v>
      </c>
      <c r="C16" s="93" t="s">
        <v>86</v>
      </c>
      <c r="D16" s="92" t="s">
        <v>233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124</v>
      </c>
      <c r="C17" s="93" t="s">
        <v>86</v>
      </c>
      <c r="D17" s="92" t="s">
        <v>234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87</v>
      </c>
      <c r="C18" s="93" t="s">
        <v>86</v>
      </c>
      <c r="D18" s="92" t="s">
        <v>235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88</v>
      </c>
      <c r="C19" s="93" t="s">
        <v>89</v>
      </c>
      <c r="D19" s="92" t="s">
        <v>90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95</v>
      </c>
      <c r="C20" s="93" t="s">
        <v>50</v>
      </c>
      <c r="D20" s="92" t="s">
        <v>125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4</v>
      </c>
      <c r="B21" s="92" t="s">
        <v>91</v>
      </c>
      <c r="C21" s="93" t="s">
        <v>86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5</v>
      </c>
      <c r="B22" s="92" t="s">
        <v>92</v>
      </c>
      <c r="C22" s="93" t="s">
        <v>86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93</v>
      </c>
      <c r="C23" s="93" t="s">
        <v>50</v>
      </c>
      <c r="D23" s="92" t="s">
        <v>90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94</v>
      </c>
      <c r="C24" s="93" t="s">
        <v>50</v>
      </c>
      <c r="D24" s="92" t="s">
        <v>90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96</v>
      </c>
      <c r="C25" s="93" t="s">
        <v>50</v>
      </c>
      <c r="D25" s="92" t="s">
        <v>90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126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220</v>
      </c>
      <c r="C27" s="44" t="s">
        <v>177</v>
      </c>
      <c r="D27" s="127" t="s">
        <v>237</v>
      </c>
      <c r="E27" s="128">
        <v>2.5099999999999998</v>
      </c>
      <c r="F27" s="129">
        <f>E27*258</f>
        <v>647.57999999999993</v>
      </c>
      <c r="G27" s="129">
        <v>10.39</v>
      </c>
      <c r="H27" s="96">
        <f t="shared" ref="H27" si="3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hidden="1" customHeight="1">
      <c r="A28" s="33">
        <v>5</v>
      </c>
      <c r="B28" s="98" t="s">
        <v>23</v>
      </c>
      <c r="C28" s="93" t="s">
        <v>24</v>
      </c>
      <c r="D28" s="92" t="s">
        <v>83</v>
      </c>
      <c r="E28" s="94">
        <v>1832</v>
      </c>
      <c r="F28" s="95">
        <f>SUM(E28*12)</f>
        <v>21984</v>
      </c>
      <c r="G28" s="95">
        <v>5.25</v>
      </c>
      <c r="H28" s="96">
        <f t="shared" ref="H28" si="4">SUM(F28*G28/1000)</f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3" t="s">
        <v>82</v>
      </c>
      <c r="B29" s="143"/>
      <c r="C29" s="143"/>
      <c r="D29" s="143"/>
      <c r="E29" s="143"/>
      <c r="F29" s="143"/>
      <c r="G29" s="143"/>
      <c r="H29" s="143"/>
      <c r="I29" s="143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6</v>
      </c>
      <c r="B31" s="92" t="s">
        <v>154</v>
      </c>
      <c r="C31" s="93" t="s">
        <v>97</v>
      </c>
      <c r="D31" s="92" t="s">
        <v>98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5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7</v>
      </c>
      <c r="B32" s="92" t="s">
        <v>99</v>
      </c>
      <c r="C32" s="93" t="s">
        <v>97</v>
      </c>
      <c r="D32" s="92" t="s">
        <v>100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5"/>
        <v>1.0668333000000001</v>
      </c>
      <c r="I32" s="13">
        <f t="shared" ref="I32:I35" si="6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2" t="s">
        <v>153</v>
      </c>
      <c r="C33" s="93" t="s">
        <v>97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5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>
        <v>8</v>
      </c>
      <c r="B34" s="92" t="s">
        <v>127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5"/>
        <v>7.5336975000000015</v>
      </c>
      <c r="I34" s="13">
        <f t="shared" si="6"/>
        <v>1255.61625</v>
      </c>
      <c r="J34" s="26"/>
      <c r="K34" s="8"/>
      <c r="L34" s="8"/>
      <c r="M34" s="8"/>
    </row>
    <row r="35" spans="1:14" ht="15.75" hidden="1" customHeight="1">
      <c r="A35" s="45">
        <v>9</v>
      </c>
      <c r="B35" s="92" t="s">
        <v>101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5"/>
        <v>3.6445666666666665</v>
      </c>
      <c r="I35" s="13">
        <f t="shared" si="6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62</v>
      </c>
      <c r="C36" s="93" t="s">
        <v>30</v>
      </c>
      <c r="D36" s="92" t="s">
        <v>64</v>
      </c>
      <c r="E36" s="94"/>
      <c r="F36" s="95">
        <v>2</v>
      </c>
      <c r="G36" s="95">
        <v>238.07</v>
      </c>
      <c r="H36" s="96">
        <f t="shared" si="5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63</v>
      </c>
      <c r="C37" s="93" t="s">
        <v>29</v>
      </c>
      <c r="D37" s="92" t="s">
        <v>64</v>
      </c>
      <c r="E37" s="94"/>
      <c r="F37" s="95">
        <v>3</v>
      </c>
      <c r="G37" s="95">
        <v>1413.96</v>
      </c>
      <c r="H37" s="96">
        <f t="shared" si="5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customHeight="1">
      <c r="A39" s="37">
        <v>5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7">SUM(F39*G39/1000)</f>
        <v>3.8007399999999998</v>
      </c>
      <c r="I39" s="13">
        <f>G39*0.5</f>
        <v>950.18499999999995</v>
      </c>
      <c r="J39" s="27"/>
    </row>
    <row r="40" spans="1:14" ht="15.75" customHeight="1">
      <c r="A40" s="37">
        <v>6</v>
      </c>
      <c r="B40" s="92" t="s">
        <v>65</v>
      </c>
      <c r="C40" s="93" t="s">
        <v>27</v>
      </c>
      <c r="D40" s="92" t="s">
        <v>244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7"/>
        <v>3.3360247499999995</v>
      </c>
      <c r="I40" s="13">
        <f t="shared" ref="I40:I42" si="8">F40/6*G40</f>
        <v>556.00412499999993</v>
      </c>
      <c r="J40" s="27"/>
    </row>
    <row r="41" spans="1:14" ht="15.75" customHeight="1">
      <c r="A41" s="37">
        <v>7</v>
      </c>
      <c r="B41" s="92" t="s">
        <v>66</v>
      </c>
      <c r="C41" s="93" t="s">
        <v>27</v>
      </c>
      <c r="D41" s="92" t="s">
        <v>243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7"/>
        <v>2.8751143749999999</v>
      </c>
      <c r="I41" s="13">
        <f t="shared" si="8"/>
        <v>479.18572916666665</v>
      </c>
      <c r="J41" s="27"/>
    </row>
    <row r="42" spans="1:14" ht="47.25" customHeight="1">
      <c r="A42" s="37">
        <v>8</v>
      </c>
      <c r="B42" s="92" t="s">
        <v>81</v>
      </c>
      <c r="C42" s="93" t="s">
        <v>97</v>
      </c>
      <c r="D42" s="92" t="s">
        <v>265</v>
      </c>
      <c r="E42" s="95">
        <v>42.5</v>
      </c>
      <c r="F42" s="95">
        <f>SUM(E42*35/1000)</f>
        <v>1.4875</v>
      </c>
      <c r="G42" s="95">
        <v>7221.21</v>
      </c>
      <c r="H42" s="96">
        <f t="shared" si="7"/>
        <v>10.741549875</v>
      </c>
      <c r="I42" s="13">
        <f t="shared" si="8"/>
        <v>1790.2583125000001</v>
      </c>
      <c r="J42" s="27"/>
    </row>
    <row r="43" spans="1:14" ht="15.75" customHeight="1">
      <c r="A43" s="37">
        <v>9</v>
      </c>
      <c r="B43" s="92" t="s">
        <v>105</v>
      </c>
      <c r="C43" s="93" t="s">
        <v>97</v>
      </c>
      <c r="D43" s="92" t="s">
        <v>245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7"/>
        <v>0.45343250000000002</v>
      </c>
      <c r="I43" s="13">
        <f>F43/7.5*G43</f>
        <v>60.457666666666668</v>
      </c>
      <c r="J43" s="27"/>
      <c r="L43" s="21"/>
      <c r="M43" s="22"/>
      <c r="N43" s="23"/>
    </row>
    <row r="44" spans="1:14" ht="15.75" customHeight="1">
      <c r="A44" s="37">
        <v>10</v>
      </c>
      <c r="B44" s="92" t="s">
        <v>67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7"/>
        <v>0.49648500000000001</v>
      </c>
      <c r="I44" s="13">
        <f>F44/7.5*G44</f>
        <v>66.198000000000008</v>
      </c>
      <c r="J44" s="27"/>
      <c r="L44" s="21"/>
      <c r="M44" s="22"/>
      <c r="N44" s="23"/>
    </row>
    <row r="45" spans="1:14" ht="15.75" customHeight="1">
      <c r="A45" s="132" t="s">
        <v>150</v>
      </c>
      <c r="B45" s="133"/>
      <c r="C45" s="133"/>
      <c r="D45" s="133"/>
      <c r="E45" s="133"/>
      <c r="F45" s="133"/>
      <c r="G45" s="133"/>
      <c r="H45" s="133"/>
      <c r="I45" s="134"/>
      <c r="J45" s="27"/>
      <c r="L45" s="21"/>
      <c r="M45" s="22"/>
      <c r="N45" s="23"/>
    </row>
    <row r="46" spans="1:14" ht="15.75" hidden="1" customHeight="1">
      <c r="A46" s="45">
        <v>12</v>
      </c>
      <c r="B46" s="92" t="s">
        <v>107</v>
      </c>
      <c r="C46" s="93" t="s">
        <v>97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9">SUM(F46*G46/1000)</f>
        <v>2.721961968</v>
      </c>
      <c r="I46" s="13">
        <f t="shared" ref="I46:I49" si="10">F46/2*G46</f>
        <v>1360.980984</v>
      </c>
      <c r="J46" s="27"/>
      <c r="L46" s="21"/>
      <c r="M46" s="22"/>
      <c r="N46" s="23"/>
    </row>
    <row r="47" spans="1:14" ht="15.75" hidden="1" customHeight="1">
      <c r="A47" s="45">
        <v>13</v>
      </c>
      <c r="B47" s="92" t="s">
        <v>33</v>
      </c>
      <c r="C47" s="93" t="s">
        <v>97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9"/>
        <v>2.8553184000000002E-2</v>
      </c>
      <c r="I47" s="13">
        <f t="shared" si="10"/>
        <v>14.276592000000001</v>
      </c>
      <c r="J47" s="27"/>
      <c r="L47" s="21"/>
      <c r="M47" s="22"/>
      <c r="N47" s="23"/>
    </row>
    <row r="48" spans="1:14" ht="15.75" hidden="1" customHeight="1">
      <c r="A48" s="45">
        <v>14</v>
      </c>
      <c r="B48" s="92" t="s">
        <v>34</v>
      </c>
      <c r="C48" s="93" t="s">
        <v>97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9"/>
        <v>2.2617645503999997</v>
      </c>
      <c r="I48" s="13">
        <f t="shared" si="10"/>
        <v>1130.8822751999999</v>
      </c>
      <c r="J48" s="27"/>
      <c r="L48" s="21"/>
      <c r="M48" s="22"/>
      <c r="N48" s="23"/>
    </row>
    <row r="49" spans="1:14" ht="15.75" hidden="1" customHeight="1">
      <c r="A49" s="45">
        <v>15</v>
      </c>
      <c r="B49" s="92" t="s">
        <v>35</v>
      </c>
      <c r="C49" s="93" t="s">
        <v>97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9"/>
        <v>2.7280312466000001</v>
      </c>
      <c r="I49" s="13">
        <f t="shared" si="10"/>
        <v>1364.0156233</v>
      </c>
      <c r="J49" s="27"/>
      <c r="L49" s="21"/>
      <c r="M49" s="22"/>
      <c r="N49" s="23"/>
    </row>
    <row r="50" spans="1:14" ht="15.75" hidden="1" customHeight="1">
      <c r="A50" s="45">
        <v>16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9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customHeight="1">
      <c r="A51" s="45">
        <v>11</v>
      </c>
      <c r="B51" s="92" t="s">
        <v>54</v>
      </c>
      <c r="C51" s="93" t="s">
        <v>97</v>
      </c>
      <c r="D51" s="92" t="s">
        <v>240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9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10</v>
      </c>
      <c r="B52" s="92" t="s">
        <v>108</v>
      </c>
      <c r="C52" s="93" t="s">
        <v>97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9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11</v>
      </c>
      <c r="B53" s="92" t="s">
        <v>109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9"/>
        <v>0.69307200000000002</v>
      </c>
      <c r="I53" s="13">
        <f t="shared" ref="I53:I54" si="11">F53/2*G53</f>
        <v>346.536</v>
      </c>
      <c r="J53" s="27"/>
      <c r="L53" s="21"/>
      <c r="M53" s="22"/>
      <c r="N53" s="23"/>
    </row>
    <row r="54" spans="1:14" ht="15.75" hidden="1" customHeight="1">
      <c r="A54" s="45">
        <v>12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9"/>
        <v>0.1406626</v>
      </c>
      <c r="I54" s="13">
        <f t="shared" si="11"/>
        <v>70.331299999999999</v>
      </c>
      <c r="J54" s="27"/>
      <c r="L54" s="21"/>
      <c r="M54" s="22"/>
      <c r="N54" s="23"/>
    </row>
    <row r="55" spans="1:14" ht="15.75" hidden="1" customHeight="1">
      <c r="A55" s="45">
        <v>13</v>
      </c>
      <c r="B55" s="92" t="s">
        <v>128</v>
      </c>
      <c r="C55" s="93" t="s">
        <v>110</v>
      </c>
      <c r="D55" s="92" t="s">
        <v>68</v>
      </c>
      <c r="E55" s="94">
        <v>36</v>
      </c>
      <c r="F55" s="95">
        <f>SUM(E55*3)</f>
        <v>108</v>
      </c>
      <c r="G55" s="13">
        <v>175.6</v>
      </c>
      <c r="H55" s="96">
        <f t="shared" si="9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14</v>
      </c>
      <c r="B56" s="92" t="s">
        <v>39</v>
      </c>
      <c r="C56" s="93" t="s">
        <v>110</v>
      </c>
      <c r="D56" s="92" t="s">
        <v>68</v>
      </c>
      <c r="E56" s="94">
        <v>36</v>
      </c>
      <c r="F56" s="95">
        <f>SUM(E56)*3</f>
        <v>108</v>
      </c>
      <c r="G56" s="13">
        <v>81.73</v>
      </c>
      <c r="H56" s="96">
        <f t="shared" si="9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hidden="1" customHeight="1">
      <c r="A57" s="132" t="s">
        <v>151</v>
      </c>
      <c r="B57" s="133"/>
      <c r="C57" s="133"/>
      <c r="D57" s="133"/>
      <c r="E57" s="133"/>
      <c r="F57" s="133"/>
      <c r="G57" s="133"/>
      <c r="H57" s="133"/>
      <c r="I57" s="134"/>
      <c r="J57" s="27"/>
      <c r="L57" s="21"/>
      <c r="M57" s="22"/>
      <c r="N57" s="23"/>
    </row>
    <row r="58" spans="1:14" ht="15.75" hidden="1" customHeight="1">
      <c r="A58" s="91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12</v>
      </c>
      <c r="B59" s="92" t="s">
        <v>156</v>
      </c>
      <c r="C59" s="93" t="s">
        <v>86</v>
      </c>
      <c r="D59" s="92" t="s">
        <v>111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112</v>
      </c>
      <c r="C60" s="93" t="s">
        <v>157</v>
      </c>
      <c r="D60" s="92" t="s">
        <v>64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84" t="s">
        <v>42</v>
      </c>
      <c r="C61" s="84"/>
      <c r="D61" s="84"/>
      <c r="E61" s="84"/>
      <c r="F61" s="84"/>
      <c r="G61" s="84"/>
      <c r="H61" s="84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158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129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130</v>
      </c>
      <c r="C64" s="93" t="s">
        <v>110</v>
      </c>
      <c r="D64" s="41" t="s">
        <v>64</v>
      </c>
      <c r="E64" s="94">
        <v>1</v>
      </c>
      <c r="F64" s="95">
        <f>E64</f>
        <v>1</v>
      </c>
      <c r="G64" s="102">
        <v>323.38</v>
      </c>
      <c r="H64" s="96">
        <f t="shared" ref="H64" si="12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84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110</v>
      </c>
      <c r="D66" s="41" t="s">
        <v>64</v>
      </c>
      <c r="E66" s="19">
        <v>10</v>
      </c>
      <c r="F66" s="95">
        <v>10</v>
      </c>
      <c r="G66" s="13">
        <v>276.74</v>
      </c>
      <c r="H66" s="103">
        <f t="shared" ref="H66:H73" si="13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110</v>
      </c>
      <c r="D67" s="41" t="s">
        <v>64</v>
      </c>
      <c r="E67" s="19">
        <v>3</v>
      </c>
      <c r="F67" s="95">
        <v>3</v>
      </c>
      <c r="G67" s="13">
        <v>94.89</v>
      </c>
      <c r="H67" s="103">
        <f t="shared" si="13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28</v>
      </c>
      <c r="B68" s="15" t="s">
        <v>46</v>
      </c>
      <c r="C68" s="17" t="s">
        <v>113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3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5.75" hidden="1" customHeight="1">
      <c r="A69" s="33">
        <v>29</v>
      </c>
      <c r="B69" s="15" t="s">
        <v>47</v>
      </c>
      <c r="C69" s="17" t="s">
        <v>114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3"/>
        <v>1.4934660500000001</v>
      </c>
      <c r="I69" s="13">
        <f t="shared" ref="I69:I72" si="14">F69*G69</f>
        <v>1493.46605</v>
      </c>
      <c r="J69" s="27"/>
      <c r="L69" s="21"/>
      <c r="M69" s="22"/>
      <c r="N69" s="23"/>
    </row>
    <row r="70" spans="1:21" ht="15.75" hidden="1" customHeight="1">
      <c r="A70" s="33">
        <v>30</v>
      </c>
      <c r="B70" s="15" t="s">
        <v>48</v>
      </c>
      <c r="C70" s="17" t="s">
        <v>74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3"/>
        <v>28.138677000000005</v>
      </c>
      <c r="I70" s="13">
        <f t="shared" si="14"/>
        <v>28138.677000000003</v>
      </c>
      <c r="J70" s="27"/>
      <c r="L70" s="21"/>
    </row>
    <row r="71" spans="1:21" ht="15.75" hidden="1" customHeight="1">
      <c r="A71" s="33">
        <v>31</v>
      </c>
      <c r="B71" s="104" t="s">
        <v>115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3"/>
        <v>0.35113000000000005</v>
      </c>
      <c r="I71" s="13">
        <f t="shared" si="14"/>
        <v>351.13000000000005</v>
      </c>
    </row>
    <row r="72" spans="1:21" ht="15.75" hidden="1" customHeight="1">
      <c r="A72" s="33">
        <v>32</v>
      </c>
      <c r="B72" s="104" t="s">
        <v>159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3"/>
        <v>0.327598</v>
      </c>
      <c r="I72" s="13">
        <f t="shared" si="14"/>
        <v>327.59800000000001</v>
      </c>
    </row>
    <row r="73" spans="1:21" ht="15.75" hidden="1" customHeight="1">
      <c r="A73" s="33">
        <v>18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3"/>
        <v>0.18621000000000001</v>
      </c>
      <c r="I73" s="13">
        <f>G73*3</f>
        <v>186.21</v>
      </c>
    </row>
    <row r="74" spans="1:21" ht="15.75" hidden="1" customHeight="1">
      <c r="A74" s="91"/>
      <c r="B74" s="84" t="s">
        <v>116</v>
      </c>
      <c r="C74" s="84"/>
      <c r="D74" s="84"/>
      <c r="E74" s="84"/>
      <c r="F74" s="84"/>
      <c r="G74" s="84"/>
      <c r="H74" s="84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117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69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1"/>
      <c r="S76" s="131"/>
      <c r="T76" s="131"/>
      <c r="U76" s="131"/>
    </row>
    <row r="77" spans="1:21" ht="15.75" hidden="1" customHeight="1">
      <c r="A77" s="33"/>
      <c r="B77" s="15" t="s">
        <v>131</v>
      </c>
      <c r="C77" s="17" t="s">
        <v>118</v>
      </c>
      <c r="D77" s="41" t="s">
        <v>64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119</v>
      </c>
      <c r="C78" s="17" t="s">
        <v>120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70</v>
      </c>
      <c r="C79" s="17" t="s">
        <v>72</v>
      </c>
      <c r="D79" s="41" t="s">
        <v>64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71</v>
      </c>
      <c r="C80" s="17" t="s">
        <v>28</v>
      </c>
      <c r="D80" s="41" t="s">
        <v>64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132</v>
      </c>
      <c r="C81" s="17" t="s">
        <v>28</v>
      </c>
      <c r="D81" s="41" t="s">
        <v>64</v>
      </c>
      <c r="E81" s="19">
        <v>1</v>
      </c>
      <c r="F81" s="95">
        <f>SUM(E81)</f>
        <v>1</v>
      </c>
      <c r="G81" s="13">
        <v>446.12</v>
      </c>
      <c r="H81" s="103">
        <f t="shared" ref="H81" si="15">SUM(F81*G81/1000)</f>
        <v>0.44612000000000002</v>
      </c>
      <c r="I81" s="13">
        <v>0</v>
      </c>
    </row>
    <row r="82" spans="1:9" ht="15.75" hidden="1" customHeight="1">
      <c r="A82" s="33"/>
      <c r="B82" s="54" t="s">
        <v>73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121</v>
      </c>
      <c r="C83" s="17" t="s">
        <v>74</v>
      </c>
      <c r="D83" s="15"/>
      <c r="E83" s="19"/>
      <c r="F83" s="13">
        <v>1.35</v>
      </c>
      <c r="G83" s="13">
        <v>3433.68</v>
      </c>
      <c r="H83" s="103">
        <f t="shared" ref="H83" si="16">SUM(F83*G83/1000)</f>
        <v>4.6354679999999995</v>
      </c>
      <c r="I83" s="13">
        <v>0</v>
      </c>
    </row>
    <row r="84" spans="1:9" ht="15.75" hidden="1" customHeight="1">
      <c r="A84" s="33"/>
      <c r="B84" s="84" t="s">
        <v>133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134</v>
      </c>
      <c r="C85" s="17" t="s">
        <v>135</v>
      </c>
      <c r="D85" s="41" t="s">
        <v>64</v>
      </c>
      <c r="E85" s="19">
        <v>6</v>
      </c>
      <c r="F85" s="13">
        <f>E85</f>
        <v>6</v>
      </c>
      <c r="G85" s="13">
        <v>297.44</v>
      </c>
      <c r="H85" s="103">
        <f t="shared" ref="H85:H95" si="17">SUM(F85*G85/1000)</f>
        <v>1.7846399999999998</v>
      </c>
      <c r="I85" s="13">
        <v>0</v>
      </c>
    </row>
    <row r="86" spans="1:9" ht="17.25" hidden="1" customHeight="1">
      <c r="A86" s="33">
        <v>12</v>
      </c>
      <c r="B86" s="15" t="s">
        <v>136</v>
      </c>
      <c r="C86" s="17" t="s">
        <v>79</v>
      </c>
      <c r="D86" s="41" t="s">
        <v>64</v>
      </c>
      <c r="E86" s="19">
        <v>12</v>
      </c>
      <c r="F86" s="13">
        <f>E86</f>
        <v>12</v>
      </c>
      <c r="G86" s="13">
        <v>122.35</v>
      </c>
      <c r="H86" s="103">
        <f t="shared" si="17"/>
        <v>1.4681999999999997</v>
      </c>
      <c r="I86" s="13">
        <f>G86*15</f>
        <v>1835.25</v>
      </c>
    </row>
    <row r="87" spans="1:9" ht="15.75" hidden="1" customHeight="1">
      <c r="A87" s="33">
        <v>13</v>
      </c>
      <c r="B87" s="15" t="s">
        <v>137</v>
      </c>
      <c r="C87" s="17" t="s">
        <v>138</v>
      </c>
      <c r="D87" s="41" t="s">
        <v>64</v>
      </c>
      <c r="E87" s="19">
        <v>9</v>
      </c>
      <c r="F87" s="13">
        <f>E87/3</f>
        <v>3</v>
      </c>
      <c r="G87" s="13">
        <v>1063.47</v>
      </c>
      <c r="H87" s="103">
        <f t="shared" si="17"/>
        <v>3.19041</v>
      </c>
      <c r="I87" s="13">
        <f>G87</f>
        <v>1063.47</v>
      </c>
    </row>
    <row r="88" spans="1:9" ht="31.5" hidden="1" customHeight="1">
      <c r="A88" s="33">
        <v>16</v>
      </c>
      <c r="B88" s="15" t="s">
        <v>139</v>
      </c>
      <c r="C88" s="17" t="s">
        <v>140</v>
      </c>
      <c r="D88" s="41" t="s">
        <v>64</v>
      </c>
      <c r="E88" s="19">
        <v>10</v>
      </c>
      <c r="F88" s="13">
        <f>E88/10</f>
        <v>1</v>
      </c>
      <c r="G88" s="13">
        <v>297.99</v>
      </c>
      <c r="H88" s="103">
        <f t="shared" si="17"/>
        <v>0.29799000000000003</v>
      </c>
      <c r="I88" s="13">
        <f>G88*(3/10)</f>
        <v>89.397000000000006</v>
      </c>
    </row>
    <row r="89" spans="1:9" ht="31.5" hidden="1" customHeight="1">
      <c r="A89" s="33"/>
      <c r="B89" s="15" t="s">
        <v>141</v>
      </c>
      <c r="C89" s="17" t="s">
        <v>79</v>
      </c>
      <c r="D89" s="41" t="s">
        <v>64</v>
      </c>
      <c r="E89" s="19">
        <v>6</v>
      </c>
      <c r="F89" s="13">
        <f t="shared" ref="F89:F94" si="18">E89</f>
        <v>6</v>
      </c>
      <c r="G89" s="13">
        <v>1564.44</v>
      </c>
      <c r="H89" s="103">
        <f t="shared" si="17"/>
        <v>9.3866399999999999</v>
      </c>
      <c r="I89" s="13">
        <v>0</v>
      </c>
    </row>
    <row r="90" spans="1:9" ht="31.5" hidden="1" customHeight="1">
      <c r="A90" s="33"/>
      <c r="B90" s="15" t="s">
        <v>142</v>
      </c>
      <c r="C90" s="17" t="s">
        <v>79</v>
      </c>
      <c r="D90" s="41" t="s">
        <v>64</v>
      </c>
      <c r="E90" s="19">
        <v>6</v>
      </c>
      <c r="F90" s="13">
        <f t="shared" si="18"/>
        <v>6</v>
      </c>
      <c r="G90" s="13">
        <v>1906.89</v>
      </c>
      <c r="H90" s="103">
        <f t="shared" si="17"/>
        <v>11.44134</v>
      </c>
      <c r="I90" s="13">
        <v>0</v>
      </c>
    </row>
    <row r="91" spans="1:9" ht="31.5" hidden="1" customHeight="1">
      <c r="A91" s="33"/>
      <c r="B91" s="15" t="s">
        <v>143</v>
      </c>
      <c r="C91" s="17" t="s">
        <v>79</v>
      </c>
      <c r="D91" s="41" t="s">
        <v>64</v>
      </c>
      <c r="E91" s="19">
        <v>6</v>
      </c>
      <c r="F91" s="13">
        <f t="shared" si="18"/>
        <v>6</v>
      </c>
      <c r="G91" s="13">
        <v>664.35</v>
      </c>
      <c r="H91" s="103">
        <f t="shared" si="17"/>
        <v>3.9861000000000004</v>
      </c>
      <c r="I91" s="13">
        <v>0</v>
      </c>
    </row>
    <row r="92" spans="1:9" ht="31.5" hidden="1" customHeight="1">
      <c r="A92" s="33"/>
      <c r="B92" s="15" t="s">
        <v>144</v>
      </c>
      <c r="C92" s="17" t="s">
        <v>79</v>
      </c>
      <c r="D92" s="41" t="s">
        <v>64</v>
      </c>
      <c r="E92" s="19">
        <v>6</v>
      </c>
      <c r="F92" s="13">
        <f t="shared" si="18"/>
        <v>6</v>
      </c>
      <c r="G92" s="13">
        <v>778.85</v>
      </c>
      <c r="H92" s="103">
        <f t="shared" si="17"/>
        <v>4.6731000000000007</v>
      </c>
      <c r="I92" s="13">
        <v>0</v>
      </c>
    </row>
    <row r="93" spans="1:9" ht="15.75" hidden="1" customHeight="1">
      <c r="A93" s="33"/>
      <c r="B93" s="15" t="s">
        <v>145</v>
      </c>
      <c r="C93" s="17" t="s">
        <v>118</v>
      </c>
      <c r="D93" s="41" t="s">
        <v>64</v>
      </c>
      <c r="E93" s="19">
        <v>4</v>
      </c>
      <c r="F93" s="13">
        <f t="shared" si="18"/>
        <v>4</v>
      </c>
      <c r="G93" s="13">
        <v>498.11</v>
      </c>
      <c r="H93" s="103">
        <f t="shared" si="17"/>
        <v>1.99244</v>
      </c>
      <c r="I93" s="13">
        <v>0</v>
      </c>
    </row>
    <row r="94" spans="1:9" ht="31.5" hidden="1" customHeight="1">
      <c r="A94" s="33"/>
      <c r="B94" s="15" t="s">
        <v>146</v>
      </c>
      <c r="C94" s="17" t="s">
        <v>79</v>
      </c>
      <c r="D94" s="41" t="s">
        <v>64</v>
      </c>
      <c r="E94" s="19">
        <v>6</v>
      </c>
      <c r="F94" s="13">
        <f t="shared" si="18"/>
        <v>6</v>
      </c>
      <c r="G94" s="13">
        <v>1264.3399999999999</v>
      </c>
      <c r="H94" s="103">
        <f t="shared" si="17"/>
        <v>7.5860399999999988</v>
      </c>
      <c r="I94" s="13">
        <v>0</v>
      </c>
    </row>
    <row r="95" spans="1:9" ht="15.75" hidden="1" customHeight="1">
      <c r="A95" s="33">
        <v>20</v>
      </c>
      <c r="B95" s="15" t="s">
        <v>147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7"/>
        <v>2.8108906600000001</v>
      </c>
      <c r="I95" s="13">
        <f>F95/2*G95</f>
        <v>1405.44533</v>
      </c>
    </row>
    <row r="96" spans="1:9" ht="15.75" customHeight="1">
      <c r="A96" s="144" t="s">
        <v>165</v>
      </c>
      <c r="B96" s="145"/>
      <c r="C96" s="145"/>
      <c r="D96" s="145"/>
      <c r="E96" s="145"/>
      <c r="F96" s="145"/>
      <c r="G96" s="145"/>
      <c r="H96" s="145"/>
      <c r="I96" s="146"/>
    </row>
    <row r="97" spans="1:9" ht="15.75" customHeight="1">
      <c r="A97" s="33">
        <v>12</v>
      </c>
      <c r="B97" s="92" t="s">
        <v>122</v>
      </c>
      <c r="C97" s="17" t="s">
        <v>52</v>
      </c>
      <c r="D97" s="108"/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13</v>
      </c>
      <c r="B98" s="15" t="s">
        <v>75</v>
      </c>
      <c r="C98" s="17" t="s">
        <v>160</v>
      </c>
      <c r="D98" s="108"/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91"/>
      <c r="B99" s="43" t="s">
        <v>78</v>
      </c>
      <c r="C99" s="45"/>
      <c r="D99" s="16"/>
      <c r="E99" s="16"/>
      <c r="F99" s="16"/>
      <c r="G99" s="19"/>
      <c r="H99" s="19"/>
      <c r="I99" s="36">
        <f>I98+I97+I51+I44+I43+I42+I41+I40+I39+I27+I18+I17+I16</f>
        <v>22450.851909999998</v>
      </c>
    </row>
    <row r="100" spans="1:9" ht="15.75" customHeight="1">
      <c r="A100" s="147" t="s">
        <v>58</v>
      </c>
      <c r="B100" s="148"/>
      <c r="C100" s="148"/>
      <c r="D100" s="148"/>
      <c r="E100" s="148"/>
      <c r="F100" s="148"/>
      <c r="G100" s="148"/>
      <c r="H100" s="148"/>
      <c r="I100" s="149"/>
    </row>
    <row r="101" spans="1:9" ht="15" customHeight="1">
      <c r="A101" s="33">
        <v>14</v>
      </c>
      <c r="B101" s="112" t="s">
        <v>176</v>
      </c>
      <c r="C101" s="113" t="s">
        <v>177</v>
      </c>
      <c r="D101" s="112"/>
      <c r="E101" s="114"/>
      <c r="F101" s="115">
        <v>24</v>
      </c>
      <c r="G101" s="116">
        <v>1.4</v>
      </c>
      <c r="H101" s="117">
        <f>F101*G101/1000</f>
        <v>3.3599999999999991E-2</v>
      </c>
      <c r="I101" s="118">
        <f>G101*12</f>
        <v>16.799999999999997</v>
      </c>
    </row>
    <row r="102" spans="1:9" ht="29.25" customHeight="1">
      <c r="A102" s="33">
        <v>15</v>
      </c>
      <c r="B102" s="122" t="s">
        <v>178</v>
      </c>
      <c r="C102" s="123" t="s">
        <v>36</v>
      </c>
      <c r="D102" s="68"/>
      <c r="E102" s="40"/>
      <c r="F102" s="40"/>
      <c r="G102" s="40">
        <v>3914.31</v>
      </c>
      <c r="H102" s="107"/>
      <c r="I102" s="19">
        <f>G102*0.01</f>
        <v>39.143099999999997</v>
      </c>
    </row>
    <row r="103" spans="1:9" ht="27.75" customHeight="1">
      <c r="A103" s="33">
        <v>16</v>
      </c>
      <c r="B103" s="122" t="s">
        <v>107</v>
      </c>
      <c r="C103" s="123" t="s">
        <v>27</v>
      </c>
      <c r="D103" s="68"/>
      <c r="E103" s="40"/>
      <c r="F103" s="40"/>
      <c r="G103" s="40">
        <v>1160.81</v>
      </c>
      <c r="H103" s="107"/>
      <c r="I103" s="19">
        <f>G103*0.06</f>
        <v>69.648599999999988</v>
      </c>
    </row>
    <row r="104" spans="1:9" ht="30" customHeight="1">
      <c r="A104" s="33">
        <v>17</v>
      </c>
      <c r="B104" s="122" t="s">
        <v>218</v>
      </c>
      <c r="C104" s="123" t="s">
        <v>38</v>
      </c>
      <c r="D104" s="68"/>
      <c r="E104" s="40"/>
      <c r="F104" s="40"/>
      <c r="G104" s="40">
        <v>26095.37</v>
      </c>
      <c r="H104" s="107"/>
      <c r="I104" s="19">
        <f>G104*0.02</f>
        <v>521.90739999999994</v>
      </c>
    </row>
    <row r="105" spans="1:9" ht="14.25" customHeight="1">
      <c r="A105" s="33">
        <v>18</v>
      </c>
      <c r="B105" s="122" t="s">
        <v>269</v>
      </c>
      <c r="C105" s="123" t="s">
        <v>110</v>
      </c>
      <c r="D105" s="68" t="s">
        <v>270</v>
      </c>
      <c r="E105" s="40"/>
      <c r="F105" s="40"/>
      <c r="G105" s="40">
        <v>87.32</v>
      </c>
      <c r="H105" s="107"/>
      <c r="I105" s="19">
        <f>G105*1</f>
        <v>87.32</v>
      </c>
    </row>
    <row r="106" spans="1:9" ht="30.75" customHeight="1">
      <c r="A106" s="33">
        <v>19</v>
      </c>
      <c r="B106" s="69" t="s">
        <v>182</v>
      </c>
      <c r="C106" s="73" t="s">
        <v>27</v>
      </c>
      <c r="D106" s="52"/>
      <c r="E106" s="52"/>
      <c r="F106" s="52"/>
      <c r="G106" s="121">
        <v>19757.060000000001</v>
      </c>
      <c r="H106" s="52"/>
      <c r="I106" s="125">
        <f>G106*0.599*8/1000</f>
        <v>94.675831520000003</v>
      </c>
    </row>
    <row r="107" spans="1:9" ht="15.75" customHeight="1">
      <c r="A107" s="33"/>
      <c r="B107" s="50" t="s">
        <v>49</v>
      </c>
      <c r="C107" s="46"/>
      <c r="D107" s="58"/>
      <c r="E107" s="46">
        <v>1</v>
      </c>
      <c r="F107" s="46"/>
      <c r="G107" s="46"/>
      <c r="H107" s="46"/>
      <c r="I107" s="36">
        <f>SUM(I101:I106)</f>
        <v>829.49493151999991</v>
      </c>
    </row>
    <row r="108" spans="1:9" ht="15.75" customHeight="1">
      <c r="A108" s="33"/>
      <c r="B108" s="56" t="s">
        <v>76</v>
      </c>
      <c r="C108" s="16"/>
      <c r="D108" s="16"/>
      <c r="E108" s="47"/>
      <c r="F108" s="47"/>
      <c r="G108" s="48"/>
      <c r="H108" s="48"/>
      <c r="I108" s="18">
        <v>0</v>
      </c>
    </row>
    <row r="109" spans="1:9" ht="15.75" customHeight="1">
      <c r="A109" s="59"/>
      <c r="B109" s="51" t="s">
        <v>161</v>
      </c>
      <c r="C109" s="38"/>
      <c r="D109" s="38"/>
      <c r="E109" s="38"/>
      <c r="F109" s="38"/>
      <c r="G109" s="38"/>
      <c r="H109" s="38"/>
      <c r="I109" s="49">
        <f>I99+I107</f>
        <v>23280.346841519997</v>
      </c>
    </row>
    <row r="110" spans="1:9" ht="15.75" customHeight="1">
      <c r="A110" s="136" t="s">
        <v>271</v>
      </c>
      <c r="B110" s="136"/>
      <c r="C110" s="136"/>
      <c r="D110" s="136"/>
      <c r="E110" s="136"/>
      <c r="F110" s="136"/>
      <c r="G110" s="136"/>
      <c r="H110" s="136"/>
      <c r="I110" s="136"/>
    </row>
    <row r="111" spans="1:9" ht="15.75" customHeight="1">
      <c r="A111" s="80"/>
      <c r="B111" s="150" t="s">
        <v>272</v>
      </c>
      <c r="C111" s="150"/>
      <c r="D111" s="150"/>
      <c r="E111" s="150"/>
      <c r="F111" s="150"/>
      <c r="G111" s="150"/>
      <c r="H111" s="90"/>
      <c r="I111" s="3"/>
    </row>
    <row r="112" spans="1:9" ht="15.75" customHeight="1">
      <c r="A112" s="83"/>
      <c r="B112" s="151" t="s">
        <v>6</v>
      </c>
      <c r="C112" s="151"/>
      <c r="D112" s="151"/>
      <c r="E112" s="151"/>
      <c r="F112" s="151"/>
      <c r="G112" s="151"/>
      <c r="H112" s="28"/>
      <c r="I112" s="5"/>
    </row>
    <row r="113" spans="1:9" ht="8.25" customHeight="1">
      <c r="A113" s="9"/>
      <c r="B113" s="9"/>
      <c r="C113" s="9"/>
      <c r="D113" s="9"/>
      <c r="E113" s="9"/>
      <c r="F113" s="9"/>
      <c r="G113" s="9"/>
      <c r="H113" s="9"/>
      <c r="I113" s="9"/>
    </row>
    <row r="114" spans="1:9" ht="15.75" customHeight="1">
      <c r="A114" s="135" t="s">
        <v>7</v>
      </c>
      <c r="B114" s="135"/>
      <c r="C114" s="135"/>
      <c r="D114" s="135"/>
      <c r="E114" s="135"/>
      <c r="F114" s="135"/>
      <c r="G114" s="135"/>
      <c r="H114" s="135"/>
      <c r="I114" s="135"/>
    </row>
    <row r="115" spans="1:9" ht="15.75" customHeight="1">
      <c r="A115" s="135" t="s">
        <v>8</v>
      </c>
      <c r="B115" s="135"/>
      <c r="C115" s="135"/>
      <c r="D115" s="135"/>
      <c r="E115" s="135"/>
      <c r="F115" s="135"/>
      <c r="G115" s="135"/>
      <c r="H115" s="135"/>
      <c r="I115" s="135"/>
    </row>
    <row r="116" spans="1:9" ht="15.75" customHeight="1">
      <c r="A116" s="155" t="s">
        <v>59</v>
      </c>
      <c r="B116" s="155"/>
      <c r="C116" s="155"/>
      <c r="D116" s="155"/>
      <c r="E116" s="155"/>
      <c r="F116" s="155"/>
      <c r="G116" s="155"/>
      <c r="H116" s="155"/>
      <c r="I116" s="155"/>
    </row>
    <row r="117" spans="1:9" ht="15.75" customHeight="1">
      <c r="A117" s="10"/>
    </row>
    <row r="118" spans="1:9" ht="15.75" customHeight="1">
      <c r="A118" s="156" t="s">
        <v>9</v>
      </c>
      <c r="B118" s="156"/>
      <c r="C118" s="156"/>
      <c r="D118" s="156"/>
      <c r="E118" s="156"/>
      <c r="F118" s="156"/>
      <c r="G118" s="156"/>
      <c r="H118" s="156"/>
      <c r="I118" s="156"/>
    </row>
    <row r="119" spans="1:9" ht="15.75" customHeight="1">
      <c r="A119" s="4"/>
    </row>
    <row r="120" spans="1:9" ht="15.75" customHeight="1">
      <c r="B120" s="86" t="s">
        <v>10</v>
      </c>
      <c r="C120" s="157" t="s">
        <v>85</v>
      </c>
      <c r="D120" s="157"/>
      <c r="E120" s="157"/>
      <c r="F120" s="88"/>
      <c r="I120" s="82"/>
    </row>
    <row r="121" spans="1:9" ht="15.75" customHeight="1">
      <c r="A121" s="83"/>
      <c r="C121" s="151" t="s">
        <v>11</v>
      </c>
      <c r="D121" s="151"/>
      <c r="E121" s="151"/>
      <c r="F121" s="28"/>
      <c r="I121" s="81" t="s">
        <v>12</v>
      </c>
    </row>
    <row r="122" spans="1:9" ht="15.75" customHeight="1">
      <c r="A122" s="29"/>
      <c r="C122" s="11"/>
      <c r="D122" s="11"/>
      <c r="G122" s="11"/>
      <c r="H122" s="11"/>
    </row>
    <row r="123" spans="1:9" ht="15.75" customHeight="1">
      <c r="B123" s="86" t="s">
        <v>13</v>
      </c>
      <c r="C123" s="152"/>
      <c r="D123" s="152"/>
      <c r="E123" s="152"/>
      <c r="F123" s="89"/>
      <c r="I123" s="82"/>
    </row>
    <row r="124" spans="1:9" ht="15.75" customHeight="1">
      <c r="A124" s="83"/>
      <c r="C124" s="131" t="s">
        <v>11</v>
      </c>
      <c r="D124" s="131"/>
      <c r="E124" s="131"/>
      <c r="F124" s="83"/>
      <c r="I124" s="81" t="s">
        <v>12</v>
      </c>
    </row>
    <row r="125" spans="1:9" ht="15.75" customHeight="1">
      <c r="A125" s="4" t="s">
        <v>14</v>
      </c>
    </row>
    <row r="126" spans="1:9" ht="15.75" customHeight="1">
      <c r="A126" s="154" t="s">
        <v>15</v>
      </c>
      <c r="B126" s="154"/>
      <c r="C126" s="154"/>
      <c r="D126" s="154"/>
      <c r="E126" s="154"/>
      <c r="F126" s="154"/>
      <c r="G126" s="154"/>
      <c r="H126" s="154"/>
      <c r="I126" s="154"/>
    </row>
    <row r="127" spans="1:9" ht="45" customHeight="1">
      <c r="A127" s="153" t="s">
        <v>16</v>
      </c>
      <c r="B127" s="153"/>
      <c r="C127" s="153"/>
      <c r="D127" s="153"/>
      <c r="E127" s="153"/>
      <c r="F127" s="153"/>
      <c r="G127" s="153"/>
      <c r="H127" s="153"/>
      <c r="I127" s="153"/>
    </row>
    <row r="128" spans="1:9" ht="30" customHeight="1">
      <c r="A128" s="153" t="s">
        <v>17</v>
      </c>
      <c r="B128" s="153"/>
      <c r="C128" s="153"/>
      <c r="D128" s="153"/>
      <c r="E128" s="153"/>
      <c r="F128" s="153"/>
      <c r="G128" s="153"/>
      <c r="H128" s="153"/>
      <c r="I128" s="153"/>
    </row>
    <row r="129" spans="1:9" ht="30" customHeight="1">
      <c r="A129" s="153" t="s">
        <v>21</v>
      </c>
      <c r="B129" s="153"/>
      <c r="C129" s="153"/>
      <c r="D129" s="153"/>
      <c r="E129" s="153"/>
      <c r="F129" s="153"/>
      <c r="G129" s="153"/>
      <c r="H129" s="153"/>
      <c r="I129" s="153"/>
    </row>
    <row r="130" spans="1:9" ht="15" customHeight="1">
      <c r="A130" s="153" t="s">
        <v>20</v>
      </c>
      <c r="B130" s="153"/>
      <c r="C130" s="153"/>
      <c r="D130" s="153"/>
      <c r="E130" s="153"/>
      <c r="F130" s="153"/>
      <c r="G130" s="153"/>
      <c r="H130" s="153"/>
      <c r="I130" s="153"/>
    </row>
  </sheetData>
  <autoFilter ref="I12:I72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6:U76"/>
    <mergeCell ref="C124:E124"/>
    <mergeCell ref="A100:I100"/>
    <mergeCell ref="A110:I110"/>
    <mergeCell ref="B111:G111"/>
    <mergeCell ref="B112:G112"/>
    <mergeCell ref="A114:I114"/>
    <mergeCell ref="A115:I115"/>
    <mergeCell ref="A116:I116"/>
    <mergeCell ref="A118:I118"/>
    <mergeCell ref="C120:E120"/>
    <mergeCell ref="C121:E121"/>
    <mergeCell ref="C123:E123"/>
    <mergeCell ref="A96:I96"/>
    <mergeCell ref="A126:I126"/>
    <mergeCell ref="A127:I127"/>
    <mergeCell ref="A128:I128"/>
    <mergeCell ref="A129:I129"/>
    <mergeCell ref="A130:I130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U143"/>
  <sheetViews>
    <sheetView workbookViewId="0">
      <selection activeCell="L97" sqref="L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179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37" t="s">
        <v>162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123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189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43524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180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148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57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3">
        <v>1</v>
      </c>
      <c r="B16" s="92" t="s">
        <v>84</v>
      </c>
      <c r="C16" s="93" t="s">
        <v>86</v>
      </c>
      <c r="D16" s="92" t="s">
        <v>233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124</v>
      </c>
      <c r="C17" s="93" t="s">
        <v>86</v>
      </c>
      <c r="D17" s="92" t="s">
        <v>234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87</v>
      </c>
      <c r="C18" s="93" t="s">
        <v>86</v>
      </c>
      <c r="D18" s="92" t="s">
        <v>235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/>
      <c r="B19" s="92" t="s">
        <v>88</v>
      </c>
      <c r="C19" s="93" t="s">
        <v>89</v>
      </c>
      <c r="D19" s="92" t="s">
        <v>90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92" t="s">
        <v>95</v>
      </c>
      <c r="C20" s="93" t="s">
        <v>50</v>
      </c>
      <c r="D20" s="92" t="s">
        <v>125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v>0</v>
      </c>
      <c r="J20" s="26"/>
      <c r="K20" s="8"/>
      <c r="L20" s="8"/>
      <c r="M20" s="8"/>
    </row>
    <row r="21" spans="1:13" ht="15.75" hidden="1" customHeight="1">
      <c r="A21" s="33">
        <v>5</v>
      </c>
      <c r="B21" s="92" t="s">
        <v>91</v>
      </c>
      <c r="C21" s="93" t="s">
        <v>86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v>0</v>
      </c>
      <c r="J21" s="26"/>
      <c r="K21" s="8"/>
      <c r="L21" s="8"/>
      <c r="M21" s="8"/>
    </row>
    <row r="22" spans="1:13" ht="15.75" hidden="1" customHeight="1">
      <c r="A22" s="33"/>
      <c r="B22" s="92" t="s">
        <v>92</v>
      </c>
      <c r="C22" s="93" t="s">
        <v>86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92" t="s">
        <v>93</v>
      </c>
      <c r="C23" s="93" t="s">
        <v>50</v>
      </c>
      <c r="D23" s="92" t="s">
        <v>90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92" t="s">
        <v>94</v>
      </c>
      <c r="C24" s="93" t="s">
        <v>50</v>
      </c>
      <c r="D24" s="92" t="s">
        <v>90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v>0</v>
      </c>
      <c r="J24" s="26"/>
      <c r="K24" s="8"/>
      <c r="L24" s="8"/>
      <c r="M24" s="8"/>
    </row>
    <row r="25" spans="1:13" ht="15.75" hidden="1" customHeight="1">
      <c r="A25" s="45">
        <v>6</v>
      </c>
      <c r="B25" s="92" t="s">
        <v>96</v>
      </c>
      <c r="C25" s="93" t="s">
        <v>50</v>
      </c>
      <c r="D25" s="92" t="s">
        <v>90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v>0</v>
      </c>
      <c r="J25" s="26"/>
      <c r="K25" s="8"/>
      <c r="L25" s="8"/>
      <c r="M25" s="8"/>
    </row>
    <row r="26" spans="1:13" ht="15.75" hidden="1" customHeight="1">
      <c r="A26" s="45"/>
      <c r="B26" s="92" t="s">
        <v>126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v>0</v>
      </c>
      <c r="J26" s="26"/>
      <c r="K26" s="8"/>
      <c r="L26" s="8"/>
      <c r="M26" s="8"/>
    </row>
    <row r="27" spans="1:13" ht="15.75" customHeight="1">
      <c r="A27" s="45">
        <v>4</v>
      </c>
      <c r="B27" s="92" t="s">
        <v>220</v>
      </c>
      <c r="C27" s="44" t="s">
        <v>177</v>
      </c>
      <c r="D27" s="127" t="s">
        <v>237</v>
      </c>
      <c r="E27" s="128">
        <v>2.5099999999999998</v>
      </c>
      <c r="F27" s="129">
        <f>E27*258</f>
        <v>647.57999999999993</v>
      </c>
      <c r="G27" s="129">
        <v>10.39</v>
      </c>
      <c r="H27" s="96">
        <f t="shared" ref="H27" si="1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hidden="1" customHeight="1">
      <c r="A28" s="45">
        <v>5</v>
      </c>
      <c r="B28" s="98" t="s">
        <v>23</v>
      </c>
      <c r="C28" s="93" t="s">
        <v>24</v>
      </c>
      <c r="D28" s="92" t="s">
        <v>83</v>
      </c>
      <c r="E28" s="94">
        <v>1832</v>
      </c>
      <c r="F28" s="95">
        <f>SUM(E28*12)</f>
        <v>21984</v>
      </c>
      <c r="G28" s="95">
        <v>5.25</v>
      </c>
      <c r="H28" s="96">
        <f t="shared" ref="H28" si="2">SUM(F28*G28/1000)</f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3" t="s">
        <v>82</v>
      </c>
      <c r="B29" s="143"/>
      <c r="C29" s="143"/>
      <c r="D29" s="143"/>
      <c r="E29" s="143"/>
      <c r="F29" s="143"/>
      <c r="G29" s="143"/>
      <c r="H29" s="143"/>
      <c r="I29" s="143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2</v>
      </c>
      <c r="B31" s="92" t="s">
        <v>154</v>
      </c>
      <c r="C31" s="93" t="s">
        <v>97</v>
      </c>
      <c r="D31" s="92" t="s">
        <v>98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3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3</v>
      </c>
      <c r="B32" s="92" t="s">
        <v>99</v>
      </c>
      <c r="C32" s="93" t="s">
        <v>97</v>
      </c>
      <c r="D32" s="92" t="s">
        <v>100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3"/>
        <v>1.0668333000000001</v>
      </c>
      <c r="I32" s="13">
        <f t="shared" ref="I32:I35" si="4">F32/6*G32</f>
        <v>177.80554999999998</v>
      </c>
      <c r="J32" s="26"/>
      <c r="K32" s="8"/>
      <c r="L32" s="8"/>
      <c r="M32" s="8"/>
    </row>
    <row r="33" spans="1:14" ht="15.75" hidden="1" customHeight="1">
      <c r="A33" s="45">
        <v>4</v>
      </c>
      <c r="B33" s="92" t="s">
        <v>153</v>
      </c>
      <c r="C33" s="93" t="s">
        <v>97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3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/>
      <c r="B34" s="92" t="s">
        <v>127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3"/>
        <v>7.5336975000000015</v>
      </c>
      <c r="I34" s="13">
        <f t="shared" si="4"/>
        <v>1255.61625</v>
      </c>
      <c r="J34" s="26"/>
      <c r="K34" s="8"/>
      <c r="L34" s="8"/>
      <c r="M34" s="8"/>
    </row>
    <row r="35" spans="1:14" ht="15.75" hidden="1" customHeight="1">
      <c r="A35" s="45">
        <v>5</v>
      </c>
      <c r="B35" s="92" t="s">
        <v>101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3"/>
        <v>3.6445666666666665</v>
      </c>
      <c r="I35" s="13">
        <f t="shared" si="4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62</v>
      </c>
      <c r="C36" s="93" t="s">
        <v>30</v>
      </c>
      <c r="D36" s="92" t="s">
        <v>64</v>
      </c>
      <c r="E36" s="94"/>
      <c r="F36" s="95">
        <v>2</v>
      </c>
      <c r="G36" s="95">
        <v>238.07</v>
      </c>
      <c r="H36" s="96">
        <f t="shared" si="3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63</v>
      </c>
      <c r="C37" s="93" t="s">
        <v>29</v>
      </c>
      <c r="D37" s="92" t="s">
        <v>64</v>
      </c>
      <c r="E37" s="94"/>
      <c r="F37" s="95">
        <v>3</v>
      </c>
      <c r="G37" s="95">
        <v>1413.96</v>
      </c>
      <c r="H37" s="96">
        <f t="shared" si="3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customHeight="1">
      <c r="A39" s="37">
        <v>5</v>
      </c>
      <c r="B39" s="92" t="s">
        <v>25</v>
      </c>
      <c r="C39" s="93" t="s">
        <v>29</v>
      </c>
      <c r="D39" s="130">
        <v>43503</v>
      </c>
      <c r="E39" s="94"/>
      <c r="F39" s="95">
        <v>2</v>
      </c>
      <c r="G39" s="95">
        <v>1900.37</v>
      </c>
      <c r="H39" s="96">
        <f t="shared" ref="H39:H44" si="5">SUM(F39*G39/1000)</f>
        <v>3.8007399999999998</v>
      </c>
      <c r="I39" s="13">
        <f>G39*0.76</f>
        <v>1444.2811999999999</v>
      </c>
      <c r="J39" s="27"/>
    </row>
    <row r="40" spans="1:14" ht="15.75" customHeight="1">
      <c r="A40" s="37">
        <v>6</v>
      </c>
      <c r="B40" s="92" t="s">
        <v>65</v>
      </c>
      <c r="C40" s="93" t="s">
        <v>27</v>
      </c>
      <c r="D40" s="92" t="s">
        <v>244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5"/>
        <v>3.3360247499999995</v>
      </c>
      <c r="I40" s="13">
        <f t="shared" ref="I40:I42" si="6">F40/6*G40</f>
        <v>556.00412499999993</v>
      </c>
      <c r="J40" s="27"/>
    </row>
    <row r="41" spans="1:14" ht="15.75" customHeight="1">
      <c r="A41" s="37">
        <v>7</v>
      </c>
      <c r="B41" s="92" t="s">
        <v>66</v>
      </c>
      <c r="C41" s="93" t="s">
        <v>27</v>
      </c>
      <c r="D41" s="92" t="s">
        <v>243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5"/>
        <v>2.8751143749999999</v>
      </c>
      <c r="I41" s="13">
        <f t="shared" si="6"/>
        <v>479.18572916666665</v>
      </c>
      <c r="J41" s="27"/>
    </row>
    <row r="42" spans="1:14" ht="47.25" customHeight="1">
      <c r="A42" s="37">
        <v>8</v>
      </c>
      <c r="B42" s="92" t="s">
        <v>81</v>
      </c>
      <c r="C42" s="93" t="s">
        <v>97</v>
      </c>
      <c r="D42" s="92" t="s">
        <v>244</v>
      </c>
      <c r="E42" s="95">
        <v>42.5</v>
      </c>
      <c r="F42" s="95">
        <f>SUM(E42*35/1000)</f>
        <v>1.4875</v>
      </c>
      <c r="G42" s="95">
        <v>7221.21</v>
      </c>
      <c r="H42" s="96">
        <f t="shared" si="5"/>
        <v>10.741549875</v>
      </c>
      <c r="I42" s="13">
        <f t="shared" si="6"/>
        <v>1790.2583125000001</v>
      </c>
      <c r="J42" s="27"/>
    </row>
    <row r="43" spans="1:14" ht="15.75" customHeight="1">
      <c r="A43" s="37">
        <v>9</v>
      </c>
      <c r="B43" s="92" t="s">
        <v>105</v>
      </c>
      <c r="C43" s="93" t="s">
        <v>97</v>
      </c>
      <c r="D43" s="92" t="s">
        <v>245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5"/>
        <v>0.45343250000000002</v>
      </c>
      <c r="I43" s="13">
        <f>F43/7.5*G43</f>
        <v>60.457666666666668</v>
      </c>
      <c r="J43" s="27"/>
      <c r="L43" s="21"/>
      <c r="M43" s="22"/>
      <c r="N43" s="23"/>
    </row>
    <row r="44" spans="1:14" ht="15.75" customHeight="1">
      <c r="A44" s="37">
        <v>10</v>
      </c>
      <c r="B44" s="92" t="s">
        <v>67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5"/>
        <v>0.49648500000000001</v>
      </c>
      <c r="I44" s="13">
        <f>F44/7.5*G44</f>
        <v>66.198000000000008</v>
      </c>
      <c r="J44" s="27"/>
      <c r="L44" s="21"/>
      <c r="M44" s="22"/>
      <c r="N44" s="23"/>
    </row>
    <row r="45" spans="1:14" ht="15.75" customHeight="1">
      <c r="A45" s="132" t="s">
        <v>150</v>
      </c>
      <c r="B45" s="133"/>
      <c r="C45" s="133"/>
      <c r="D45" s="133"/>
      <c r="E45" s="133"/>
      <c r="F45" s="133"/>
      <c r="G45" s="133"/>
      <c r="H45" s="133"/>
      <c r="I45" s="134"/>
      <c r="J45" s="27"/>
      <c r="L45" s="21"/>
      <c r="M45" s="22"/>
      <c r="N45" s="23"/>
    </row>
    <row r="46" spans="1:14" ht="15.75" hidden="1" customHeight="1">
      <c r="A46" s="45">
        <v>15</v>
      </c>
      <c r="B46" s="92" t="s">
        <v>107</v>
      </c>
      <c r="C46" s="93" t="s">
        <v>97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7">SUM(F46*G46/1000)</f>
        <v>2.721961968</v>
      </c>
      <c r="I46" s="13">
        <v>0</v>
      </c>
      <c r="J46" s="27"/>
      <c r="L46" s="21"/>
      <c r="M46" s="22"/>
      <c r="N46" s="23"/>
    </row>
    <row r="47" spans="1:14" ht="15.75" hidden="1" customHeight="1">
      <c r="A47" s="45"/>
      <c r="B47" s="92" t="s">
        <v>33</v>
      </c>
      <c r="C47" s="93" t="s">
        <v>97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7"/>
        <v>2.8553184000000002E-2</v>
      </c>
      <c r="I47" s="13">
        <v>0</v>
      </c>
      <c r="J47" s="27"/>
      <c r="L47" s="21"/>
      <c r="M47" s="22"/>
      <c r="N47" s="23"/>
    </row>
    <row r="48" spans="1:14" ht="15.75" hidden="1" customHeight="1">
      <c r="A48" s="45">
        <v>16</v>
      </c>
      <c r="B48" s="92" t="s">
        <v>34</v>
      </c>
      <c r="C48" s="93" t="s">
        <v>97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7"/>
        <v>2.2617645503999997</v>
      </c>
      <c r="I48" s="13">
        <v>0</v>
      </c>
      <c r="J48" s="27"/>
      <c r="L48" s="21"/>
      <c r="M48" s="22"/>
      <c r="N48" s="23"/>
    </row>
    <row r="49" spans="1:14" ht="15.75" hidden="1" customHeight="1">
      <c r="A49" s="45">
        <v>17</v>
      </c>
      <c r="B49" s="92" t="s">
        <v>35</v>
      </c>
      <c r="C49" s="93" t="s">
        <v>97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7"/>
        <v>2.7280312466000001</v>
      </c>
      <c r="I49" s="13">
        <v>0</v>
      </c>
      <c r="J49" s="27"/>
      <c r="L49" s="21"/>
      <c r="M49" s="22"/>
      <c r="N49" s="23"/>
    </row>
    <row r="50" spans="1:14" ht="15.75" hidden="1" customHeight="1">
      <c r="A50" s="45">
        <v>18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7"/>
        <v>2.7871636000000002E-2</v>
      </c>
      <c r="I50" s="13">
        <v>0</v>
      </c>
      <c r="J50" s="27"/>
      <c r="L50" s="21"/>
      <c r="M50" s="22"/>
      <c r="N50" s="23"/>
    </row>
    <row r="51" spans="1:14" ht="15.75" customHeight="1">
      <c r="A51" s="45">
        <v>11</v>
      </c>
      <c r="B51" s="92" t="s">
        <v>54</v>
      </c>
      <c r="C51" s="93" t="s">
        <v>97</v>
      </c>
      <c r="D51" s="92" t="s">
        <v>155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7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13</v>
      </c>
      <c r="B52" s="92" t="s">
        <v>108</v>
      </c>
      <c r="C52" s="93" t="s">
        <v>97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7"/>
        <v>2.48555876</v>
      </c>
      <c r="I52" s="13">
        <v>0</v>
      </c>
      <c r="J52" s="27"/>
      <c r="L52" s="21"/>
      <c r="M52" s="22"/>
      <c r="N52" s="23"/>
    </row>
    <row r="53" spans="1:14" ht="31.5" hidden="1" customHeight="1">
      <c r="A53" s="45">
        <v>14</v>
      </c>
      <c r="B53" s="92" t="s">
        <v>109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7"/>
        <v>0.69307200000000002</v>
      </c>
      <c r="I53" s="13">
        <v>0</v>
      </c>
      <c r="J53" s="27"/>
      <c r="L53" s="21"/>
      <c r="M53" s="22"/>
      <c r="N53" s="23"/>
    </row>
    <row r="54" spans="1:14" ht="15.75" hidden="1" customHeight="1">
      <c r="A54" s="45">
        <v>15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7"/>
        <v>0.1406626</v>
      </c>
      <c r="I54" s="13">
        <v>0</v>
      </c>
      <c r="J54" s="27"/>
      <c r="L54" s="21"/>
      <c r="M54" s="22"/>
      <c r="N54" s="23"/>
    </row>
    <row r="55" spans="1:14" ht="15.75" hidden="1" customHeight="1">
      <c r="A55" s="45">
        <v>13</v>
      </c>
      <c r="B55" s="92" t="s">
        <v>128</v>
      </c>
      <c r="C55" s="93" t="s">
        <v>110</v>
      </c>
      <c r="D55" s="92" t="s">
        <v>68</v>
      </c>
      <c r="E55" s="94">
        <v>36</v>
      </c>
      <c r="F55" s="95">
        <f>SUM(E55*3)</f>
        <v>108</v>
      </c>
      <c r="G55" s="13">
        <v>175.6</v>
      </c>
      <c r="H55" s="96">
        <f t="shared" si="7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8.75" hidden="1" customHeight="1">
      <c r="A56" s="45">
        <v>14</v>
      </c>
      <c r="B56" s="92" t="s">
        <v>39</v>
      </c>
      <c r="C56" s="93" t="s">
        <v>110</v>
      </c>
      <c r="D56" s="92" t="s">
        <v>68</v>
      </c>
      <c r="E56" s="94">
        <v>36</v>
      </c>
      <c r="F56" s="95">
        <f>SUM(E56)*3</f>
        <v>108</v>
      </c>
      <c r="G56" s="13">
        <v>81.73</v>
      </c>
      <c r="H56" s="96">
        <f t="shared" si="7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" customHeight="1">
      <c r="A57" s="132" t="s">
        <v>151</v>
      </c>
      <c r="B57" s="133"/>
      <c r="C57" s="133"/>
      <c r="D57" s="133"/>
      <c r="E57" s="133"/>
      <c r="F57" s="133"/>
      <c r="G57" s="133"/>
      <c r="H57" s="133"/>
      <c r="I57" s="134"/>
      <c r="J57" s="27"/>
      <c r="L57" s="21"/>
      <c r="M57" s="22"/>
      <c r="N57" s="23"/>
    </row>
    <row r="58" spans="1:14" ht="24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48" customHeight="1">
      <c r="A59" s="45">
        <v>12</v>
      </c>
      <c r="B59" s="92" t="s">
        <v>156</v>
      </c>
      <c r="C59" s="93" t="s">
        <v>86</v>
      </c>
      <c r="D59" s="130">
        <v>43521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G59*0.093</f>
        <v>214.51566</v>
      </c>
      <c r="J59" s="27"/>
      <c r="L59" s="21"/>
      <c r="M59" s="22"/>
      <c r="N59" s="23"/>
    </row>
    <row r="60" spans="1:14" ht="24.75" hidden="1" customHeight="1">
      <c r="A60" s="45"/>
      <c r="B60" s="92" t="s">
        <v>112</v>
      </c>
      <c r="C60" s="93" t="s">
        <v>157</v>
      </c>
      <c r="D60" s="92" t="s">
        <v>64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28.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32.25" hidden="1" customHeight="1">
      <c r="A62" s="45">
        <v>27</v>
      </c>
      <c r="B62" s="92" t="s">
        <v>158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27" hidden="1" customHeight="1">
      <c r="A63" s="45"/>
      <c r="B63" s="71" t="s">
        <v>129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21" hidden="1" customHeight="1">
      <c r="A64" s="45"/>
      <c r="B64" s="92" t="s">
        <v>130</v>
      </c>
      <c r="C64" s="93" t="s">
        <v>110</v>
      </c>
      <c r="D64" s="41" t="s">
        <v>64</v>
      </c>
      <c r="E64" s="94">
        <v>1</v>
      </c>
      <c r="F64" s="95">
        <f>E64</f>
        <v>1</v>
      </c>
      <c r="G64" s="102">
        <v>323.38</v>
      </c>
      <c r="H64" s="96">
        <f t="shared" ref="H64" si="8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13</v>
      </c>
      <c r="B66" s="15" t="s">
        <v>44</v>
      </c>
      <c r="C66" s="17" t="s">
        <v>110</v>
      </c>
      <c r="D66" s="41" t="s">
        <v>64</v>
      </c>
      <c r="E66" s="19">
        <v>10</v>
      </c>
      <c r="F66" s="95">
        <v>10</v>
      </c>
      <c r="G66" s="13">
        <v>276.74</v>
      </c>
      <c r="H66" s="103">
        <f t="shared" ref="H66:H73" si="9">SUM(F66*G66/1000)</f>
        <v>2.7674000000000003</v>
      </c>
      <c r="I66" s="13">
        <f>G66</f>
        <v>276.74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110</v>
      </c>
      <c r="D67" s="41" t="s">
        <v>64</v>
      </c>
      <c r="E67" s="19">
        <v>3</v>
      </c>
      <c r="F67" s="95">
        <v>3</v>
      </c>
      <c r="G67" s="13">
        <v>94.89</v>
      </c>
      <c r="H67" s="103">
        <f t="shared" si="9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8</v>
      </c>
      <c r="B68" s="15" t="s">
        <v>46</v>
      </c>
      <c r="C68" s="17" t="s">
        <v>113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9"/>
        <v>19.178873500000002</v>
      </c>
      <c r="I68" s="13">
        <v>0</v>
      </c>
      <c r="J68" s="27"/>
      <c r="L68" s="21"/>
      <c r="M68" s="22"/>
      <c r="N68" s="23"/>
    </row>
    <row r="69" spans="1:21" ht="15.75" hidden="1" customHeight="1">
      <c r="A69" s="33">
        <v>9</v>
      </c>
      <c r="B69" s="15" t="s">
        <v>47</v>
      </c>
      <c r="C69" s="17" t="s">
        <v>114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9"/>
        <v>1.4934660500000001</v>
      </c>
      <c r="I69" s="13">
        <v>0</v>
      </c>
      <c r="J69" s="27"/>
      <c r="L69" s="21"/>
      <c r="M69" s="22"/>
      <c r="N69" s="23"/>
    </row>
    <row r="70" spans="1:21" ht="15.75" hidden="1" customHeight="1">
      <c r="A70" s="33">
        <v>10</v>
      </c>
      <c r="B70" s="15" t="s">
        <v>48</v>
      </c>
      <c r="C70" s="17" t="s">
        <v>74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9"/>
        <v>28.138677000000005</v>
      </c>
      <c r="I70" s="13">
        <v>0</v>
      </c>
      <c r="J70" s="27"/>
      <c r="L70" s="21"/>
    </row>
    <row r="71" spans="1:21" ht="15.75" hidden="1" customHeight="1">
      <c r="A71" s="33">
        <v>11</v>
      </c>
      <c r="B71" s="104" t="s">
        <v>115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9"/>
        <v>0.35113000000000005</v>
      </c>
      <c r="I71" s="13">
        <v>0</v>
      </c>
    </row>
    <row r="72" spans="1:21" ht="15.75" hidden="1" customHeight="1">
      <c r="A72" s="33">
        <v>12</v>
      </c>
      <c r="B72" s="104" t="s">
        <v>159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9"/>
        <v>0.327598</v>
      </c>
      <c r="I72" s="13">
        <v>0</v>
      </c>
    </row>
    <row r="73" spans="1:21" ht="15.75" hidden="1" customHeight="1">
      <c r="A73" s="33">
        <v>13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9"/>
        <v>0.18621000000000001</v>
      </c>
      <c r="I73" s="13">
        <v>0</v>
      </c>
    </row>
    <row r="74" spans="1:21" ht="15.75" hidden="1" customHeight="1">
      <c r="A74" s="57"/>
      <c r="B74" s="79" t="s">
        <v>116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117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69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1"/>
      <c r="S76" s="131"/>
      <c r="T76" s="131"/>
      <c r="U76" s="131"/>
    </row>
    <row r="77" spans="1:21" ht="15.75" hidden="1" customHeight="1">
      <c r="A77" s="33"/>
      <c r="B77" s="15" t="s">
        <v>131</v>
      </c>
      <c r="C77" s="17" t="s">
        <v>118</v>
      </c>
      <c r="D77" s="41" t="s">
        <v>64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119</v>
      </c>
      <c r="C78" s="17" t="s">
        <v>120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70</v>
      </c>
      <c r="C79" s="17" t="s">
        <v>72</v>
      </c>
      <c r="D79" s="41" t="s">
        <v>64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71</v>
      </c>
      <c r="C80" s="17" t="s">
        <v>28</v>
      </c>
      <c r="D80" s="41" t="s">
        <v>64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132</v>
      </c>
      <c r="C81" s="17" t="s">
        <v>28</v>
      </c>
      <c r="D81" s="41" t="s">
        <v>64</v>
      </c>
      <c r="E81" s="19">
        <v>1</v>
      </c>
      <c r="F81" s="95">
        <f>SUM(E81)</f>
        <v>1</v>
      </c>
      <c r="G81" s="13">
        <v>446.12</v>
      </c>
      <c r="H81" s="103">
        <f t="shared" ref="H81" si="10">SUM(F81*G81/1000)</f>
        <v>0.44612000000000002</v>
      </c>
      <c r="I81" s="13">
        <v>0</v>
      </c>
    </row>
    <row r="82" spans="1:9" ht="15.75" hidden="1" customHeight="1">
      <c r="A82" s="33"/>
      <c r="B82" s="54" t="s">
        <v>73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121</v>
      </c>
      <c r="C83" s="17" t="s">
        <v>74</v>
      </c>
      <c r="D83" s="15"/>
      <c r="E83" s="19"/>
      <c r="F83" s="13">
        <v>1.35</v>
      </c>
      <c r="G83" s="13">
        <v>3433.68</v>
      </c>
      <c r="H83" s="103">
        <f t="shared" ref="H83" si="11">SUM(F83*G83/1000)</f>
        <v>4.6354679999999995</v>
      </c>
      <c r="I83" s="13">
        <v>0</v>
      </c>
    </row>
    <row r="84" spans="1:9" ht="15.75" customHeight="1">
      <c r="A84" s="33"/>
      <c r="B84" s="79" t="s">
        <v>133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134</v>
      </c>
      <c r="C85" s="17" t="s">
        <v>135</v>
      </c>
      <c r="D85" s="41" t="s">
        <v>64</v>
      </c>
      <c r="E85" s="19">
        <v>6</v>
      </c>
      <c r="F85" s="13">
        <f>E85</f>
        <v>6</v>
      </c>
      <c r="G85" s="13">
        <v>297.44</v>
      </c>
      <c r="H85" s="103">
        <f t="shared" ref="H85:H95" si="12">SUM(F85*G85/1000)</f>
        <v>1.7846399999999998</v>
      </c>
      <c r="I85" s="13">
        <v>0</v>
      </c>
    </row>
    <row r="86" spans="1:9" ht="15.75" customHeight="1">
      <c r="A86" s="33">
        <v>13</v>
      </c>
      <c r="B86" s="15" t="s">
        <v>136</v>
      </c>
      <c r="C86" s="17" t="s">
        <v>79</v>
      </c>
      <c r="D86" s="41"/>
      <c r="E86" s="19">
        <v>12</v>
      </c>
      <c r="F86" s="13">
        <f>E86</f>
        <v>12</v>
      </c>
      <c r="G86" s="13">
        <v>122.35</v>
      </c>
      <c r="H86" s="103">
        <f t="shared" si="12"/>
        <v>1.4681999999999997</v>
      </c>
      <c r="I86" s="13">
        <f>G86*6.5</f>
        <v>795.27499999999998</v>
      </c>
    </row>
    <row r="87" spans="1:9" ht="15.75" hidden="1" customHeight="1">
      <c r="A87" s="33"/>
      <c r="B87" s="15" t="s">
        <v>137</v>
      </c>
      <c r="C87" s="17" t="s">
        <v>138</v>
      </c>
      <c r="D87" s="41" t="s">
        <v>64</v>
      </c>
      <c r="E87" s="19">
        <v>9</v>
      </c>
      <c r="F87" s="13">
        <f>E87/3</f>
        <v>3</v>
      </c>
      <c r="G87" s="13">
        <v>1063.47</v>
      </c>
      <c r="H87" s="103">
        <f t="shared" si="12"/>
        <v>3.19041</v>
      </c>
      <c r="I87" s="13">
        <v>0</v>
      </c>
    </row>
    <row r="88" spans="1:9" ht="31.5" hidden="1" customHeight="1">
      <c r="A88" s="33"/>
      <c r="B88" s="15" t="s">
        <v>139</v>
      </c>
      <c r="C88" s="17" t="s">
        <v>140</v>
      </c>
      <c r="D88" s="41" t="s">
        <v>64</v>
      </c>
      <c r="E88" s="19">
        <v>10</v>
      </c>
      <c r="F88" s="13">
        <f>E88/10</f>
        <v>1</v>
      </c>
      <c r="G88" s="13">
        <v>297.99</v>
      </c>
      <c r="H88" s="103">
        <f t="shared" si="12"/>
        <v>0.29799000000000003</v>
      </c>
      <c r="I88" s="13">
        <v>0</v>
      </c>
    </row>
    <row r="89" spans="1:9" ht="31.5" hidden="1" customHeight="1">
      <c r="A89" s="33"/>
      <c r="B89" s="15" t="s">
        <v>141</v>
      </c>
      <c r="C89" s="17" t="s">
        <v>79</v>
      </c>
      <c r="D89" s="41" t="s">
        <v>64</v>
      </c>
      <c r="E89" s="19">
        <v>6</v>
      </c>
      <c r="F89" s="13">
        <f t="shared" ref="F89:F94" si="13">E89</f>
        <v>6</v>
      </c>
      <c r="G89" s="13">
        <v>1564.44</v>
      </c>
      <c r="H89" s="103">
        <f t="shared" si="12"/>
        <v>9.3866399999999999</v>
      </c>
      <c r="I89" s="13">
        <v>0</v>
      </c>
    </row>
    <row r="90" spans="1:9" ht="31.5" hidden="1" customHeight="1">
      <c r="A90" s="33"/>
      <c r="B90" s="15" t="s">
        <v>142</v>
      </c>
      <c r="C90" s="17" t="s">
        <v>79</v>
      </c>
      <c r="D90" s="41" t="s">
        <v>64</v>
      </c>
      <c r="E90" s="19">
        <v>6</v>
      </c>
      <c r="F90" s="13">
        <f t="shared" si="13"/>
        <v>6</v>
      </c>
      <c r="G90" s="13">
        <v>1906.89</v>
      </c>
      <c r="H90" s="103">
        <f t="shared" si="12"/>
        <v>11.44134</v>
      </c>
      <c r="I90" s="13">
        <v>0</v>
      </c>
    </row>
    <row r="91" spans="1:9" ht="31.5" hidden="1" customHeight="1">
      <c r="A91" s="33"/>
      <c r="B91" s="15" t="s">
        <v>143</v>
      </c>
      <c r="C91" s="17" t="s">
        <v>79</v>
      </c>
      <c r="D91" s="41" t="s">
        <v>64</v>
      </c>
      <c r="E91" s="19">
        <v>6</v>
      </c>
      <c r="F91" s="13">
        <f t="shared" si="13"/>
        <v>6</v>
      </c>
      <c r="G91" s="13">
        <v>664.35</v>
      </c>
      <c r="H91" s="103">
        <f t="shared" si="12"/>
        <v>3.9861000000000004</v>
      </c>
      <c r="I91" s="13">
        <v>0</v>
      </c>
    </row>
    <row r="92" spans="1:9" ht="31.5" hidden="1" customHeight="1">
      <c r="A92" s="33"/>
      <c r="B92" s="15" t="s">
        <v>144</v>
      </c>
      <c r="C92" s="17" t="s">
        <v>79</v>
      </c>
      <c r="D92" s="41" t="s">
        <v>64</v>
      </c>
      <c r="E92" s="19">
        <v>6</v>
      </c>
      <c r="F92" s="13">
        <f t="shared" si="13"/>
        <v>6</v>
      </c>
      <c r="G92" s="13">
        <v>778.85</v>
      </c>
      <c r="H92" s="103">
        <f t="shared" si="12"/>
        <v>4.6731000000000007</v>
      </c>
      <c r="I92" s="13">
        <v>0</v>
      </c>
    </row>
    <row r="93" spans="1:9" ht="15.75" hidden="1" customHeight="1">
      <c r="A93" s="33"/>
      <c r="B93" s="15" t="s">
        <v>145</v>
      </c>
      <c r="C93" s="17" t="s">
        <v>118</v>
      </c>
      <c r="D93" s="41" t="s">
        <v>64</v>
      </c>
      <c r="E93" s="19">
        <v>4</v>
      </c>
      <c r="F93" s="13">
        <f t="shared" si="13"/>
        <v>4</v>
      </c>
      <c r="G93" s="13">
        <v>498.11</v>
      </c>
      <c r="H93" s="103">
        <f t="shared" si="12"/>
        <v>1.99244</v>
      </c>
      <c r="I93" s="13">
        <v>0</v>
      </c>
    </row>
    <row r="94" spans="1:9" ht="31.5" hidden="1" customHeight="1">
      <c r="A94" s="33"/>
      <c r="B94" s="15" t="s">
        <v>146</v>
      </c>
      <c r="C94" s="17" t="s">
        <v>79</v>
      </c>
      <c r="D94" s="41" t="s">
        <v>64</v>
      </c>
      <c r="E94" s="19">
        <v>6</v>
      </c>
      <c r="F94" s="13">
        <f t="shared" si="13"/>
        <v>6</v>
      </c>
      <c r="G94" s="13">
        <v>1264.3399999999999</v>
      </c>
      <c r="H94" s="103">
        <f t="shared" si="12"/>
        <v>7.5860399999999988</v>
      </c>
      <c r="I94" s="13">
        <v>0</v>
      </c>
    </row>
    <row r="95" spans="1:9" ht="15.75" hidden="1" customHeight="1">
      <c r="A95" s="33"/>
      <c r="B95" s="15" t="s">
        <v>147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2"/>
        <v>2.8108906600000001</v>
      </c>
      <c r="I95" s="13">
        <v>0</v>
      </c>
    </row>
    <row r="96" spans="1:9" ht="15.75" customHeight="1">
      <c r="A96" s="144" t="s">
        <v>152</v>
      </c>
      <c r="B96" s="145"/>
      <c r="C96" s="145"/>
      <c r="D96" s="145"/>
      <c r="E96" s="145"/>
      <c r="F96" s="145"/>
      <c r="G96" s="145"/>
      <c r="H96" s="145"/>
      <c r="I96" s="146"/>
    </row>
    <row r="97" spans="1:9" ht="15.75" customHeight="1">
      <c r="A97" s="33">
        <v>14</v>
      </c>
      <c r="B97" s="92" t="s">
        <v>122</v>
      </c>
      <c r="C97" s="17" t="s">
        <v>52</v>
      </c>
      <c r="D97" s="108"/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15</v>
      </c>
      <c r="B98" s="15" t="s">
        <v>75</v>
      </c>
      <c r="C98" s="17" t="s">
        <v>160</v>
      </c>
      <c r="D98" s="108"/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78</v>
      </c>
      <c r="C99" s="45"/>
      <c r="D99" s="16"/>
      <c r="E99" s="16"/>
      <c r="F99" s="16"/>
      <c r="G99" s="19"/>
      <c r="H99" s="19"/>
      <c r="I99" s="36">
        <f>I98+I97+I86+I59+I51+I44+I43+I42+I41+I40+I39+I27+I18+I17+I16</f>
        <v>23954.738769999996</v>
      </c>
    </row>
    <row r="100" spans="1:9" ht="15.75" customHeight="1">
      <c r="A100" s="147" t="s">
        <v>58</v>
      </c>
      <c r="B100" s="148"/>
      <c r="C100" s="148"/>
      <c r="D100" s="148"/>
      <c r="E100" s="148"/>
      <c r="F100" s="148"/>
      <c r="G100" s="148"/>
      <c r="H100" s="148"/>
      <c r="I100" s="149"/>
    </row>
    <row r="101" spans="1:9" ht="15.75" customHeight="1">
      <c r="A101" s="109">
        <v>16</v>
      </c>
      <c r="B101" s="112" t="s">
        <v>176</v>
      </c>
      <c r="C101" s="113" t="s">
        <v>177</v>
      </c>
      <c r="D101" s="112"/>
      <c r="E101" s="114"/>
      <c r="F101" s="115">
        <v>24</v>
      </c>
      <c r="G101" s="116">
        <v>1.4</v>
      </c>
      <c r="H101" s="117">
        <f>F101*G101/1000</f>
        <v>3.3599999999999991E-2</v>
      </c>
      <c r="I101" s="118">
        <f>G101*12</f>
        <v>16.799999999999997</v>
      </c>
    </row>
    <row r="102" spans="1:9" ht="31.5" customHeight="1">
      <c r="A102" s="109">
        <v>17</v>
      </c>
      <c r="B102" s="122" t="s">
        <v>178</v>
      </c>
      <c r="C102" s="123" t="s">
        <v>36</v>
      </c>
      <c r="D102" s="15"/>
      <c r="E102" s="19"/>
      <c r="F102" s="13">
        <v>0.03</v>
      </c>
      <c r="G102" s="40">
        <v>3914.31</v>
      </c>
      <c r="H102" s="103">
        <f>G102*F102/1000</f>
        <v>0.1174293</v>
      </c>
      <c r="I102" s="120">
        <f>G102*0.04</f>
        <v>156.57239999999999</v>
      </c>
    </row>
    <row r="103" spans="1:9" ht="18" customHeight="1">
      <c r="A103" s="109">
        <v>18</v>
      </c>
      <c r="B103" s="122" t="s">
        <v>190</v>
      </c>
      <c r="C103" s="123" t="s">
        <v>191</v>
      </c>
      <c r="D103" s="15"/>
      <c r="E103" s="19"/>
      <c r="F103" s="13">
        <v>2</v>
      </c>
      <c r="G103" s="40">
        <v>218</v>
      </c>
      <c r="H103" s="103">
        <f>G103*F103/1000</f>
        <v>0.436</v>
      </c>
      <c r="I103" s="110">
        <f>G103*1</f>
        <v>218</v>
      </c>
    </row>
    <row r="104" spans="1:9" ht="15.75" customHeight="1">
      <c r="A104" s="109">
        <v>19</v>
      </c>
      <c r="B104" s="122" t="s">
        <v>37</v>
      </c>
      <c r="C104" s="123" t="s">
        <v>192</v>
      </c>
      <c r="D104" s="15"/>
      <c r="E104" s="19"/>
      <c r="F104" s="13">
        <v>2</v>
      </c>
      <c r="G104" s="40">
        <v>8102.62</v>
      </c>
      <c r="H104" s="103">
        <f>G104*F104/1000</f>
        <v>16.20524</v>
      </c>
      <c r="I104" s="119">
        <f>G104*0.01</f>
        <v>81.026200000000003</v>
      </c>
    </row>
    <row r="105" spans="1:9" ht="15.75" customHeight="1">
      <c r="A105" s="109">
        <v>20</v>
      </c>
      <c r="B105" s="111" t="s">
        <v>193</v>
      </c>
      <c r="C105" s="45" t="s">
        <v>140</v>
      </c>
      <c r="D105" s="15"/>
      <c r="E105" s="19"/>
      <c r="F105" s="13">
        <f>1/10</f>
        <v>0.1</v>
      </c>
      <c r="G105" s="40">
        <v>1801.52</v>
      </c>
      <c r="H105" s="103">
        <f t="shared" ref="H105:H106" si="14">G105*F105/1000</f>
        <v>0.18015200000000001</v>
      </c>
      <c r="I105" s="119">
        <f>G105*0.3</f>
        <v>540.45600000000002</v>
      </c>
    </row>
    <row r="106" spans="1:9" ht="15.75" customHeight="1">
      <c r="A106" s="109">
        <v>21</v>
      </c>
      <c r="B106" s="122" t="s">
        <v>194</v>
      </c>
      <c r="C106" s="123" t="s">
        <v>195</v>
      </c>
      <c r="D106" s="15"/>
      <c r="E106" s="19"/>
      <c r="F106" s="13">
        <v>1</v>
      </c>
      <c r="G106" s="40">
        <v>888.82</v>
      </c>
      <c r="H106" s="103">
        <f t="shared" si="14"/>
        <v>0.88882000000000005</v>
      </c>
      <c r="I106" s="110">
        <f>G106*1</f>
        <v>888.82</v>
      </c>
    </row>
    <row r="107" spans="1:9" ht="15.75" customHeight="1">
      <c r="A107" s="109">
        <v>22</v>
      </c>
      <c r="B107" s="122" t="s">
        <v>80</v>
      </c>
      <c r="C107" s="123" t="s">
        <v>110</v>
      </c>
      <c r="D107" s="15"/>
      <c r="E107" s="19"/>
      <c r="F107" s="13"/>
      <c r="G107" s="40">
        <v>207.55</v>
      </c>
      <c r="H107" s="103"/>
      <c r="I107" s="110">
        <f>G107*1</f>
        <v>207.55</v>
      </c>
    </row>
    <row r="108" spans="1:9" ht="15.75" customHeight="1">
      <c r="A108" s="109">
        <v>23</v>
      </c>
      <c r="B108" s="122" t="s">
        <v>196</v>
      </c>
      <c r="C108" s="123" t="s">
        <v>197</v>
      </c>
      <c r="D108" s="15"/>
      <c r="E108" s="19"/>
      <c r="F108" s="13"/>
      <c r="G108" s="40">
        <v>45</v>
      </c>
      <c r="H108" s="103"/>
      <c r="I108" s="110">
        <f>G108*25</f>
        <v>1125</v>
      </c>
    </row>
    <row r="109" spans="1:9" ht="17.25" customHeight="1">
      <c r="A109" s="109">
        <v>24</v>
      </c>
      <c r="B109" s="122" t="s">
        <v>198</v>
      </c>
      <c r="C109" s="123" t="s">
        <v>110</v>
      </c>
      <c r="D109" s="15"/>
      <c r="E109" s="19"/>
      <c r="F109" s="13"/>
      <c r="G109" s="40">
        <v>1133.92</v>
      </c>
      <c r="H109" s="103"/>
      <c r="I109" s="110">
        <f>G109*3</f>
        <v>3401.76</v>
      </c>
    </row>
    <row r="110" spans="1:9" ht="34.5" customHeight="1">
      <c r="A110" s="109">
        <v>25</v>
      </c>
      <c r="B110" s="122" t="s">
        <v>199</v>
      </c>
      <c r="C110" s="123" t="s">
        <v>110</v>
      </c>
      <c r="D110" s="15"/>
      <c r="E110" s="19"/>
      <c r="F110" s="13"/>
      <c r="G110" s="40">
        <v>864.44</v>
      </c>
      <c r="H110" s="103"/>
      <c r="I110" s="110">
        <f>G110*1</f>
        <v>864.44</v>
      </c>
    </row>
    <row r="111" spans="1:9" ht="15.75" customHeight="1">
      <c r="A111" s="109">
        <v>26</v>
      </c>
      <c r="B111" s="122" t="s">
        <v>200</v>
      </c>
      <c r="C111" s="123" t="s">
        <v>110</v>
      </c>
      <c r="D111" s="15"/>
      <c r="E111" s="19"/>
      <c r="F111" s="13"/>
      <c r="G111" s="40">
        <v>70</v>
      </c>
      <c r="H111" s="103"/>
      <c r="I111" s="110">
        <f>G111*3</f>
        <v>210</v>
      </c>
    </row>
    <row r="112" spans="1:9" ht="15.75" customHeight="1">
      <c r="A112" s="109">
        <v>27</v>
      </c>
      <c r="B112" s="122" t="s">
        <v>201</v>
      </c>
      <c r="C112" s="123" t="s">
        <v>110</v>
      </c>
      <c r="D112" s="15"/>
      <c r="E112" s="19"/>
      <c r="F112" s="13"/>
      <c r="G112" s="40">
        <v>62</v>
      </c>
      <c r="H112" s="103"/>
      <c r="I112" s="110">
        <f>G112*2</f>
        <v>124</v>
      </c>
    </row>
    <row r="113" spans="1:9" ht="15.75" customHeight="1">
      <c r="A113" s="109">
        <v>28</v>
      </c>
      <c r="B113" s="122" t="s">
        <v>202</v>
      </c>
      <c r="C113" s="123" t="s">
        <v>110</v>
      </c>
      <c r="D113" s="15"/>
      <c r="E113" s="19"/>
      <c r="F113" s="13"/>
      <c r="G113" s="40">
        <v>67</v>
      </c>
      <c r="H113" s="103"/>
      <c r="I113" s="110">
        <f>G113*1</f>
        <v>67</v>
      </c>
    </row>
    <row r="114" spans="1:9" ht="15.75" customHeight="1">
      <c r="A114" s="109">
        <v>29</v>
      </c>
      <c r="B114" s="122" t="s">
        <v>203</v>
      </c>
      <c r="C114" s="123" t="s">
        <v>110</v>
      </c>
      <c r="D114" s="15"/>
      <c r="E114" s="19"/>
      <c r="F114" s="13"/>
      <c r="G114" s="40">
        <v>98</v>
      </c>
      <c r="H114" s="103"/>
      <c r="I114" s="110">
        <f>G114*1</f>
        <v>98</v>
      </c>
    </row>
    <row r="115" spans="1:9" ht="15.75" customHeight="1">
      <c r="A115" s="109">
        <v>30</v>
      </c>
      <c r="B115" s="122" t="s">
        <v>204</v>
      </c>
      <c r="C115" s="123" t="s">
        <v>110</v>
      </c>
      <c r="D115" s="15"/>
      <c r="E115" s="19"/>
      <c r="F115" s="13"/>
      <c r="G115" s="40">
        <v>235</v>
      </c>
      <c r="H115" s="103"/>
      <c r="I115" s="110">
        <f>G115*2</f>
        <v>470</v>
      </c>
    </row>
    <row r="116" spans="1:9" ht="30.75" customHeight="1">
      <c r="A116" s="109">
        <v>31</v>
      </c>
      <c r="B116" s="122" t="s">
        <v>77</v>
      </c>
      <c r="C116" s="123" t="s">
        <v>110</v>
      </c>
      <c r="D116" s="15"/>
      <c r="E116" s="19"/>
      <c r="F116" s="13"/>
      <c r="G116" s="40">
        <v>91.11</v>
      </c>
      <c r="H116" s="103"/>
      <c r="I116" s="110">
        <f>G116*10</f>
        <v>911.1</v>
      </c>
    </row>
    <row r="117" spans="1:9" ht="35.25" customHeight="1">
      <c r="A117" s="109">
        <v>32</v>
      </c>
      <c r="B117" s="122" t="s">
        <v>205</v>
      </c>
      <c r="C117" s="123" t="s">
        <v>110</v>
      </c>
      <c r="D117" s="15"/>
      <c r="E117" s="19"/>
      <c r="F117" s="13"/>
      <c r="G117" s="40">
        <v>211.63</v>
      </c>
      <c r="H117" s="103"/>
      <c r="I117" s="110">
        <f>G117*1</f>
        <v>211.63</v>
      </c>
    </row>
    <row r="118" spans="1:9" ht="30" customHeight="1">
      <c r="A118" s="109">
        <v>33</v>
      </c>
      <c r="B118" s="122" t="s">
        <v>206</v>
      </c>
      <c r="C118" s="123" t="s">
        <v>110</v>
      </c>
      <c r="D118" s="15"/>
      <c r="E118" s="19"/>
      <c r="F118" s="13"/>
      <c r="G118" s="40">
        <v>2510.73</v>
      </c>
      <c r="H118" s="103"/>
      <c r="I118" s="110">
        <f>G118*1</f>
        <v>2510.73</v>
      </c>
    </row>
    <row r="119" spans="1:9" ht="30.75" customHeight="1">
      <c r="A119" s="109">
        <v>34</v>
      </c>
      <c r="B119" s="41" t="s">
        <v>188</v>
      </c>
      <c r="C119" s="42" t="s">
        <v>97</v>
      </c>
      <c r="D119" s="15"/>
      <c r="E119" s="19"/>
      <c r="F119" s="13"/>
      <c r="G119" s="40">
        <v>19757.060000000001</v>
      </c>
      <c r="H119" s="103"/>
      <c r="I119" s="110">
        <f>G119*0.599*4/1000+0.002*G119</f>
        <v>86.852035760000007</v>
      </c>
    </row>
    <row r="120" spans="1:9" ht="15.75" customHeight="1">
      <c r="A120" s="33"/>
      <c r="B120" s="50" t="s">
        <v>49</v>
      </c>
      <c r="C120" s="46"/>
      <c r="D120" s="58"/>
      <c r="E120" s="46">
        <v>1</v>
      </c>
      <c r="F120" s="46"/>
      <c r="G120" s="46"/>
      <c r="H120" s="46"/>
      <c r="I120" s="36">
        <f>SUM(I101:I119)</f>
        <v>12189.736635759999</v>
      </c>
    </row>
    <row r="121" spans="1:9" ht="15.75" customHeight="1">
      <c r="A121" s="33"/>
      <c r="B121" s="56" t="s">
        <v>76</v>
      </c>
      <c r="C121" s="16"/>
      <c r="D121" s="16"/>
      <c r="E121" s="47"/>
      <c r="F121" s="47"/>
      <c r="G121" s="48"/>
      <c r="H121" s="48"/>
      <c r="I121" s="18">
        <v>0</v>
      </c>
    </row>
    <row r="122" spans="1:9" ht="15.75" customHeight="1">
      <c r="A122" s="59"/>
      <c r="B122" s="51" t="s">
        <v>161</v>
      </c>
      <c r="C122" s="38"/>
      <c r="D122" s="38"/>
      <c r="E122" s="38"/>
      <c r="F122" s="38"/>
      <c r="G122" s="38"/>
      <c r="H122" s="38"/>
      <c r="I122" s="49">
        <f>I99+I120</f>
        <v>36144.475405759993</v>
      </c>
    </row>
    <row r="123" spans="1:9" ht="15.75" customHeight="1">
      <c r="A123" s="136" t="s">
        <v>223</v>
      </c>
      <c r="B123" s="136"/>
      <c r="C123" s="136"/>
      <c r="D123" s="136"/>
      <c r="E123" s="136"/>
      <c r="F123" s="136"/>
      <c r="G123" s="136"/>
      <c r="H123" s="136"/>
      <c r="I123" s="136"/>
    </row>
    <row r="124" spans="1:9" ht="15.75" customHeight="1">
      <c r="A124" s="80"/>
      <c r="B124" s="150" t="s">
        <v>224</v>
      </c>
      <c r="C124" s="150"/>
      <c r="D124" s="150"/>
      <c r="E124" s="150"/>
      <c r="F124" s="150"/>
      <c r="G124" s="150"/>
      <c r="H124" s="90"/>
      <c r="I124" s="3"/>
    </row>
    <row r="125" spans="1:9" ht="15.75" customHeight="1">
      <c r="A125" s="74"/>
      <c r="B125" s="151" t="s">
        <v>6</v>
      </c>
      <c r="C125" s="151"/>
      <c r="D125" s="151"/>
      <c r="E125" s="151"/>
      <c r="F125" s="151"/>
      <c r="G125" s="151"/>
      <c r="H125" s="28"/>
      <c r="I125" s="5"/>
    </row>
    <row r="126" spans="1:9" ht="15.75" customHeight="1">
      <c r="A126" s="9"/>
      <c r="B126" s="9"/>
      <c r="C126" s="9"/>
      <c r="D126" s="9"/>
      <c r="E126" s="9"/>
      <c r="F126" s="9"/>
      <c r="G126" s="9"/>
      <c r="H126" s="9"/>
      <c r="I126" s="9"/>
    </row>
    <row r="127" spans="1:9" ht="15.75" customHeight="1">
      <c r="A127" s="135" t="s">
        <v>7</v>
      </c>
      <c r="B127" s="135"/>
      <c r="C127" s="135"/>
      <c r="D127" s="135"/>
      <c r="E127" s="135"/>
      <c r="F127" s="135"/>
      <c r="G127" s="135"/>
      <c r="H127" s="135"/>
      <c r="I127" s="135"/>
    </row>
    <row r="128" spans="1:9" ht="15.75" customHeight="1">
      <c r="A128" s="135" t="s">
        <v>8</v>
      </c>
      <c r="B128" s="135"/>
      <c r="C128" s="135"/>
      <c r="D128" s="135"/>
      <c r="E128" s="135"/>
      <c r="F128" s="135"/>
      <c r="G128" s="135"/>
      <c r="H128" s="135"/>
      <c r="I128" s="135"/>
    </row>
    <row r="129" spans="1:9" ht="15.75" customHeight="1">
      <c r="A129" s="155" t="s">
        <v>59</v>
      </c>
      <c r="B129" s="155"/>
      <c r="C129" s="155"/>
      <c r="D129" s="155"/>
      <c r="E129" s="155"/>
      <c r="F129" s="155"/>
      <c r="G129" s="155"/>
      <c r="H129" s="155"/>
      <c r="I129" s="155"/>
    </row>
    <row r="130" spans="1:9" ht="15.75" customHeight="1">
      <c r="A130" s="10"/>
    </row>
    <row r="131" spans="1:9" ht="15.75" customHeight="1">
      <c r="A131" s="156" t="s">
        <v>9</v>
      </c>
      <c r="B131" s="156"/>
      <c r="C131" s="156"/>
      <c r="D131" s="156"/>
      <c r="E131" s="156"/>
      <c r="F131" s="156"/>
      <c r="G131" s="156"/>
      <c r="H131" s="156"/>
      <c r="I131" s="156"/>
    </row>
    <row r="132" spans="1:9" ht="15.75" customHeight="1">
      <c r="A132" s="4"/>
    </row>
    <row r="133" spans="1:9" ht="15.75" customHeight="1">
      <c r="B133" s="77" t="s">
        <v>10</v>
      </c>
      <c r="C133" s="157" t="s">
        <v>85</v>
      </c>
      <c r="D133" s="157"/>
      <c r="E133" s="157"/>
      <c r="F133" s="88"/>
      <c r="I133" s="76"/>
    </row>
    <row r="134" spans="1:9" ht="15.75" customHeight="1">
      <c r="A134" s="74"/>
      <c r="C134" s="151" t="s">
        <v>11</v>
      </c>
      <c r="D134" s="151"/>
      <c r="E134" s="151"/>
      <c r="F134" s="28"/>
      <c r="I134" s="75" t="s">
        <v>12</v>
      </c>
    </row>
    <row r="135" spans="1:9" ht="15.75" customHeight="1">
      <c r="A135" s="29"/>
      <c r="C135" s="11"/>
      <c r="D135" s="11"/>
      <c r="G135" s="11"/>
      <c r="H135" s="11"/>
    </row>
    <row r="136" spans="1:9" ht="15.75" customHeight="1">
      <c r="B136" s="77" t="s">
        <v>13</v>
      </c>
      <c r="C136" s="152"/>
      <c r="D136" s="152"/>
      <c r="E136" s="152"/>
      <c r="F136" s="89"/>
      <c r="I136" s="76"/>
    </row>
    <row r="137" spans="1:9" ht="15.75" customHeight="1">
      <c r="A137" s="74"/>
      <c r="C137" s="131" t="s">
        <v>11</v>
      </c>
      <c r="D137" s="131"/>
      <c r="E137" s="131"/>
      <c r="F137" s="74"/>
      <c r="I137" s="75" t="s">
        <v>12</v>
      </c>
    </row>
    <row r="138" spans="1:9" ht="15.75" customHeight="1">
      <c r="A138" s="4" t="s">
        <v>14</v>
      </c>
    </row>
    <row r="139" spans="1:9" ht="15.75" customHeight="1">
      <c r="A139" s="154" t="s">
        <v>15</v>
      </c>
      <c r="B139" s="154"/>
      <c r="C139" s="154"/>
      <c r="D139" s="154"/>
      <c r="E139" s="154"/>
      <c r="F139" s="154"/>
      <c r="G139" s="154"/>
      <c r="H139" s="154"/>
      <c r="I139" s="154"/>
    </row>
    <row r="140" spans="1:9" ht="45" customHeight="1">
      <c r="A140" s="153" t="s">
        <v>16</v>
      </c>
      <c r="B140" s="153"/>
      <c r="C140" s="153"/>
      <c r="D140" s="153"/>
      <c r="E140" s="153"/>
      <c r="F140" s="153"/>
      <c r="G140" s="153"/>
      <c r="H140" s="153"/>
      <c r="I140" s="153"/>
    </row>
    <row r="141" spans="1:9" ht="30" customHeight="1">
      <c r="A141" s="153" t="s">
        <v>17</v>
      </c>
      <c r="B141" s="153"/>
      <c r="C141" s="153"/>
      <c r="D141" s="153"/>
      <c r="E141" s="153"/>
      <c r="F141" s="153"/>
      <c r="G141" s="153"/>
      <c r="H141" s="153"/>
      <c r="I141" s="153"/>
    </row>
    <row r="142" spans="1:9" ht="30" customHeight="1">
      <c r="A142" s="153" t="s">
        <v>21</v>
      </c>
      <c r="B142" s="153"/>
      <c r="C142" s="153"/>
      <c r="D142" s="153"/>
      <c r="E142" s="153"/>
      <c r="F142" s="153"/>
      <c r="G142" s="153"/>
      <c r="H142" s="153"/>
      <c r="I142" s="153"/>
    </row>
    <row r="143" spans="1:9" ht="15" customHeight="1">
      <c r="A143" s="153" t="s">
        <v>20</v>
      </c>
      <c r="B143" s="153"/>
      <c r="C143" s="153"/>
      <c r="D143" s="153"/>
      <c r="E143" s="153"/>
      <c r="F143" s="153"/>
      <c r="G143" s="153"/>
      <c r="H143" s="153"/>
      <c r="I143" s="153"/>
    </row>
  </sheetData>
  <autoFilter ref="I12:I72"/>
  <mergeCells count="29">
    <mergeCell ref="A139:I139"/>
    <mergeCell ref="A140:I140"/>
    <mergeCell ref="A141:I141"/>
    <mergeCell ref="A142:I142"/>
    <mergeCell ref="A143:I143"/>
    <mergeCell ref="R76:U76"/>
    <mergeCell ref="C137:E137"/>
    <mergeCell ref="A100:I100"/>
    <mergeCell ref="A123:I123"/>
    <mergeCell ref="B124:G124"/>
    <mergeCell ref="B125:G125"/>
    <mergeCell ref="A127:I127"/>
    <mergeCell ref="A128:I128"/>
    <mergeCell ref="A129:I129"/>
    <mergeCell ref="A131:I131"/>
    <mergeCell ref="C133:E133"/>
    <mergeCell ref="C134:E134"/>
    <mergeCell ref="C136:E136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31"/>
  <sheetViews>
    <sheetView workbookViewId="0">
      <selection activeCell="J97" sqref="J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179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37" t="s">
        <v>163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123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207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43190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180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148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57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3">
        <v>1</v>
      </c>
      <c r="B16" s="92" t="s">
        <v>84</v>
      </c>
      <c r="C16" s="93" t="s">
        <v>86</v>
      </c>
      <c r="D16" s="92" t="s">
        <v>233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124</v>
      </c>
      <c r="C17" s="93" t="s">
        <v>86</v>
      </c>
      <c r="D17" s="92" t="s">
        <v>234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87</v>
      </c>
      <c r="C18" s="93" t="s">
        <v>86</v>
      </c>
      <c r="D18" s="92" t="s">
        <v>235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/>
      <c r="B19" s="92" t="s">
        <v>88</v>
      </c>
      <c r="C19" s="93" t="s">
        <v>89</v>
      </c>
      <c r="D19" s="92" t="s">
        <v>90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92" t="s">
        <v>95</v>
      </c>
      <c r="C20" s="93" t="s">
        <v>50</v>
      </c>
      <c r="D20" s="92" t="s">
        <v>125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v>0</v>
      </c>
      <c r="J20" s="26"/>
      <c r="K20" s="8"/>
      <c r="L20" s="8"/>
      <c r="M20" s="8"/>
    </row>
    <row r="21" spans="1:13" ht="15.75" hidden="1" customHeight="1">
      <c r="A21" s="33">
        <v>5</v>
      </c>
      <c r="B21" s="92" t="s">
        <v>91</v>
      </c>
      <c r="C21" s="93" t="s">
        <v>86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v>0</v>
      </c>
      <c r="J21" s="26"/>
      <c r="K21" s="8"/>
      <c r="L21" s="8"/>
      <c r="M21" s="8"/>
    </row>
    <row r="22" spans="1:13" ht="15.75" hidden="1" customHeight="1">
      <c r="A22" s="33"/>
      <c r="B22" s="92" t="s">
        <v>92</v>
      </c>
      <c r="C22" s="93" t="s">
        <v>86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92" t="s">
        <v>93</v>
      </c>
      <c r="C23" s="93" t="s">
        <v>50</v>
      </c>
      <c r="D23" s="92" t="s">
        <v>90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92" t="s">
        <v>94</v>
      </c>
      <c r="C24" s="93" t="s">
        <v>50</v>
      </c>
      <c r="D24" s="92" t="s">
        <v>90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v>0</v>
      </c>
      <c r="J24" s="26"/>
      <c r="K24" s="8"/>
      <c r="L24" s="8"/>
      <c r="M24" s="8"/>
    </row>
    <row r="25" spans="1:13" ht="15.75" hidden="1" customHeight="1">
      <c r="A25" s="45">
        <v>6</v>
      </c>
      <c r="B25" s="92" t="s">
        <v>96</v>
      </c>
      <c r="C25" s="93" t="s">
        <v>50</v>
      </c>
      <c r="D25" s="92" t="s">
        <v>90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v>0</v>
      </c>
      <c r="J25" s="26"/>
      <c r="K25" s="8"/>
      <c r="L25" s="8"/>
      <c r="M25" s="8"/>
    </row>
    <row r="26" spans="1:13" ht="15.75" hidden="1" customHeight="1">
      <c r="A26" s="45"/>
      <c r="B26" s="92" t="s">
        <v>126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v>0</v>
      </c>
      <c r="J26" s="26"/>
      <c r="K26" s="8"/>
      <c r="L26" s="8"/>
      <c r="M26" s="8"/>
    </row>
    <row r="27" spans="1:13" ht="15.75" customHeight="1">
      <c r="A27" s="45">
        <v>4</v>
      </c>
      <c r="B27" s="92" t="s">
        <v>220</v>
      </c>
      <c r="C27" s="44" t="s">
        <v>177</v>
      </c>
      <c r="D27" s="127" t="s">
        <v>237</v>
      </c>
      <c r="E27" s="128">
        <v>2.5099999999999998</v>
      </c>
      <c r="F27" s="129">
        <f>E27*258</f>
        <v>647.57999999999993</v>
      </c>
      <c r="G27" s="129">
        <v>10.39</v>
      </c>
      <c r="H27" s="96">
        <f t="shared" ref="H27" si="1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3" t="s">
        <v>82</v>
      </c>
      <c r="B28" s="143"/>
      <c r="C28" s="143"/>
      <c r="D28" s="143"/>
      <c r="E28" s="143"/>
      <c r="F28" s="143"/>
      <c r="G28" s="143"/>
      <c r="H28" s="143"/>
      <c r="I28" s="143"/>
      <c r="J28" s="26"/>
      <c r="K28" s="8"/>
      <c r="L28" s="8"/>
      <c r="M28" s="8"/>
    </row>
    <row r="29" spans="1:13" ht="15.75" hidden="1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hidden="1" customHeight="1">
      <c r="A30" s="45">
        <v>2</v>
      </c>
      <c r="B30" s="92" t="s">
        <v>154</v>
      </c>
      <c r="C30" s="93" t="s">
        <v>97</v>
      </c>
      <c r="D30" s="92" t="s">
        <v>98</v>
      </c>
      <c r="E30" s="95">
        <v>306.55</v>
      </c>
      <c r="F30" s="95">
        <f>SUM(E30*52/1000)</f>
        <v>15.9406</v>
      </c>
      <c r="G30" s="95">
        <v>193.97</v>
      </c>
      <c r="H30" s="96">
        <f t="shared" ref="H30:H36" si="2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hidden="1" customHeight="1">
      <c r="A31" s="45">
        <v>3</v>
      </c>
      <c r="B31" s="92" t="s">
        <v>99</v>
      </c>
      <c r="C31" s="93" t="s">
        <v>97</v>
      </c>
      <c r="D31" s="92" t="s">
        <v>100</v>
      </c>
      <c r="E31" s="95">
        <v>42.5</v>
      </c>
      <c r="F31" s="95">
        <f>SUM(E31*78/1000)</f>
        <v>3.3149999999999999</v>
      </c>
      <c r="G31" s="95">
        <v>321.82</v>
      </c>
      <c r="H31" s="96">
        <f t="shared" si="2"/>
        <v>1.0668333000000001</v>
      </c>
      <c r="I31" s="13">
        <f t="shared" ref="I31:I34" si="3">F31/6*G31</f>
        <v>177.80554999999998</v>
      </c>
      <c r="J31" s="26"/>
      <c r="K31" s="8"/>
      <c r="L31" s="8"/>
      <c r="M31" s="8"/>
    </row>
    <row r="32" spans="1:13" ht="15.75" hidden="1" customHeight="1">
      <c r="A32" s="45">
        <v>4</v>
      </c>
      <c r="B32" s="92" t="s">
        <v>153</v>
      </c>
      <c r="C32" s="93" t="s">
        <v>97</v>
      </c>
      <c r="D32" s="92" t="s">
        <v>51</v>
      </c>
      <c r="E32" s="95">
        <v>306.55</v>
      </c>
      <c r="F32" s="95">
        <f>SUM(E32/1000)</f>
        <v>0.30654999999999999</v>
      </c>
      <c r="G32" s="95">
        <v>3758.28</v>
      </c>
      <c r="H32" s="96">
        <f t="shared" si="2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hidden="1" customHeight="1">
      <c r="A33" s="45"/>
      <c r="B33" s="92" t="s">
        <v>127</v>
      </c>
      <c r="C33" s="93" t="s">
        <v>38</v>
      </c>
      <c r="D33" s="92" t="s">
        <v>61</v>
      </c>
      <c r="E33" s="95">
        <v>3</v>
      </c>
      <c r="F33" s="95">
        <f>E33*155/100</f>
        <v>4.6500000000000004</v>
      </c>
      <c r="G33" s="95">
        <v>1620.15</v>
      </c>
      <c r="H33" s="96">
        <f t="shared" si="2"/>
        <v>7.5336975000000015</v>
      </c>
      <c r="I33" s="13">
        <f t="shared" si="3"/>
        <v>1255.61625</v>
      </c>
      <c r="J33" s="26"/>
      <c r="K33" s="8"/>
      <c r="L33" s="8"/>
      <c r="M33" s="8"/>
    </row>
    <row r="34" spans="1:14" ht="15.75" hidden="1" customHeight="1">
      <c r="A34" s="45">
        <v>5</v>
      </c>
      <c r="B34" s="92" t="s">
        <v>101</v>
      </c>
      <c r="C34" s="93" t="s">
        <v>28</v>
      </c>
      <c r="D34" s="92" t="s">
        <v>61</v>
      </c>
      <c r="E34" s="99">
        <f>1/3</f>
        <v>0.33333333333333331</v>
      </c>
      <c r="F34" s="95">
        <f>155/3</f>
        <v>51.666666666666664</v>
      </c>
      <c r="G34" s="95">
        <v>70.540000000000006</v>
      </c>
      <c r="H34" s="96">
        <f t="shared" si="2"/>
        <v>3.6445666666666665</v>
      </c>
      <c r="I34" s="13">
        <f t="shared" si="3"/>
        <v>607.42777777777781</v>
      </c>
      <c r="J34" s="26"/>
      <c r="K34" s="8"/>
      <c r="L34" s="8"/>
      <c r="M34" s="8"/>
    </row>
    <row r="35" spans="1:14" ht="15.75" hidden="1" customHeight="1">
      <c r="A35" s="45">
        <v>4</v>
      </c>
      <c r="B35" s="92" t="s">
        <v>62</v>
      </c>
      <c r="C35" s="93" t="s">
        <v>30</v>
      </c>
      <c r="D35" s="92" t="s">
        <v>64</v>
      </c>
      <c r="E35" s="94"/>
      <c r="F35" s="95">
        <v>2</v>
      </c>
      <c r="G35" s="95">
        <v>238.07</v>
      </c>
      <c r="H35" s="96">
        <f t="shared" si="2"/>
        <v>0.47614000000000001</v>
      </c>
      <c r="I35" s="13">
        <v>0</v>
      </c>
      <c r="J35" s="26"/>
      <c r="K35" s="8"/>
    </row>
    <row r="36" spans="1:14" ht="15.75" hidden="1" customHeight="1">
      <c r="A36" s="33">
        <v>8</v>
      </c>
      <c r="B36" s="92" t="s">
        <v>63</v>
      </c>
      <c r="C36" s="93" t="s">
        <v>29</v>
      </c>
      <c r="D36" s="92" t="s">
        <v>64</v>
      </c>
      <c r="E36" s="94"/>
      <c r="F36" s="95">
        <v>3</v>
      </c>
      <c r="G36" s="95">
        <v>1413.96</v>
      </c>
      <c r="H36" s="96">
        <f t="shared" si="2"/>
        <v>4.2418800000000001</v>
      </c>
      <c r="I36" s="13">
        <v>0</v>
      </c>
      <c r="J36" s="27"/>
    </row>
    <row r="37" spans="1:14" ht="15.75" customHeight="1">
      <c r="A37" s="45"/>
      <c r="B37" s="53" t="s">
        <v>5</v>
      </c>
      <c r="C37" s="53"/>
      <c r="D37" s="53"/>
      <c r="E37" s="13"/>
      <c r="F37" s="13"/>
      <c r="G37" s="14"/>
      <c r="H37" s="14"/>
      <c r="I37" s="19"/>
      <c r="J37" s="27"/>
    </row>
    <row r="38" spans="1:14" ht="15.75" customHeight="1">
      <c r="A38" s="37">
        <v>5</v>
      </c>
      <c r="B38" s="92" t="s">
        <v>25</v>
      </c>
      <c r="C38" s="93" t="s">
        <v>29</v>
      </c>
      <c r="D38" s="130">
        <v>43537</v>
      </c>
      <c r="E38" s="94"/>
      <c r="F38" s="95">
        <v>2</v>
      </c>
      <c r="G38" s="95">
        <v>1900.37</v>
      </c>
      <c r="H38" s="96">
        <f t="shared" ref="H38:H43" si="4">SUM(F38*G38/1000)</f>
        <v>3.8007399999999998</v>
      </c>
      <c r="I38" s="13">
        <f>G38*1.2</f>
        <v>2280.444</v>
      </c>
      <c r="J38" s="27"/>
    </row>
    <row r="39" spans="1:14" ht="15.75" customHeight="1">
      <c r="A39" s="37">
        <v>6</v>
      </c>
      <c r="B39" s="92" t="s">
        <v>65</v>
      </c>
      <c r="C39" s="93" t="s">
        <v>27</v>
      </c>
      <c r="D39" s="92" t="s">
        <v>244</v>
      </c>
      <c r="E39" s="95">
        <v>42.5</v>
      </c>
      <c r="F39" s="95">
        <f>SUM(E39*30/1000)</f>
        <v>1.2749999999999999</v>
      </c>
      <c r="G39" s="95">
        <v>2616.4899999999998</v>
      </c>
      <c r="H39" s="96">
        <f t="shared" si="4"/>
        <v>3.3360247499999995</v>
      </c>
      <c r="I39" s="13">
        <f t="shared" ref="I39:I41" si="5">F39/6*G39</f>
        <v>556.00412499999993</v>
      </c>
      <c r="J39" s="27"/>
    </row>
    <row r="40" spans="1:14" ht="15.75" customHeight="1">
      <c r="A40" s="37">
        <v>7</v>
      </c>
      <c r="B40" s="92" t="s">
        <v>66</v>
      </c>
      <c r="C40" s="93" t="s">
        <v>27</v>
      </c>
      <c r="D40" s="92" t="s">
        <v>243</v>
      </c>
      <c r="E40" s="95">
        <v>42.5</v>
      </c>
      <c r="F40" s="95">
        <f>SUM(E40*155/1000)</f>
        <v>6.5875000000000004</v>
      </c>
      <c r="G40" s="95">
        <v>436.45</v>
      </c>
      <c r="H40" s="96">
        <f t="shared" si="4"/>
        <v>2.8751143749999999</v>
      </c>
      <c r="I40" s="13">
        <f t="shared" si="5"/>
        <v>479.18572916666665</v>
      </c>
      <c r="J40" s="27"/>
    </row>
    <row r="41" spans="1:14" ht="47.25" customHeight="1">
      <c r="A41" s="37">
        <v>8</v>
      </c>
      <c r="B41" s="92" t="s">
        <v>81</v>
      </c>
      <c r="C41" s="93" t="s">
        <v>97</v>
      </c>
      <c r="D41" s="92" t="s">
        <v>244</v>
      </c>
      <c r="E41" s="95">
        <v>42.5</v>
      </c>
      <c r="F41" s="95">
        <f>SUM(E41*35/1000)</f>
        <v>1.4875</v>
      </c>
      <c r="G41" s="95">
        <v>7221.21</v>
      </c>
      <c r="H41" s="96">
        <f t="shared" si="4"/>
        <v>10.741549875</v>
      </c>
      <c r="I41" s="13">
        <f t="shared" si="5"/>
        <v>1790.2583125000001</v>
      </c>
      <c r="J41" s="27"/>
    </row>
    <row r="42" spans="1:14" ht="15.75" customHeight="1">
      <c r="A42" s="37">
        <v>9</v>
      </c>
      <c r="B42" s="92" t="s">
        <v>105</v>
      </c>
      <c r="C42" s="93" t="s">
        <v>97</v>
      </c>
      <c r="D42" s="92" t="s">
        <v>245</v>
      </c>
      <c r="E42" s="95">
        <v>42.5</v>
      </c>
      <c r="F42" s="95">
        <f>SUM(E42*20/1000)</f>
        <v>0.85</v>
      </c>
      <c r="G42" s="95">
        <v>533.45000000000005</v>
      </c>
      <c r="H42" s="96">
        <f t="shared" si="4"/>
        <v>0.45343250000000002</v>
      </c>
      <c r="I42" s="13">
        <f>(F42/7.5*1.5)*G42</f>
        <v>90.686499999999995</v>
      </c>
      <c r="J42" s="27"/>
      <c r="L42" s="21"/>
      <c r="M42" s="22"/>
      <c r="N42" s="23"/>
    </row>
    <row r="43" spans="1:14" ht="15.75" customHeight="1">
      <c r="A43" s="37">
        <v>10</v>
      </c>
      <c r="B43" s="92" t="s">
        <v>67</v>
      </c>
      <c r="C43" s="93" t="s">
        <v>30</v>
      </c>
      <c r="D43" s="92"/>
      <c r="E43" s="94"/>
      <c r="F43" s="95">
        <v>0.5</v>
      </c>
      <c r="G43" s="95">
        <v>992.97</v>
      </c>
      <c r="H43" s="96">
        <f t="shared" si="4"/>
        <v>0.49648500000000001</v>
      </c>
      <c r="I43" s="13">
        <f>(F43/7.5*1.5)*G43</f>
        <v>99.297000000000011</v>
      </c>
      <c r="J43" s="27"/>
      <c r="L43" s="21"/>
      <c r="M43" s="22"/>
      <c r="N43" s="23"/>
    </row>
    <row r="44" spans="1:14" ht="15.75" hidden="1" customHeight="1">
      <c r="A44" s="132" t="s">
        <v>150</v>
      </c>
      <c r="B44" s="133"/>
      <c r="C44" s="133"/>
      <c r="D44" s="133"/>
      <c r="E44" s="133"/>
      <c r="F44" s="133"/>
      <c r="G44" s="133"/>
      <c r="H44" s="133"/>
      <c r="I44" s="134"/>
      <c r="J44" s="27"/>
      <c r="L44" s="21"/>
      <c r="M44" s="22"/>
      <c r="N44" s="23"/>
    </row>
    <row r="45" spans="1:14" ht="15.75" hidden="1" customHeight="1">
      <c r="A45" s="45">
        <v>15</v>
      </c>
      <c r="B45" s="92" t="s">
        <v>107</v>
      </c>
      <c r="C45" s="93" t="s">
        <v>97</v>
      </c>
      <c r="D45" s="92" t="s">
        <v>40</v>
      </c>
      <c r="E45" s="94">
        <v>1060.4000000000001</v>
      </c>
      <c r="F45" s="95">
        <f>SUM(E45*2/1000)</f>
        <v>2.1208</v>
      </c>
      <c r="G45" s="13">
        <v>1283.46</v>
      </c>
      <c r="H45" s="96">
        <f t="shared" ref="H45:H55" si="6">SUM(F45*G45/1000)</f>
        <v>2.721961968</v>
      </c>
      <c r="I45" s="13">
        <v>0</v>
      </c>
      <c r="J45" s="27"/>
      <c r="L45" s="21"/>
      <c r="M45" s="22"/>
      <c r="N45" s="23"/>
    </row>
    <row r="46" spans="1:14" ht="15.75" hidden="1" customHeight="1">
      <c r="A46" s="45"/>
      <c r="B46" s="92" t="s">
        <v>33</v>
      </c>
      <c r="C46" s="93" t="s">
        <v>97</v>
      </c>
      <c r="D46" s="92" t="s">
        <v>40</v>
      </c>
      <c r="E46" s="94">
        <v>19.8</v>
      </c>
      <c r="F46" s="95">
        <f>SUM(E46*2/1000)</f>
        <v>3.9600000000000003E-2</v>
      </c>
      <c r="G46" s="13">
        <v>721.04</v>
      </c>
      <c r="H46" s="96">
        <f t="shared" si="6"/>
        <v>2.8553184000000002E-2</v>
      </c>
      <c r="I46" s="13">
        <v>0</v>
      </c>
      <c r="J46" s="27"/>
      <c r="L46" s="21"/>
      <c r="M46" s="22"/>
      <c r="N46" s="23"/>
    </row>
    <row r="47" spans="1:14" ht="15.75" hidden="1" customHeight="1">
      <c r="A47" s="45">
        <v>16</v>
      </c>
      <c r="B47" s="92" t="s">
        <v>34</v>
      </c>
      <c r="C47" s="93" t="s">
        <v>97</v>
      </c>
      <c r="D47" s="92" t="s">
        <v>40</v>
      </c>
      <c r="E47" s="94">
        <v>660.84</v>
      </c>
      <c r="F47" s="95">
        <f>SUM(E47*2/1000)</f>
        <v>1.32168</v>
      </c>
      <c r="G47" s="13">
        <v>1711.28</v>
      </c>
      <c r="H47" s="96">
        <f t="shared" si="6"/>
        <v>2.2617645503999997</v>
      </c>
      <c r="I47" s="13">
        <v>0</v>
      </c>
      <c r="J47" s="27"/>
      <c r="L47" s="21"/>
      <c r="M47" s="22"/>
      <c r="N47" s="23"/>
    </row>
    <row r="48" spans="1:14" ht="15.75" hidden="1" customHeight="1">
      <c r="A48" s="45">
        <v>17</v>
      </c>
      <c r="B48" s="92" t="s">
        <v>35</v>
      </c>
      <c r="C48" s="93" t="s">
        <v>97</v>
      </c>
      <c r="D48" s="92" t="s">
        <v>40</v>
      </c>
      <c r="E48" s="94">
        <v>1156.21</v>
      </c>
      <c r="F48" s="95">
        <f>SUM(E48*2/1000)</f>
        <v>2.3124199999999999</v>
      </c>
      <c r="G48" s="13">
        <v>1179.73</v>
      </c>
      <c r="H48" s="96">
        <f t="shared" si="6"/>
        <v>2.7280312466000001</v>
      </c>
      <c r="I48" s="13">
        <v>0</v>
      </c>
      <c r="J48" s="27"/>
      <c r="L48" s="21"/>
      <c r="M48" s="22"/>
      <c r="N48" s="23"/>
    </row>
    <row r="49" spans="1:14" ht="15.75" hidden="1" customHeight="1">
      <c r="A49" s="45">
        <v>18</v>
      </c>
      <c r="B49" s="92" t="s">
        <v>31</v>
      </c>
      <c r="C49" s="93" t="s">
        <v>32</v>
      </c>
      <c r="D49" s="92" t="s">
        <v>40</v>
      </c>
      <c r="E49" s="94">
        <v>15.38</v>
      </c>
      <c r="F49" s="95">
        <f>SUM(E49*2/100)</f>
        <v>0.30760000000000004</v>
      </c>
      <c r="G49" s="13">
        <v>90.61</v>
      </c>
      <c r="H49" s="96">
        <f t="shared" si="6"/>
        <v>2.7871636000000002E-2</v>
      </c>
      <c r="I49" s="13">
        <v>0</v>
      </c>
      <c r="J49" s="27"/>
      <c r="L49" s="21"/>
      <c r="M49" s="22"/>
      <c r="N49" s="23"/>
    </row>
    <row r="50" spans="1:14" ht="15.75" hidden="1" customHeight="1">
      <c r="A50" s="45">
        <v>12</v>
      </c>
      <c r="B50" s="92" t="s">
        <v>54</v>
      </c>
      <c r="C50" s="93" t="s">
        <v>97</v>
      </c>
      <c r="D50" s="92" t="s">
        <v>155</v>
      </c>
      <c r="E50" s="94">
        <v>823</v>
      </c>
      <c r="F50" s="95">
        <f>SUM(E50*5/1000)</f>
        <v>4.1150000000000002</v>
      </c>
      <c r="G50" s="13">
        <v>1711.28</v>
      </c>
      <c r="H50" s="96">
        <f t="shared" si="6"/>
        <v>7.0419171999999994</v>
      </c>
      <c r="I50" s="13">
        <f>F50/5*G50</f>
        <v>1408.3834400000001</v>
      </c>
      <c r="J50" s="27"/>
      <c r="L50" s="21"/>
      <c r="M50" s="22"/>
      <c r="N50" s="23"/>
    </row>
    <row r="51" spans="1:14" ht="31.5" hidden="1" customHeight="1">
      <c r="A51" s="45">
        <v>12</v>
      </c>
      <c r="B51" s="92" t="s">
        <v>108</v>
      </c>
      <c r="C51" s="93" t="s">
        <v>97</v>
      </c>
      <c r="D51" s="92" t="s">
        <v>40</v>
      </c>
      <c r="E51" s="94">
        <v>823</v>
      </c>
      <c r="F51" s="95">
        <f>SUM(E51*2/1000)</f>
        <v>1.6459999999999999</v>
      </c>
      <c r="G51" s="13">
        <v>1510.06</v>
      </c>
      <c r="H51" s="96">
        <f t="shared" si="6"/>
        <v>2.48555876</v>
      </c>
      <c r="I51" s="13">
        <f>F51/2*G51</f>
        <v>1242.7793799999999</v>
      </c>
      <c r="J51" s="27"/>
      <c r="L51" s="21"/>
      <c r="M51" s="22"/>
      <c r="N51" s="23"/>
    </row>
    <row r="52" spans="1:14" ht="31.5" hidden="1" customHeight="1">
      <c r="A52" s="45">
        <v>13</v>
      </c>
      <c r="B52" s="92" t="s">
        <v>109</v>
      </c>
      <c r="C52" s="93" t="s">
        <v>36</v>
      </c>
      <c r="D52" s="92" t="s">
        <v>40</v>
      </c>
      <c r="E52" s="94">
        <v>9</v>
      </c>
      <c r="F52" s="95">
        <f>SUM(E52*2/100)</f>
        <v>0.18</v>
      </c>
      <c r="G52" s="13">
        <v>3850.4</v>
      </c>
      <c r="H52" s="96">
        <f t="shared" si="6"/>
        <v>0.69307200000000002</v>
      </c>
      <c r="I52" s="13">
        <f t="shared" ref="I52:I53" si="7">F52/2*G52</f>
        <v>346.536</v>
      </c>
      <c r="J52" s="27"/>
      <c r="L52" s="21"/>
      <c r="M52" s="22"/>
      <c r="N52" s="23"/>
    </row>
    <row r="53" spans="1:14" ht="15.75" hidden="1" customHeight="1">
      <c r="A53" s="45">
        <v>14</v>
      </c>
      <c r="B53" s="92" t="s">
        <v>37</v>
      </c>
      <c r="C53" s="93" t="s">
        <v>38</v>
      </c>
      <c r="D53" s="92" t="s">
        <v>40</v>
      </c>
      <c r="E53" s="94">
        <v>1</v>
      </c>
      <c r="F53" s="95">
        <v>0.02</v>
      </c>
      <c r="G53" s="13">
        <v>7033.13</v>
      </c>
      <c r="H53" s="96">
        <f t="shared" si="6"/>
        <v>0.1406626</v>
      </c>
      <c r="I53" s="13">
        <f t="shared" si="7"/>
        <v>70.331299999999999</v>
      </c>
      <c r="J53" s="27"/>
      <c r="L53" s="21"/>
      <c r="M53" s="22"/>
      <c r="N53" s="23"/>
    </row>
    <row r="54" spans="1:14" ht="15.75" hidden="1" customHeight="1">
      <c r="A54" s="45">
        <v>13</v>
      </c>
      <c r="B54" s="92" t="s">
        <v>128</v>
      </c>
      <c r="C54" s="93" t="s">
        <v>110</v>
      </c>
      <c r="D54" s="92" t="s">
        <v>68</v>
      </c>
      <c r="E54" s="94">
        <v>36</v>
      </c>
      <c r="F54" s="95">
        <f>SUM(E54*3)</f>
        <v>108</v>
      </c>
      <c r="G54" s="13">
        <v>175.6</v>
      </c>
      <c r="H54" s="96">
        <f t="shared" si="6"/>
        <v>18.9648</v>
      </c>
      <c r="I54" s="13">
        <f>E54*G54</f>
        <v>6321.5999999999995</v>
      </c>
      <c r="J54" s="27"/>
      <c r="L54" s="21"/>
      <c r="M54" s="22"/>
      <c r="N54" s="23"/>
    </row>
    <row r="55" spans="1:14" ht="15.75" hidden="1" customHeight="1">
      <c r="A55" s="45">
        <v>14</v>
      </c>
      <c r="B55" s="92" t="s">
        <v>39</v>
      </c>
      <c r="C55" s="93" t="s">
        <v>110</v>
      </c>
      <c r="D55" s="92" t="s">
        <v>68</v>
      </c>
      <c r="E55" s="94">
        <v>36</v>
      </c>
      <c r="F55" s="95">
        <f>SUM(E55)*3</f>
        <v>108</v>
      </c>
      <c r="G55" s="13">
        <v>81.73</v>
      </c>
      <c r="H55" s="96">
        <f t="shared" si="6"/>
        <v>8.8268400000000007</v>
      </c>
      <c r="I55" s="13">
        <f>E55*G55</f>
        <v>2942.28</v>
      </c>
      <c r="J55" s="27"/>
      <c r="L55" s="21"/>
      <c r="M55" s="22"/>
      <c r="N55" s="23"/>
    </row>
    <row r="56" spans="1:14" ht="15.75" hidden="1" customHeight="1">
      <c r="A56" s="132" t="s">
        <v>164</v>
      </c>
      <c r="B56" s="133"/>
      <c r="C56" s="133"/>
      <c r="D56" s="133"/>
      <c r="E56" s="133"/>
      <c r="F56" s="133"/>
      <c r="G56" s="133"/>
      <c r="H56" s="133"/>
      <c r="I56" s="134"/>
      <c r="J56" s="27"/>
      <c r="L56" s="21"/>
      <c r="M56" s="22"/>
      <c r="N56" s="23"/>
    </row>
    <row r="57" spans="1:14" ht="15.75" hidden="1" customHeight="1">
      <c r="A57" s="57"/>
      <c r="B57" s="52" t="s">
        <v>41</v>
      </c>
      <c r="C57" s="17"/>
      <c r="D57" s="16"/>
      <c r="E57" s="16"/>
      <c r="F57" s="16"/>
      <c r="G57" s="33"/>
      <c r="H57" s="33"/>
      <c r="I57" s="19"/>
      <c r="J57" s="27"/>
      <c r="L57" s="21"/>
      <c r="M57" s="22"/>
      <c r="N57" s="23"/>
    </row>
    <row r="58" spans="1:14" ht="31.5" hidden="1" customHeight="1">
      <c r="A58" s="45">
        <v>12</v>
      </c>
      <c r="B58" s="92" t="s">
        <v>156</v>
      </c>
      <c r="C58" s="93" t="s">
        <v>86</v>
      </c>
      <c r="D58" s="92" t="s">
        <v>111</v>
      </c>
      <c r="E58" s="94">
        <v>71.02</v>
      </c>
      <c r="F58" s="95">
        <f>SUM(E58*6/100)</f>
        <v>4.2611999999999997</v>
      </c>
      <c r="G58" s="13">
        <v>2306.62</v>
      </c>
      <c r="H58" s="96">
        <f>SUM(F58*G58/1000)</f>
        <v>9.8289691439999984</v>
      </c>
      <c r="I58" s="13">
        <f>F58/6*G58</f>
        <v>1638.1615239999999</v>
      </c>
      <c r="J58" s="27"/>
      <c r="L58" s="21"/>
      <c r="M58" s="22"/>
      <c r="N58" s="23"/>
    </row>
    <row r="59" spans="1:14" ht="15.75" hidden="1" customHeight="1">
      <c r="A59" s="45"/>
      <c r="B59" s="92" t="s">
        <v>112</v>
      </c>
      <c r="C59" s="93" t="s">
        <v>157</v>
      </c>
      <c r="D59" s="92" t="s">
        <v>64</v>
      </c>
      <c r="E59" s="100"/>
      <c r="F59" s="95">
        <v>2</v>
      </c>
      <c r="G59" s="95">
        <v>1501</v>
      </c>
      <c r="H59" s="96">
        <f>SUM(F59*G59/1000)</f>
        <v>3.0019999999999998</v>
      </c>
      <c r="I59" s="13">
        <v>0</v>
      </c>
      <c r="J59" s="27"/>
      <c r="L59" s="21"/>
      <c r="M59" s="22"/>
      <c r="N59" s="23"/>
    </row>
    <row r="60" spans="1:14" ht="15.75" hidden="1" customHeight="1">
      <c r="A60" s="45"/>
      <c r="B60" s="79" t="s">
        <v>42</v>
      </c>
      <c r="C60" s="79"/>
      <c r="D60" s="79"/>
      <c r="E60" s="79"/>
      <c r="F60" s="79"/>
      <c r="G60" s="79"/>
      <c r="H60" s="79"/>
      <c r="I60" s="39"/>
      <c r="J60" s="27"/>
      <c r="L60" s="21"/>
      <c r="M60" s="22"/>
      <c r="N60" s="23"/>
    </row>
    <row r="61" spans="1:14" ht="15.75" hidden="1" customHeight="1">
      <c r="A61" s="45">
        <v>27</v>
      </c>
      <c r="B61" s="92" t="s">
        <v>158</v>
      </c>
      <c r="C61" s="93" t="s">
        <v>50</v>
      </c>
      <c r="D61" s="92" t="s">
        <v>51</v>
      </c>
      <c r="E61" s="94">
        <v>434.4</v>
      </c>
      <c r="F61" s="96">
        <f>SUM(E61/100)</f>
        <v>4.3439999999999994</v>
      </c>
      <c r="G61" s="13">
        <v>987.51</v>
      </c>
      <c r="H61" s="101">
        <f>F61*G61/1000</f>
        <v>4.2897434399999996</v>
      </c>
      <c r="I61" s="13">
        <v>0</v>
      </c>
      <c r="J61" s="27"/>
      <c r="L61" s="21"/>
      <c r="M61" s="22"/>
      <c r="N61" s="23"/>
    </row>
    <row r="62" spans="1:14" ht="15.75" hidden="1" customHeight="1">
      <c r="A62" s="45"/>
      <c r="B62" s="71" t="s">
        <v>129</v>
      </c>
      <c r="C62" s="44"/>
      <c r="D62" s="70"/>
      <c r="E62" s="67"/>
      <c r="F62" s="67"/>
      <c r="G62" s="40"/>
      <c r="H62" s="40"/>
      <c r="I62" s="20"/>
      <c r="J62" s="27"/>
      <c r="L62" s="21"/>
      <c r="M62" s="22"/>
      <c r="N62" s="23"/>
    </row>
    <row r="63" spans="1:14" ht="15.75" hidden="1" customHeight="1">
      <c r="A63" s="45"/>
      <c r="B63" s="92" t="s">
        <v>130</v>
      </c>
      <c r="C63" s="93" t="s">
        <v>110</v>
      </c>
      <c r="D63" s="41" t="s">
        <v>64</v>
      </c>
      <c r="E63" s="94">
        <v>1</v>
      </c>
      <c r="F63" s="95">
        <f>E63</f>
        <v>1</v>
      </c>
      <c r="G63" s="102">
        <v>323.38</v>
      </c>
      <c r="H63" s="96">
        <f t="shared" ref="H63" si="8">SUM(F63*G63/1000)</f>
        <v>0.32338</v>
      </c>
      <c r="I63" s="13">
        <v>0</v>
      </c>
      <c r="J63" s="27"/>
      <c r="L63" s="21"/>
      <c r="M63" s="22"/>
      <c r="N63" s="23"/>
    </row>
    <row r="64" spans="1:14" ht="15.75" hidden="1" customHeight="1">
      <c r="A64" s="45"/>
      <c r="B64" s="79" t="s">
        <v>43</v>
      </c>
      <c r="C64" s="17"/>
      <c r="D64" s="41"/>
      <c r="E64" s="16"/>
      <c r="F64" s="16"/>
      <c r="G64" s="33"/>
      <c r="H64" s="33"/>
      <c r="I64" s="19"/>
      <c r="J64" s="27"/>
      <c r="L64" s="21"/>
      <c r="M64" s="22"/>
      <c r="N64" s="23"/>
    </row>
    <row r="65" spans="1:21" ht="15.75" hidden="1" customHeight="1">
      <c r="A65" s="45">
        <v>17</v>
      </c>
      <c r="B65" s="15" t="s">
        <v>44</v>
      </c>
      <c r="C65" s="17" t="s">
        <v>110</v>
      </c>
      <c r="D65" s="41" t="s">
        <v>64</v>
      </c>
      <c r="E65" s="19">
        <v>10</v>
      </c>
      <c r="F65" s="95">
        <v>10</v>
      </c>
      <c r="G65" s="13">
        <v>276.74</v>
      </c>
      <c r="H65" s="103">
        <f t="shared" ref="H65:H72" si="9">SUM(F65*G65/1000)</f>
        <v>2.7674000000000003</v>
      </c>
      <c r="I65" s="13">
        <v>0</v>
      </c>
      <c r="J65" s="27"/>
      <c r="L65" s="21"/>
      <c r="M65" s="22"/>
      <c r="N65" s="23"/>
    </row>
    <row r="66" spans="1:21" ht="15.75" hidden="1" customHeight="1">
      <c r="A66" s="33">
        <v>29</v>
      </c>
      <c r="B66" s="15" t="s">
        <v>45</v>
      </c>
      <c r="C66" s="17" t="s">
        <v>110</v>
      </c>
      <c r="D66" s="41" t="s">
        <v>64</v>
      </c>
      <c r="E66" s="19">
        <v>3</v>
      </c>
      <c r="F66" s="95">
        <v>3</v>
      </c>
      <c r="G66" s="13">
        <v>94.89</v>
      </c>
      <c r="H66" s="103">
        <f t="shared" si="9"/>
        <v>0.28467000000000003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8</v>
      </c>
      <c r="B67" s="15" t="s">
        <v>46</v>
      </c>
      <c r="C67" s="17" t="s">
        <v>113</v>
      </c>
      <c r="D67" s="15" t="s">
        <v>51</v>
      </c>
      <c r="E67" s="94">
        <v>7265</v>
      </c>
      <c r="F67" s="13">
        <f>SUM(E67/100)</f>
        <v>72.650000000000006</v>
      </c>
      <c r="G67" s="13">
        <v>263.99</v>
      </c>
      <c r="H67" s="103">
        <f t="shared" si="9"/>
        <v>19.178873500000002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9</v>
      </c>
      <c r="B68" s="15" t="s">
        <v>47</v>
      </c>
      <c r="C68" s="17" t="s">
        <v>114</v>
      </c>
      <c r="D68" s="15" t="s">
        <v>51</v>
      </c>
      <c r="E68" s="94">
        <v>7265</v>
      </c>
      <c r="F68" s="13">
        <f>SUM(E68/1000)</f>
        <v>7.2649999999999997</v>
      </c>
      <c r="G68" s="13">
        <v>205.57</v>
      </c>
      <c r="H68" s="103">
        <f t="shared" si="9"/>
        <v>1.4934660500000001</v>
      </c>
      <c r="I68" s="13">
        <v>0</v>
      </c>
      <c r="J68" s="27"/>
      <c r="L68" s="21"/>
      <c r="M68" s="22"/>
      <c r="N68" s="23"/>
    </row>
    <row r="69" spans="1:21" ht="15.75" hidden="1" customHeight="1">
      <c r="A69" s="33">
        <v>10</v>
      </c>
      <c r="B69" s="15" t="s">
        <v>48</v>
      </c>
      <c r="C69" s="17" t="s">
        <v>74</v>
      </c>
      <c r="D69" s="15" t="s">
        <v>51</v>
      </c>
      <c r="E69" s="94">
        <v>1090</v>
      </c>
      <c r="F69" s="13">
        <f>SUM(E69/100)</f>
        <v>10.9</v>
      </c>
      <c r="G69" s="13">
        <v>2581.5300000000002</v>
      </c>
      <c r="H69" s="103">
        <f t="shared" si="9"/>
        <v>28.138677000000005</v>
      </c>
      <c r="I69" s="13">
        <v>0</v>
      </c>
      <c r="J69" s="27"/>
      <c r="L69" s="21"/>
    </row>
    <row r="70" spans="1:21" ht="15.75" hidden="1" customHeight="1">
      <c r="A70" s="33">
        <v>11</v>
      </c>
      <c r="B70" s="104" t="s">
        <v>115</v>
      </c>
      <c r="C70" s="17" t="s">
        <v>30</v>
      </c>
      <c r="D70" s="15"/>
      <c r="E70" s="94">
        <v>7.4</v>
      </c>
      <c r="F70" s="13">
        <f>SUM(E70)</f>
        <v>7.4</v>
      </c>
      <c r="G70" s="13">
        <v>47.45</v>
      </c>
      <c r="H70" s="103">
        <f t="shared" si="9"/>
        <v>0.35113000000000005</v>
      </c>
      <c r="I70" s="13">
        <v>0</v>
      </c>
    </row>
    <row r="71" spans="1:21" ht="15.75" hidden="1" customHeight="1">
      <c r="A71" s="33">
        <v>12</v>
      </c>
      <c r="B71" s="104" t="s">
        <v>159</v>
      </c>
      <c r="C71" s="17" t="s">
        <v>30</v>
      </c>
      <c r="D71" s="15"/>
      <c r="E71" s="94">
        <v>7.4</v>
      </c>
      <c r="F71" s="13">
        <f>SUM(E71)</f>
        <v>7.4</v>
      </c>
      <c r="G71" s="13">
        <v>44.27</v>
      </c>
      <c r="H71" s="103">
        <f t="shared" si="9"/>
        <v>0.327598</v>
      </c>
      <c r="I71" s="13">
        <v>0</v>
      </c>
    </row>
    <row r="72" spans="1:21" ht="15.75" hidden="1" customHeight="1">
      <c r="A72" s="33">
        <v>13</v>
      </c>
      <c r="B72" s="15" t="s">
        <v>55</v>
      </c>
      <c r="C72" s="17" t="s">
        <v>56</v>
      </c>
      <c r="D72" s="15" t="s">
        <v>51</v>
      </c>
      <c r="E72" s="19">
        <v>3</v>
      </c>
      <c r="F72" s="95">
        <f>SUM(E72)</f>
        <v>3</v>
      </c>
      <c r="G72" s="13">
        <v>62.07</v>
      </c>
      <c r="H72" s="103">
        <f t="shared" si="9"/>
        <v>0.18621000000000001</v>
      </c>
      <c r="I72" s="13">
        <v>0</v>
      </c>
    </row>
    <row r="73" spans="1:21" ht="19.5" customHeight="1">
      <c r="A73" s="57"/>
      <c r="B73" s="79" t="s">
        <v>116</v>
      </c>
      <c r="C73" s="79"/>
      <c r="D73" s="79"/>
      <c r="E73" s="79"/>
      <c r="F73" s="79"/>
      <c r="G73" s="79"/>
      <c r="H73" s="79"/>
      <c r="I73" s="19"/>
      <c r="J73" s="29"/>
      <c r="K73" s="29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1" customHeight="1">
      <c r="A74" s="33">
        <v>11</v>
      </c>
      <c r="B74" s="105" t="s">
        <v>117</v>
      </c>
      <c r="C74" s="25"/>
      <c r="D74" s="24"/>
      <c r="E74" s="87"/>
      <c r="F74" s="106">
        <v>1</v>
      </c>
      <c r="G74" s="106">
        <v>5782.6</v>
      </c>
      <c r="H74" s="13">
        <f>G74*F74/1000</f>
        <v>5.7826000000000004</v>
      </c>
      <c r="I74" s="13">
        <f>G74</f>
        <v>5782.6</v>
      </c>
      <c r="J74" s="3"/>
      <c r="K74" s="3"/>
      <c r="L74" s="3"/>
      <c r="M74" s="3"/>
      <c r="N74" s="3"/>
      <c r="O74" s="3"/>
      <c r="P74" s="3"/>
      <c r="Q74" s="3"/>
      <c r="S74" s="3"/>
      <c r="T74" s="3"/>
      <c r="U74" s="3"/>
    </row>
    <row r="75" spans="1:21" ht="16.5" hidden="1" customHeight="1">
      <c r="A75" s="33"/>
      <c r="B75" s="53" t="s">
        <v>69</v>
      </c>
      <c r="C75" s="53"/>
      <c r="D75" s="53"/>
      <c r="E75" s="19"/>
      <c r="F75" s="19"/>
      <c r="G75" s="33"/>
      <c r="H75" s="33"/>
      <c r="I75" s="19"/>
      <c r="J75" s="5"/>
      <c r="K75" s="5"/>
      <c r="L75" s="5"/>
      <c r="M75" s="5"/>
      <c r="N75" s="5"/>
      <c r="O75" s="5"/>
      <c r="P75" s="5"/>
      <c r="Q75" s="5"/>
      <c r="R75" s="131"/>
      <c r="S75" s="131"/>
      <c r="T75" s="131"/>
      <c r="U75" s="131"/>
    </row>
    <row r="76" spans="1:21" ht="23.25" hidden="1" customHeight="1">
      <c r="A76" s="33"/>
      <c r="B76" s="15" t="s">
        <v>131</v>
      </c>
      <c r="C76" s="17" t="s">
        <v>118</v>
      </c>
      <c r="D76" s="41" t="s">
        <v>64</v>
      </c>
      <c r="E76" s="19">
        <v>1</v>
      </c>
      <c r="F76" s="13">
        <f>E76</f>
        <v>1</v>
      </c>
      <c r="G76" s="13">
        <v>976.4</v>
      </c>
      <c r="H76" s="103">
        <f>F76*G76/1000</f>
        <v>0.97639999999999993</v>
      </c>
      <c r="I76" s="13">
        <v>0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7.25" hidden="1" customHeight="1">
      <c r="A77" s="33"/>
      <c r="B77" s="15" t="s">
        <v>119</v>
      </c>
      <c r="C77" s="17" t="s">
        <v>120</v>
      </c>
      <c r="D77" s="15"/>
      <c r="E77" s="19">
        <v>1</v>
      </c>
      <c r="F77" s="13">
        <v>1</v>
      </c>
      <c r="G77" s="13">
        <v>750</v>
      </c>
      <c r="H77" s="103">
        <f>F77*G77/1000</f>
        <v>0.75</v>
      </c>
      <c r="I77" s="13">
        <v>0</v>
      </c>
    </row>
    <row r="78" spans="1:21" ht="19.5" hidden="1" customHeight="1">
      <c r="A78" s="33"/>
      <c r="B78" s="15" t="s">
        <v>70</v>
      </c>
      <c r="C78" s="17" t="s">
        <v>72</v>
      </c>
      <c r="D78" s="41" t="s">
        <v>64</v>
      </c>
      <c r="E78" s="19">
        <v>3</v>
      </c>
      <c r="F78" s="13">
        <f>SUM(E78/100)</f>
        <v>0.03</v>
      </c>
      <c r="G78" s="13">
        <v>624.16999999999996</v>
      </c>
      <c r="H78" s="103">
        <f>F78*G78/1000</f>
        <v>1.8725099999999998E-2</v>
      </c>
      <c r="I78" s="13">
        <v>0</v>
      </c>
    </row>
    <row r="79" spans="1:21" ht="25.5" hidden="1" customHeight="1">
      <c r="A79" s="33"/>
      <c r="B79" s="15" t="s">
        <v>71</v>
      </c>
      <c r="C79" s="17" t="s">
        <v>28</v>
      </c>
      <c r="D79" s="41" t="s">
        <v>64</v>
      </c>
      <c r="E79" s="19">
        <v>1</v>
      </c>
      <c r="F79" s="13">
        <v>1</v>
      </c>
      <c r="G79" s="13">
        <v>1061.4100000000001</v>
      </c>
      <c r="H79" s="103">
        <f>F79*G79/1000</f>
        <v>1.0614100000000002</v>
      </c>
      <c r="I79" s="13">
        <v>0</v>
      </c>
    </row>
    <row r="80" spans="1:21" ht="29.25" hidden="1" customHeight="1">
      <c r="A80" s="33">
        <v>17</v>
      </c>
      <c r="B80" s="15" t="s">
        <v>132</v>
      </c>
      <c r="C80" s="17" t="s">
        <v>28</v>
      </c>
      <c r="D80" s="41" t="s">
        <v>64</v>
      </c>
      <c r="E80" s="19">
        <v>1</v>
      </c>
      <c r="F80" s="95">
        <f>SUM(E80)</f>
        <v>1</v>
      </c>
      <c r="G80" s="13">
        <v>446.12</v>
      </c>
      <c r="H80" s="103">
        <f t="shared" ref="H80" si="10">SUM(F80*G80/1000)</f>
        <v>0.44612000000000002</v>
      </c>
      <c r="I80" s="13">
        <v>0</v>
      </c>
    </row>
    <row r="81" spans="1:9" ht="22.5" hidden="1" customHeight="1">
      <c r="A81" s="33"/>
      <c r="B81" s="54" t="s">
        <v>73</v>
      </c>
      <c r="C81" s="42"/>
      <c r="D81" s="33"/>
      <c r="E81" s="19"/>
      <c r="F81" s="19"/>
      <c r="G81" s="40"/>
      <c r="H81" s="40"/>
      <c r="I81" s="19"/>
    </row>
    <row r="82" spans="1:9" ht="21" hidden="1" customHeight="1">
      <c r="A82" s="33">
        <v>39</v>
      </c>
      <c r="B82" s="56" t="s">
        <v>121</v>
      </c>
      <c r="C82" s="17" t="s">
        <v>74</v>
      </c>
      <c r="D82" s="15"/>
      <c r="E82" s="19"/>
      <c r="F82" s="13">
        <v>1.35</v>
      </c>
      <c r="G82" s="13">
        <v>3433.68</v>
      </c>
      <c r="H82" s="103">
        <f t="shared" ref="H82" si="11">SUM(F82*G82/1000)</f>
        <v>4.6354679999999995</v>
      </c>
      <c r="I82" s="13">
        <v>0</v>
      </c>
    </row>
    <row r="83" spans="1:9" ht="19.5" customHeight="1">
      <c r="A83" s="33"/>
      <c r="B83" s="79" t="s">
        <v>133</v>
      </c>
      <c r="C83" s="72"/>
      <c r="D83" s="35"/>
      <c r="E83" s="12"/>
      <c r="F83" s="12"/>
      <c r="G83" s="40"/>
      <c r="H83" s="40"/>
      <c r="I83" s="19"/>
    </row>
    <row r="84" spans="1:9" ht="23.25" hidden="1" customHeight="1">
      <c r="A84" s="33"/>
      <c r="B84" s="15" t="s">
        <v>134</v>
      </c>
      <c r="C84" s="17" t="s">
        <v>135</v>
      </c>
      <c r="D84" s="41" t="s">
        <v>64</v>
      </c>
      <c r="E84" s="19">
        <v>6</v>
      </c>
      <c r="F84" s="13">
        <f>E84</f>
        <v>6</v>
      </c>
      <c r="G84" s="13">
        <v>297.44</v>
      </c>
      <c r="H84" s="103">
        <f t="shared" ref="H84:H94" si="12">SUM(F84*G84/1000)</f>
        <v>1.7846399999999998</v>
      </c>
      <c r="I84" s="13">
        <v>0</v>
      </c>
    </row>
    <row r="85" spans="1:9" ht="18" customHeight="1">
      <c r="A85" s="33">
        <v>12</v>
      </c>
      <c r="B85" s="15" t="s">
        <v>136</v>
      </c>
      <c r="C85" s="17" t="s">
        <v>79</v>
      </c>
      <c r="D85" s="41"/>
      <c r="E85" s="19">
        <v>12</v>
      </c>
      <c r="F85" s="13">
        <f>E85</f>
        <v>12</v>
      </c>
      <c r="G85" s="13">
        <v>122.35</v>
      </c>
      <c r="H85" s="103">
        <f t="shared" si="12"/>
        <v>1.4681999999999997</v>
      </c>
      <c r="I85" s="13">
        <f>G85*7</f>
        <v>856.44999999999993</v>
      </c>
    </row>
    <row r="86" spans="1:9" ht="26.25" hidden="1" customHeight="1">
      <c r="A86" s="33"/>
      <c r="B86" s="15" t="s">
        <v>137</v>
      </c>
      <c r="C86" s="17" t="s">
        <v>138</v>
      </c>
      <c r="D86" s="41" t="s">
        <v>64</v>
      </c>
      <c r="E86" s="19">
        <v>9</v>
      </c>
      <c r="F86" s="13">
        <f>E86/3</f>
        <v>3</v>
      </c>
      <c r="G86" s="13">
        <v>1063.47</v>
      </c>
      <c r="H86" s="103">
        <f t="shared" si="12"/>
        <v>3.19041</v>
      </c>
      <c r="I86" s="13">
        <v>0</v>
      </c>
    </row>
    <row r="87" spans="1:9" ht="22.5" hidden="1" customHeight="1">
      <c r="A87" s="33"/>
      <c r="B87" s="15" t="s">
        <v>139</v>
      </c>
      <c r="C87" s="17" t="s">
        <v>140</v>
      </c>
      <c r="D87" s="41" t="s">
        <v>64</v>
      </c>
      <c r="E87" s="19">
        <v>10</v>
      </c>
      <c r="F87" s="13">
        <f>E87/10</f>
        <v>1</v>
      </c>
      <c r="G87" s="13">
        <v>297.99</v>
      </c>
      <c r="H87" s="103">
        <f t="shared" si="12"/>
        <v>0.29799000000000003</v>
      </c>
      <c r="I87" s="13">
        <v>0</v>
      </c>
    </row>
    <row r="88" spans="1:9" ht="24.75" hidden="1" customHeight="1">
      <c r="A88" s="33"/>
      <c r="B88" s="15" t="s">
        <v>141</v>
      </c>
      <c r="C88" s="17" t="s">
        <v>79</v>
      </c>
      <c r="D88" s="41" t="s">
        <v>64</v>
      </c>
      <c r="E88" s="19">
        <v>6</v>
      </c>
      <c r="F88" s="13">
        <f t="shared" ref="F88:F93" si="13">E88</f>
        <v>6</v>
      </c>
      <c r="G88" s="13">
        <v>1564.44</v>
      </c>
      <c r="H88" s="103">
        <f t="shared" si="12"/>
        <v>9.3866399999999999</v>
      </c>
      <c r="I88" s="13">
        <v>0</v>
      </c>
    </row>
    <row r="89" spans="1:9" ht="28.5" hidden="1" customHeight="1">
      <c r="A89" s="33"/>
      <c r="B89" s="15" t="s">
        <v>142</v>
      </c>
      <c r="C89" s="17" t="s">
        <v>79</v>
      </c>
      <c r="D89" s="41" t="s">
        <v>64</v>
      </c>
      <c r="E89" s="19">
        <v>6</v>
      </c>
      <c r="F89" s="13">
        <f t="shared" si="13"/>
        <v>6</v>
      </c>
      <c r="G89" s="13">
        <v>1906.89</v>
      </c>
      <c r="H89" s="103">
        <f t="shared" si="12"/>
        <v>11.44134</v>
      </c>
      <c r="I89" s="13">
        <v>0</v>
      </c>
    </row>
    <row r="90" spans="1:9" ht="21" hidden="1" customHeight="1">
      <c r="A90" s="33"/>
      <c r="B90" s="15" t="s">
        <v>143</v>
      </c>
      <c r="C90" s="17" t="s">
        <v>79</v>
      </c>
      <c r="D90" s="41" t="s">
        <v>64</v>
      </c>
      <c r="E90" s="19">
        <v>6</v>
      </c>
      <c r="F90" s="13">
        <f t="shared" si="13"/>
        <v>6</v>
      </c>
      <c r="G90" s="13">
        <v>664.35</v>
      </c>
      <c r="H90" s="103">
        <f t="shared" si="12"/>
        <v>3.9861000000000004</v>
      </c>
      <c r="I90" s="13">
        <v>0</v>
      </c>
    </row>
    <row r="91" spans="1:9" ht="25.5" hidden="1" customHeight="1">
      <c r="A91" s="33"/>
      <c r="B91" s="15" t="s">
        <v>144</v>
      </c>
      <c r="C91" s="17" t="s">
        <v>79</v>
      </c>
      <c r="D91" s="41" t="s">
        <v>64</v>
      </c>
      <c r="E91" s="19">
        <v>6</v>
      </c>
      <c r="F91" s="13">
        <f t="shared" si="13"/>
        <v>6</v>
      </c>
      <c r="G91" s="13">
        <v>778.85</v>
      </c>
      <c r="H91" s="103">
        <f t="shared" si="12"/>
        <v>4.6731000000000007</v>
      </c>
      <c r="I91" s="13">
        <v>0</v>
      </c>
    </row>
    <row r="92" spans="1:9" ht="23.25" hidden="1" customHeight="1">
      <c r="A92" s="33"/>
      <c r="B92" s="15" t="s">
        <v>145</v>
      </c>
      <c r="C92" s="17" t="s">
        <v>118</v>
      </c>
      <c r="D92" s="41" t="s">
        <v>64</v>
      </c>
      <c r="E92" s="19">
        <v>4</v>
      </c>
      <c r="F92" s="13">
        <f t="shared" si="13"/>
        <v>4</v>
      </c>
      <c r="G92" s="13">
        <v>498.11</v>
      </c>
      <c r="H92" s="103">
        <f t="shared" si="12"/>
        <v>1.99244</v>
      </c>
      <c r="I92" s="13">
        <v>0</v>
      </c>
    </row>
    <row r="93" spans="1:9" ht="21" hidden="1" customHeight="1">
      <c r="A93" s="33"/>
      <c r="B93" s="15" t="s">
        <v>146</v>
      </c>
      <c r="C93" s="17" t="s">
        <v>79</v>
      </c>
      <c r="D93" s="41" t="s">
        <v>64</v>
      </c>
      <c r="E93" s="19">
        <v>6</v>
      </c>
      <c r="F93" s="13">
        <f t="shared" si="13"/>
        <v>6</v>
      </c>
      <c r="G93" s="13">
        <v>1264.3399999999999</v>
      </c>
      <c r="H93" s="103">
        <f t="shared" si="12"/>
        <v>7.5860399999999988</v>
      </c>
      <c r="I93" s="13">
        <v>0</v>
      </c>
    </row>
    <row r="94" spans="1:9" ht="18.75" hidden="1" customHeight="1">
      <c r="A94" s="33"/>
      <c r="B94" s="15" t="s">
        <v>147</v>
      </c>
      <c r="C94" s="17" t="s">
        <v>27</v>
      </c>
      <c r="D94" s="15" t="s">
        <v>40</v>
      </c>
      <c r="E94" s="19">
        <v>823</v>
      </c>
      <c r="F94" s="13">
        <f>E94*2/1000</f>
        <v>1.6459999999999999</v>
      </c>
      <c r="G94" s="13">
        <v>1707.71</v>
      </c>
      <c r="H94" s="103">
        <f t="shared" si="12"/>
        <v>2.8108906600000001</v>
      </c>
      <c r="I94" s="13">
        <v>0</v>
      </c>
    </row>
    <row r="95" spans="1:9" ht="15.75" customHeight="1">
      <c r="A95" s="144" t="s">
        <v>170</v>
      </c>
      <c r="B95" s="145"/>
      <c r="C95" s="145"/>
      <c r="D95" s="145"/>
      <c r="E95" s="145"/>
      <c r="F95" s="145"/>
      <c r="G95" s="145"/>
      <c r="H95" s="145"/>
      <c r="I95" s="146"/>
    </row>
    <row r="96" spans="1:9" ht="15.75" customHeight="1">
      <c r="A96" s="33">
        <v>13</v>
      </c>
      <c r="B96" s="92" t="s">
        <v>122</v>
      </c>
      <c r="C96" s="17" t="s">
        <v>52</v>
      </c>
      <c r="D96" s="108"/>
      <c r="E96" s="13">
        <v>1832</v>
      </c>
      <c r="F96" s="13">
        <f>SUM(E96*12)</f>
        <v>21984</v>
      </c>
      <c r="G96" s="13">
        <v>2.95</v>
      </c>
      <c r="H96" s="103">
        <f>SUM(F96*G96/1000)</f>
        <v>64.852800000000002</v>
      </c>
      <c r="I96" s="13">
        <f>F96/12*G96</f>
        <v>5404.4000000000005</v>
      </c>
    </row>
    <row r="97" spans="1:9" ht="31.5" customHeight="1">
      <c r="A97" s="33">
        <v>14</v>
      </c>
      <c r="B97" s="15" t="s">
        <v>75</v>
      </c>
      <c r="C97" s="17" t="s">
        <v>160</v>
      </c>
      <c r="D97" s="108"/>
      <c r="E97" s="94">
        <v>1832</v>
      </c>
      <c r="F97" s="13">
        <f>E97*12</f>
        <v>21984</v>
      </c>
      <c r="G97" s="13">
        <v>3.05</v>
      </c>
      <c r="H97" s="103">
        <f>F97*G97/1000</f>
        <v>67.051199999999994</v>
      </c>
      <c r="I97" s="13">
        <f>F97/12*G97</f>
        <v>5587.5999999999995</v>
      </c>
    </row>
    <row r="98" spans="1:9" ht="15.75" customHeight="1">
      <c r="A98" s="57"/>
      <c r="B98" s="43" t="s">
        <v>78</v>
      </c>
      <c r="C98" s="45"/>
      <c r="D98" s="16"/>
      <c r="E98" s="16"/>
      <c r="F98" s="16"/>
      <c r="G98" s="19"/>
      <c r="H98" s="19"/>
      <c r="I98" s="36">
        <f>I97+I96+I85+I43+I42+I41+I40+I39+I38+I27+I18+I17+I16+I74</f>
        <v>29075.10530333333</v>
      </c>
    </row>
    <row r="99" spans="1:9" ht="15.75" customHeight="1">
      <c r="A99" s="147" t="s">
        <v>58</v>
      </c>
      <c r="B99" s="148"/>
      <c r="C99" s="148"/>
      <c r="D99" s="148"/>
      <c r="E99" s="148"/>
      <c r="F99" s="148"/>
      <c r="G99" s="148"/>
      <c r="H99" s="148"/>
      <c r="I99" s="149"/>
    </row>
    <row r="100" spans="1:9" ht="15.75" customHeight="1">
      <c r="A100" s="109">
        <v>15</v>
      </c>
      <c r="B100" s="112" t="s">
        <v>176</v>
      </c>
      <c r="C100" s="113" t="s">
        <v>177</v>
      </c>
      <c r="D100" s="112"/>
      <c r="E100" s="114"/>
      <c r="F100" s="115">
        <v>24</v>
      </c>
      <c r="G100" s="116">
        <v>1.4</v>
      </c>
      <c r="H100" s="117">
        <f>F100*G100/1000</f>
        <v>3.3599999999999991E-2</v>
      </c>
      <c r="I100" s="118">
        <f>G100*12</f>
        <v>16.799999999999997</v>
      </c>
    </row>
    <row r="101" spans="1:9" ht="31.5" customHeight="1">
      <c r="A101" s="109">
        <v>16</v>
      </c>
      <c r="B101" s="122" t="s">
        <v>208</v>
      </c>
      <c r="C101" s="123" t="s">
        <v>135</v>
      </c>
      <c r="D101" s="15"/>
      <c r="E101" s="19"/>
      <c r="F101" s="13"/>
      <c r="G101" s="40">
        <v>644.72</v>
      </c>
      <c r="H101" s="116"/>
      <c r="I101" s="118">
        <f>G101*3</f>
        <v>1934.16</v>
      </c>
    </row>
    <row r="102" spans="1:9" ht="32.25" customHeight="1">
      <c r="A102" s="109">
        <v>17</v>
      </c>
      <c r="B102" s="122" t="s">
        <v>185</v>
      </c>
      <c r="C102" s="123" t="s">
        <v>135</v>
      </c>
      <c r="D102" s="15"/>
      <c r="E102" s="19"/>
      <c r="F102" s="13"/>
      <c r="G102" s="40">
        <v>878.3</v>
      </c>
      <c r="H102" s="116"/>
      <c r="I102" s="118">
        <f>G102*1</f>
        <v>878.3</v>
      </c>
    </row>
    <row r="103" spans="1:9" ht="32.25" customHeight="1">
      <c r="A103" s="109">
        <v>18</v>
      </c>
      <c r="B103" s="111" t="s">
        <v>193</v>
      </c>
      <c r="C103" s="45" t="s">
        <v>140</v>
      </c>
      <c r="D103" s="15"/>
      <c r="E103" s="19"/>
      <c r="F103" s="13"/>
      <c r="G103" s="40">
        <v>1801.52</v>
      </c>
      <c r="H103" s="116"/>
      <c r="I103" s="118">
        <f>G103*0.2</f>
        <v>360.30400000000003</v>
      </c>
    </row>
    <row r="104" spans="1:9" ht="15.75" customHeight="1">
      <c r="A104" s="109">
        <v>19</v>
      </c>
      <c r="B104" s="122" t="s">
        <v>194</v>
      </c>
      <c r="C104" s="123" t="s">
        <v>195</v>
      </c>
      <c r="D104" s="15"/>
      <c r="E104" s="19"/>
      <c r="F104" s="13"/>
      <c r="G104" s="40">
        <v>888.82</v>
      </c>
      <c r="H104" s="116"/>
      <c r="I104" s="118">
        <f>G104*1</f>
        <v>888.82</v>
      </c>
    </row>
    <row r="105" spans="1:9" ht="15.75" customHeight="1">
      <c r="A105" s="109">
        <v>20</v>
      </c>
      <c r="B105" s="122" t="s">
        <v>80</v>
      </c>
      <c r="C105" s="123" t="s">
        <v>110</v>
      </c>
      <c r="D105" s="15"/>
      <c r="E105" s="19"/>
      <c r="F105" s="13"/>
      <c r="G105" s="40">
        <v>207.55</v>
      </c>
      <c r="H105" s="116"/>
      <c r="I105" s="118">
        <f>G105*1</f>
        <v>207.55</v>
      </c>
    </row>
    <row r="106" spans="1:9" ht="15.75" customHeight="1">
      <c r="A106" s="109">
        <v>21</v>
      </c>
      <c r="B106" s="122" t="s">
        <v>209</v>
      </c>
      <c r="C106" s="123" t="s">
        <v>110</v>
      </c>
      <c r="D106" s="15"/>
      <c r="E106" s="19"/>
      <c r="F106" s="13"/>
      <c r="G106" s="40">
        <v>30</v>
      </c>
      <c r="H106" s="116"/>
      <c r="I106" s="118">
        <f>G106*1</f>
        <v>30</v>
      </c>
    </row>
    <row r="107" spans="1:9" ht="30" customHeight="1">
      <c r="A107" s="109">
        <v>22</v>
      </c>
      <c r="B107" s="41" t="s">
        <v>188</v>
      </c>
      <c r="C107" s="42" t="s">
        <v>97</v>
      </c>
      <c r="D107" s="15"/>
      <c r="E107" s="19"/>
      <c r="F107" s="13"/>
      <c r="G107" s="40">
        <v>19757.060000000001</v>
      </c>
      <c r="H107" s="116"/>
      <c r="I107" s="118">
        <f>G107*0.599*8/1000+0.002*G107</f>
        <v>134.18995152000002</v>
      </c>
    </row>
    <row r="108" spans="1:9" ht="15.75" customHeight="1">
      <c r="A108" s="33"/>
      <c r="B108" s="50" t="s">
        <v>49</v>
      </c>
      <c r="C108" s="46"/>
      <c r="D108" s="58"/>
      <c r="E108" s="46">
        <v>1</v>
      </c>
      <c r="F108" s="46"/>
      <c r="G108" s="46"/>
      <c r="H108" s="46"/>
      <c r="I108" s="36">
        <f>SUM(I100:I107)</f>
        <v>4450.1239515200004</v>
      </c>
    </row>
    <row r="109" spans="1:9" ht="15.75" customHeight="1">
      <c r="A109" s="33"/>
      <c r="B109" s="56" t="s">
        <v>76</v>
      </c>
      <c r="C109" s="16"/>
      <c r="D109" s="16"/>
      <c r="E109" s="47"/>
      <c r="F109" s="47"/>
      <c r="G109" s="48"/>
      <c r="H109" s="48"/>
      <c r="I109" s="18">
        <v>0</v>
      </c>
    </row>
    <row r="110" spans="1:9" ht="15.75" customHeight="1">
      <c r="A110" s="59"/>
      <c r="B110" s="51" t="s">
        <v>161</v>
      </c>
      <c r="C110" s="38"/>
      <c r="D110" s="38"/>
      <c r="E110" s="38"/>
      <c r="F110" s="38"/>
      <c r="G110" s="38"/>
      <c r="H110" s="38"/>
      <c r="I110" s="49">
        <f>I98+I108</f>
        <v>33525.22925485333</v>
      </c>
    </row>
    <row r="111" spans="1:9" ht="15.75" customHeight="1">
      <c r="A111" s="136" t="s">
        <v>225</v>
      </c>
      <c r="B111" s="136"/>
      <c r="C111" s="136"/>
      <c r="D111" s="136"/>
      <c r="E111" s="136"/>
      <c r="F111" s="136"/>
      <c r="G111" s="136"/>
      <c r="H111" s="136"/>
      <c r="I111" s="136"/>
    </row>
    <row r="112" spans="1:9" ht="15.75" customHeight="1">
      <c r="A112" s="80"/>
      <c r="B112" s="150" t="s">
        <v>226</v>
      </c>
      <c r="C112" s="150"/>
      <c r="D112" s="150"/>
      <c r="E112" s="150"/>
      <c r="F112" s="150"/>
      <c r="G112" s="150"/>
      <c r="H112" s="90"/>
      <c r="I112" s="3"/>
    </row>
    <row r="113" spans="1:9" ht="15.75" customHeight="1">
      <c r="A113" s="74"/>
      <c r="B113" s="151" t="s">
        <v>6</v>
      </c>
      <c r="C113" s="151"/>
      <c r="D113" s="151"/>
      <c r="E113" s="151"/>
      <c r="F113" s="151"/>
      <c r="G113" s="151"/>
      <c r="H113" s="28"/>
      <c r="I113" s="5"/>
    </row>
    <row r="114" spans="1:9" ht="15.75" customHeight="1">
      <c r="A114" s="9"/>
      <c r="B114" s="9"/>
      <c r="C114" s="9"/>
      <c r="D114" s="9"/>
      <c r="E114" s="9"/>
      <c r="F114" s="9"/>
      <c r="G114" s="9"/>
      <c r="H114" s="9"/>
      <c r="I114" s="9"/>
    </row>
    <row r="115" spans="1:9" ht="15.75" customHeight="1">
      <c r="A115" s="135" t="s">
        <v>7</v>
      </c>
      <c r="B115" s="135"/>
      <c r="C115" s="135"/>
      <c r="D115" s="135"/>
      <c r="E115" s="135"/>
      <c r="F115" s="135"/>
      <c r="G115" s="135"/>
      <c r="H115" s="135"/>
      <c r="I115" s="135"/>
    </row>
    <row r="116" spans="1:9" ht="15.75" customHeight="1">
      <c r="A116" s="135" t="s">
        <v>8</v>
      </c>
      <c r="B116" s="135"/>
      <c r="C116" s="135"/>
      <c r="D116" s="135"/>
      <c r="E116" s="135"/>
      <c r="F116" s="135"/>
      <c r="G116" s="135"/>
      <c r="H116" s="135"/>
      <c r="I116" s="135"/>
    </row>
    <row r="117" spans="1:9" ht="15.75" customHeight="1">
      <c r="A117" s="155" t="s">
        <v>59</v>
      </c>
      <c r="B117" s="155"/>
      <c r="C117" s="155"/>
      <c r="D117" s="155"/>
      <c r="E117" s="155"/>
      <c r="F117" s="155"/>
      <c r="G117" s="155"/>
      <c r="H117" s="155"/>
      <c r="I117" s="155"/>
    </row>
    <row r="118" spans="1:9" ht="15.75" customHeight="1">
      <c r="A118" s="10"/>
    </row>
    <row r="119" spans="1:9" ht="15.75" customHeight="1">
      <c r="A119" s="156" t="s">
        <v>9</v>
      </c>
      <c r="B119" s="156"/>
      <c r="C119" s="156"/>
      <c r="D119" s="156"/>
      <c r="E119" s="156"/>
      <c r="F119" s="156"/>
      <c r="G119" s="156"/>
      <c r="H119" s="156"/>
      <c r="I119" s="156"/>
    </row>
    <row r="120" spans="1:9" ht="15.75" customHeight="1">
      <c r="A120" s="4"/>
    </row>
    <row r="121" spans="1:9" ht="15.75" customHeight="1">
      <c r="B121" s="77" t="s">
        <v>10</v>
      </c>
      <c r="C121" s="157" t="s">
        <v>85</v>
      </c>
      <c r="D121" s="157"/>
      <c r="E121" s="157"/>
      <c r="F121" s="88"/>
      <c r="I121" s="76"/>
    </row>
    <row r="122" spans="1:9" ht="15.75" customHeight="1">
      <c r="A122" s="74"/>
      <c r="C122" s="151" t="s">
        <v>11</v>
      </c>
      <c r="D122" s="151"/>
      <c r="E122" s="151"/>
      <c r="F122" s="28"/>
      <c r="I122" s="75" t="s">
        <v>12</v>
      </c>
    </row>
    <row r="123" spans="1:9" ht="15.75" customHeight="1">
      <c r="A123" s="29"/>
      <c r="C123" s="11"/>
      <c r="D123" s="11"/>
      <c r="G123" s="11"/>
      <c r="H123" s="11"/>
    </row>
    <row r="124" spans="1:9" ht="15.75" customHeight="1">
      <c r="B124" s="77" t="s">
        <v>13</v>
      </c>
      <c r="C124" s="152"/>
      <c r="D124" s="152"/>
      <c r="E124" s="152"/>
      <c r="F124" s="89"/>
      <c r="I124" s="76"/>
    </row>
    <row r="125" spans="1:9" ht="15.75" customHeight="1">
      <c r="A125" s="74"/>
      <c r="C125" s="131" t="s">
        <v>11</v>
      </c>
      <c r="D125" s="131"/>
      <c r="E125" s="131"/>
      <c r="F125" s="74"/>
      <c r="I125" s="75" t="s">
        <v>12</v>
      </c>
    </row>
    <row r="126" spans="1:9" ht="15.75" customHeight="1">
      <c r="A126" s="4" t="s">
        <v>14</v>
      </c>
    </row>
    <row r="127" spans="1:9" ht="15.75" customHeight="1">
      <c r="A127" s="154" t="s">
        <v>15</v>
      </c>
      <c r="B127" s="154"/>
      <c r="C127" s="154"/>
      <c r="D127" s="154"/>
      <c r="E127" s="154"/>
      <c r="F127" s="154"/>
      <c r="G127" s="154"/>
      <c r="H127" s="154"/>
      <c r="I127" s="154"/>
    </row>
    <row r="128" spans="1:9" ht="45" customHeight="1">
      <c r="A128" s="153" t="s">
        <v>16</v>
      </c>
      <c r="B128" s="153"/>
      <c r="C128" s="153"/>
      <c r="D128" s="153"/>
      <c r="E128" s="153"/>
      <c r="F128" s="153"/>
      <c r="G128" s="153"/>
      <c r="H128" s="153"/>
      <c r="I128" s="153"/>
    </row>
    <row r="129" spans="1:9" ht="30" customHeight="1">
      <c r="A129" s="153" t="s">
        <v>17</v>
      </c>
      <c r="B129" s="153"/>
      <c r="C129" s="153"/>
      <c r="D129" s="153"/>
      <c r="E129" s="153"/>
      <c r="F129" s="153"/>
      <c r="G129" s="153"/>
      <c r="H129" s="153"/>
      <c r="I129" s="153"/>
    </row>
    <row r="130" spans="1:9" ht="30" customHeight="1">
      <c r="A130" s="153" t="s">
        <v>21</v>
      </c>
      <c r="B130" s="153"/>
      <c r="C130" s="153"/>
      <c r="D130" s="153"/>
      <c r="E130" s="153"/>
      <c r="F130" s="153"/>
      <c r="G130" s="153"/>
      <c r="H130" s="153"/>
      <c r="I130" s="153"/>
    </row>
    <row r="131" spans="1:9" ht="15" customHeight="1">
      <c r="A131" s="153" t="s">
        <v>20</v>
      </c>
      <c r="B131" s="153"/>
      <c r="C131" s="153"/>
      <c r="D131" s="153"/>
      <c r="E131" s="153"/>
      <c r="F131" s="153"/>
      <c r="G131" s="153"/>
      <c r="H131" s="153"/>
      <c r="I131" s="153"/>
    </row>
  </sheetData>
  <autoFilter ref="I12:I71"/>
  <mergeCells count="29">
    <mergeCell ref="A127:I127"/>
    <mergeCell ref="A128:I128"/>
    <mergeCell ref="A129:I129"/>
    <mergeCell ref="A130:I130"/>
    <mergeCell ref="A131:I131"/>
    <mergeCell ref="R75:U75"/>
    <mergeCell ref="C125:E125"/>
    <mergeCell ref="A99:I99"/>
    <mergeCell ref="A111:I111"/>
    <mergeCell ref="B112:G112"/>
    <mergeCell ref="B113:G113"/>
    <mergeCell ref="A115:I115"/>
    <mergeCell ref="A116:I116"/>
    <mergeCell ref="A117:I117"/>
    <mergeCell ref="A119:I119"/>
    <mergeCell ref="C121:E121"/>
    <mergeCell ref="C122:E122"/>
    <mergeCell ref="C124:E124"/>
    <mergeCell ref="A95:I95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U130"/>
  <sheetViews>
    <sheetView workbookViewId="0">
      <selection activeCell="L102" sqref="L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179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37" t="s">
        <v>166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123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210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43585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180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148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57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3">
        <v>1</v>
      </c>
      <c r="B16" s="92" t="s">
        <v>84</v>
      </c>
      <c r="C16" s="93" t="s">
        <v>86</v>
      </c>
      <c r="D16" s="92" t="s">
        <v>233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124</v>
      </c>
      <c r="C17" s="93" t="s">
        <v>86</v>
      </c>
      <c r="D17" s="92" t="s">
        <v>234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87</v>
      </c>
      <c r="C18" s="93" t="s">
        <v>86</v>
      </c>
      <c r="D18" s="92" t="s">
        <v>235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/>
      <c r="B19" s="92" t="s">
        <v>88</v>
      </c>
      <c r="C19" s="93" t="s">
        <v>89</v>
      </c>
      <c r="D19" s="92" t="s">
        <v>90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92" t="s">
        <v>95</v>
      </c>
      <c r="C20" s="93" t="s">
        <v>50</v>
      </c>
      <c r="D20" s="92" t="s">
        <v>125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v>0</v>
      </c>
      <c r="J20" s="26"/>
      <c r="K20" s="8"/>
      <c r="L20" s="8"/>
      <c r="M20" s="8"/>
    </row>
    <row r="21" spans="1:13" ht="15.75" hidden="1" customHeight="1">
      <c r="A21" s="33">
        <v>5</v>
      </c>
      <c r="B21" s="92" t="s">
        <v>91</v>
      </c>
      <c r="C21" s="93" t="s">
        <v>86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v>0</v>
      </c>
      <c r="J21" s="26"/>
      <c r="K21" s="8"/>
      <c r="L21" s="8"/>
      <c r="M21" s="8"/>
    </row>
    <row r="22" spans="1:13" ht="15.75" hidden="1" customHeight="1">
      <c r="A22" s="33"/>
      <c r="B22" s="92" t="s">
        <v>92</v>
      </c>
      <c r="C22" s="93" t="s">
        <v>86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92" t="s">
        <v>93</v>
      </c>
      <c r="C23" s="93" t="s">
        <v>50</v>
      </c>
      <c r="D23" s="92" t="s">
        <v>90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92" t="s">
        <v>94</v>
      </c>
      <c r="C24" s="93" t="s">
        <v>50</v>
      </c>
      <c r="D24" s="92" t="s">
        <v>90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v>0</v>
      </c>
      <c r="J24" s="26"/>
      <c r="K24" s="8"/>
      <c r="L24" s="8"/>
      <c r="M24" s="8"/>
    </row>
    <row r="25" spans="1:13" ht="15.75" hidden="1" customHeight="1">
      <c r="A25" s="45">
        <v>6</v>
      </c>
      <c r="B25" s="92" t="s">
        <v>96</v>
      </c>
      <c r="C25" s="93" t="s">
        <v>50</v>
      </c>
      <c r="D25" s="92" t="s">
        <v>90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v>0</v>
      </c>
      <c r="J25" s="26"/>
      <c r="K25" s="8"/>
      <c r="L25" s="8"/>
      <c r="M25" s="8"/>
    </row>
    <row r="26" spans="1:13" ht="15.75" hidden="1" customHeight="1">
      <c r="A26" s="45"/>
      <c r="B26" s="92" t="s">
        <v>126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v>0</v>
      </c>
      <c r="J26" s="26"/>
      <c r="K26" s="8"/>
      <c r="L26" s="8"/>
      <c r="M26" s="8"/>
    </row>
    <row r="27" spans="1:13" ht="15.75" customHeight="1">
      <c r="A27" s="45">
        <v>4</v>
      </c>
      <c r="B27" s="92" t="s">
        <v>220</v>
      </c>
      <c r="C27" s="44" t="s">
        <v>177</v>
      </c>
      <c r="D27" s="127" t="s">
        <v>237</v>
      </c>
      <c r="E27" s="128">
        <v>2.5099999999999998</v>
      </c>
      <c r="F27" s="129">
        <f>E27*258</f>
        <v>647.57999999999993</v>
      </c>
      <c r="G27" s="129">
        <v>10.39</v>
      </c>
      <c r="H27" s="96">
        <f t="shared" ref="H27" si="1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3" t="s">
        <v>82</v>
      </c>
      <c r="B28" s="143"/>
      <c r="C28" s="143"/>
      <c r="D28" s="143"/>
      <c r="E28" s="143"/>
      <c r="F28" s="143"/>
      <c r="G28" s="143"/>
      <c r="H28" s="143"/>
      <c r="I28" s="143"/>
      <c r="J28" s="26"/>
      <c r="K28" s="8"/>
      <c r="L28" s="8"/>
      <c r="M28" s="8"/>
    </row>
    <row r="29" spans="1:13" ht="15.75" hidden="1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hidden="1" customHeight="1">
      <c r="A30" s="45">
        <v>2</v>
      </c>
      <c r="B30" s="92" t="s">
        <v>154</v>
      </c>
      <c r="C30" s="93" t="s">
        <v>97</v>
      </c>
      <c r="D30" s="92" t="s">
        <v>98</v>
      </c>
      <c r="E30" s="95">
        <v>306.55</v>
      </c>
      <c r="F30" s="95">
        <f>SUM(E30*52/1000)</f>
        <v>15.9406</v>
      </c>
      <c r="G30" s="95">
        <v>193.97</v>
      </c>
      <c r="H30" s="96">
        <f t="shared" ref="H30:H36" si="2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hidden="1" customHeight="1">
      <c r="A31" s="45">
        <v>3</v>
      </c>
      <c r="B31" s="92" t="s">
        <v>99</v>
      </c>
      <c r="C31" s="93" t="s">
        <v>97</v>
      </c>
      <c r="D31" s="92" t="s">
        <v>100</v>
      </c>
      <c r="E31" s="95">
        <v>42.5</v>
      </c>
      <c r="F31" s="95">
        <f>SUM(E31*78/1000)</f>
        <v>3.3149999999999999</v>
      </c>
      <c r="G31" s="95">
        <v>321.82</v>
      </c>
      <c r="H31" s="96">
        <f t="shared" si="2"/>
        <v>1.0668333000000001</v>
      </c>
      <c r="I31" s="13">
        <f t="shared" ref="I31:I34" si="3">F31/6*G31</f>
        <v>177.80554999999998</v>
      </c>
      <c r="J31" s="26"/>
      <c r="K31" s="8"/>
      <c r="L31" s="8"/>
      <c r="M31" s="8"/>
    </row>
    <row r="32" spans="1:13" ht="15.75" hidden="1" customHeight="1">
      <c r="A32" s="45">
        <v>4</v>
      </c>
      <c r="B32" s="92" t="s">
        <v>153</v>
      </c>
      <c r="C32" s="93" t="s">
        <v>97</v>
      </c>
      <c r="D32" s="92" t="s">
        <v>51</v>
      </c>
      <c r="E32" s="95">
        <v>306.55</v>
      </c>
      <c r="F32" s="95">
        <f>SUM(E32/1000)</f>
        <v>0.30654999999999999</v>
      </c>
      <c r="G32" s="95">
        <v>3758.28</v>
      </c>
      <c r="H32" s="96">
        <f t="shared" si="2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hidden="1" customHeight="1">
      <c r="A33" s="45"/>
      <c r="B33" s="92" t="s">
        <v>127</v>
      </c>
      <c r="C33" s="93" t="s">
        <v>38</v>
      </c>
      <c r="D33" s="92" t="s">
        <v>61</v>
      </c>
      <c r="E33" s="95">
        <v>3</v>
      </c>
      <c r="F33" s="95">
        <f>E33*155/100</f>
        <v>4.6500000000000004</v>
      </c>
      <c r="G33" s="95">
        <v>1620.15</v>
      </c>
      <c r="H33" s="96">
        <f t="shared" si="2"/>
        <v>7.5336975000000015</v>
      </c>
      <c r="I33" s="13">
        <f t="shared" si="3"/>
        <v>1255.61625</v>
      </c>
      <c r="J33" s="26"/>
      <c r="K33" s="8"/>
      <c r="L33" s="8"/>
      <c r="M33" s="8"/>
    </row>
    <row r="34" spans="1:14" ht="15.75" hidden="1" customHeight="1">
      <c r="A34" s="45">
        <v>5</v>
      </c>
      <c r="B34" s="92" t="s">
        <v>101</v>
      </c>
      <c r="C34" s="93" t="s">
        <v>28</v>
      </c>
      <c r="D34" s="92" t="s">
        <v>61</v>
      </c>
      <c r="E34" s="99">
        <f>1/3</f>
        <v>0.33333333333333331</v>
      </c>
      <c r="F34" s="95">
        <f>155/3</f>
        <v>51.666666666666664</v>
      </c>
      <c r="G34" s="95">
        <v>70.540000000000006</v>
      </c>
      <c r="H34" s="96">
        <f t="shared" si="2"/>
        <v>3.6445666666666665</v>
      </c>
      <c r="I34" s="13">
        <f t="shared" si="3"/>
        <v>607.42777777777781</v>
      </c>
      <c r="J34" s="26"/>
      <c r="K34" s="8"/>
      <c r="L34" s="8"/>
      <c r="M34" s="8"/>
    </row>
    <row r="35" spans="1:14" ht="15.75" hidden="1" customHeight="1">
      <c r="A35" s="45">
        <v>4</v>
      </c>
      <c r="B35" s="92" t="s">
        <v>62</v>
      </c>
      <c r="C35" s="93" t="s">
        <v>30</v>
      </c>
      <c r="D35" s="92" t="s">
        <v>64</v>
      </c>
      <c r="E35" s="94"/>
      <c r="F35" s="95">
        <v>2</v>
      </c>
      <c r="G35" s="95">
        <v>238.07</v>
      </c>
      <c r="H35" s="96">
        <f t="shared" si="2"/>
        <v>0.47614000000000001</v>
      </c>
      <c r="I35" s="13">
        <v>0</v>
      </c>
      <c r="J35" s="26"/>
      <c r="K35" s="8"/>
    </row>
    <row r="36" spans="1:14" ht="15.75" hidden="1" customHeight="1">
      <c r="A36" s="33">
        <v>8</v>
      </c>
      <c r="B36" s="92" t="s">
        <v>63</v>
      </c>
      <c r="C36" s="93" t="s">
        <v>29</v>
      </c>
      <c r="D36" s="92" t="s">
        <v>64</v>
      </c>
      <c r="E36" s="94"/>
      <c r="F36" s="95">
        <v>3</v>
      </c>
      <c r="G36" s="95">
        <v>1413.96</v>
      </c>
      <c r="H36" s="96">
        <f t="shared" si="2"/>
        <v>4.2418800000000001</v>
      </c>
      <c r="I36" s="13">
        <v>0</v>
      </c>
      <c r="J36" s="27"/>
    </row>
    <row r="37" spans="1:14" ht="15.75" customHeight="1">
      <c r="A37" s="45"/>
      <c r="B37" s="53" t="s">
        <v>5</v>
      </c>
      <c r="C37" s="53"/>
      <c r="D37" s="53"/>
      <c r="E37" s="13"/>
      <c r="F37" s="13"/>
      <c r="G37" s="14"/>
      <c r="H37" s="14"/>
      <c r="I37" s="19"/>
      <c r="J37" s="27"/>
    </row>
    <row r="38" spans="1:14" ht="15.75" hidden="1" customHeight="1">
      <c r="A38" s="37">
        <v>6</v>
      </c>
      <c r="B38" s="92" t="s">
        <v>25</v>
      </c>
      <c r="C38" s="93" t="s">
        <v>29</v>
      </c>
      <c r="D38" s="92"/>
      <c r="E38" s="94"/>
      <c r="F38" s="95">
        <v>2</v>
      </c>
      <c r="G38" s="95">
        <v>1900.37</v>
      </c>
      <c r="H38" s="96">
        <f t="shared" ref="H38:H43" si="4">SUM(F38*G38/1000)</f>
        <v>3.8007399999999998</v>
      </c>
      <c r="I38" s="13">
        <f t="shared" ref="I38:I41" si="5">F38/6*G38</f>
        <v>633.45666666666659</v>
      </c>
      <c r="J38" s="27"/>
    </row>
    <row r="39" spans="1:14" ht="15.75" customHeight="1">
      <c r="A39" s="37">
        <v>5</v>
      </c>
      <c r="B39" s="92" t="s">
        <v>65</v>
      </c>
      <c r="C39" s="93" t="s">
        <v>27</v>
      </c>
      <c r="D39" s="92" t="s">
        <v>244</v>
      </c>
      <c r="E39" s="95">
        <v>42.5</v>
      </c>
      <c r="F39" s="95">
        <f>SUM(E39*30/1000)</f>
        <v>1.2749999999999999</v>
      </c>
      <c r="G39" s="95">
        <v>2616.4899999999998</v>
      </c>
      <c r="H39" s="96">
        <f t="shared" si="4"/>
        <v>3.3360247499999995</v>
      </c>
      <c r="I39" s="13">
        <f t="shared" si="5"/>
        <v>556.00412499999993</v>
      </c>
      <c r="J39" s="27"/>
    </row>
    <row r="40" spans="1:14" ht="15.75" customHeight="1">
      <c r="A40" s="37">
        <v>6</v>
      </c>
      <c r="B40" s="92" t="s">
        <v>66</v>
      </c>
      <c r="C40" s="93" t="s">
        <v>27</v>
      </c>
      <c r="D40" s="92" t="s">
        <v>243</v>
      </c>
      <c r="E40" s="95">
        <v>42.5</v>
      </c>
      <c r="F40" s="95">
        <f>SUM(E40*155/1000)</f>
        <v>6.5875000000000004</v>
      </c>
      <c r="G40" s="95">
        <v>436.45</v>
      </c>
      <c r="H40" s="96">
        <f t="shared" si="4"/>
        <v>2.8751143749999999</v>
      </c>
      <c r="I40" s="13">
        <f t="shared" si="5"/>
        <v>479.18572916666665</v>
      </c>
      <c r="J40" s="27"/>
    </row>
    <row r="41" spans="1:14" ht="47.25" customHeight="1">
      <c r="A41" s="37">
        <v>7</v>
      </c>
      <c r="B41" s="92" t="s">
        <v>81</v>
      </c>
      <c r="C41" s="93" t="s">
        <v>97</v>
      </c>
      <c r="D41" s="92" t="s">
        <v>244</v>
      </c>
      <c r="E41" s="95">
        <v>42.5</v>
      </c>
      <c r="F41" s="95">
        <f>SUM(E41*35/1000)</f>
        <v>1.4875</v>
      </c>
      <c r="G41" s="95">
        <v>7221.21</v>
      </c>
      <c r="H41" s="96">
        <f t="shared" si="4"/>
        <v>10.741549875</v>
      </c>
      <c r="I41" s="13">
        <f t="shared" si="5"/>
        <v>1790.2583125000001</v>
      </c>
      <c r="J41" s="27"/>
    </row>
    <row r="42" spans="1:14" ht="15.75" customHeight="1">
      <c r="A42" s="37">
        <v>8</v>
      </c>
      <c r="B42" s="92" t="s">
        <v>105</v>
      </c>
      <c r="C42" s="93" t="s">
        <v>97</v>
      </c>
      <c r="D42" s="92" t="s">
        <v>245</v>
      </c>
      <c r="E42" s="95">
        <v>42.5</v>
      </c>
      <c r="F42" s="95">
        <f>SUM(E42*20/1000)</f>
        <v>0.85</v>
      </c>
      <c r="G42" s="95">
        <v>533.45000000000005</v>
      </c>
      <c r="H42" s="96">
        <f t="shared" si="4"/>
        <v>0.45343250000000002</v>
      </c>
      <c r="I42" s="13">
        <f>F42/7.5*1.5*G42</f>
        <v>90.686499999999995</v>
      </c>
      <c r="J42" s="27"/>
      <c r="L42" s="21"/>
      <c r="M42" s="22"/>
      <c r="N42" s="23"/>
    </row>
    <row r="43" spans="1:14" ht="15.75" customHeight="1">
      <c r="A43" s="37">
        <v>9</v>
      </c>
      <c r="B43" s="92" t="s">
        <v>67</v>
      </c>
      <c r="C43" s="93" t="s">
        <v>30</v>
      </c>
      <c r="D43" s="92"/>
      <c r="E43" s="94"/>
      <c r="F43" s="95">
        <v>0.5</v>
      </c>
      <c r="G43" s="95">
        <v>992.97</v>
      </c>
      <c r="H43" s="96">
        <f t="shared" si="4"/>
        <v>0.49648500000000001</v>
      </c>
      <c r="I43" s="13">
        <f>F43/7.5*1.5*G43</f>
        <v>99.297000000000011</v>
      </c>
      <c r="J43" s="27"/>
      <c r="L43" s="21"/>
      <c r="M43" s="22"/>
      <c r="N43" s="23"/>
    </row>
    <row r="44" spans="1:14" ht="21" hidden="1" customHeight="1">
      <c r="A44" s="132" t="s">
        <v>150</v>
      </c>
      <c r="B44" s="133"/>
      <c r="C44" s="133"/>
      <c r="D44" s="133"/>
      <c r="E44" s="133"/>
      <c r="F44" s="133"/>
      <c r="G44" s="133"/>
      <c r="H44" s="133"/>
      <c r="I44" s="134"/>
      <c r="J44" s="27"/>
      <c r="L44" s="21"/>
      <c r="M44" s="22"/>
      <c r="N44" s="23"/>
    </row>
    <row r="45" spans="1:14" ht="24.75" hidden="1" customHeight="1">
      <c r="A45" s="45">
        <v>15</v>
      </c>
      <c r="B45" s="92" t="s">
        <v>107</v>
      </c>
      <c r="C45" s="93" t="s">
        <v>97</v>
      </c>
      <c r="D45" s="92" t="s">
        <v>40</v>
      </c>
      <c r="E45" s="94">
        <v>1060.4000000000001</v>
      </c>
      <c r="F45" s="95">
        <f>SUM(E45*2/1000)</f>
        <v>2.1208</v>
      </c>
      <c r="G45" s="13">
        <v>1283.46</v>
      </c>
      <c r="H45" s="96">
        <f t="shared" ref="H45:H55" si="6">SUM(F45*G45/1000)</f>
        <v>2.721961968</v>
      </c>
      <c r="I45" s="13">
        <v>0</v>
      </c>
      <c r="J45" s="27"/>
      <c r="L45" s="21"/>
      <c r="M45" s="22"/>
      <c r="N45" s="23"/>
    </row>
    <row r="46" spans="1:14" ht="22.5" hidden="1" customHeight="1">
      <c r="A46" s="45"/>
      <c r="B46" s="92" t="s">
        <v>33</v>
      </c>
      <c r="C46" s="93" t="s">
        <v>97</v>
      </c>
      <c r="D46" s="92" t="s">
        <v>40</v>
      </c>
      <c r="E46" s="94">
        <v>19.8</v>
      </c>
      <c r="F46" s="95">
        <f>SUM(E46*2/1000)</f>
        <v>3.9600000000000003E-2</v>
      </c>
      <c r="G46" s="13">
        <v>721.04</v>
      </c>
      <c r="H46" s="96">
        <f t="shared" si="6"/>
        <v>2.8553184000000002E-2</v>
      </c>
      <c r="I46" s="13">
        <v>0</v>
      </c>
      <c r="J46" s="27"/>
      <c r="L46" s="21"/>
      <c r="M46" s="22"/>
      <c r="N46" s="23"/>
    </row>
    <row r="47" spans="1:14" ht="20.25" hidden="1" customHeight="1">
      <c r="A47" s="45">
        <v>16</v>
      </c>
      <c r="B47" s="92" t="s">
        <v>34</v>
      </c>
      <c r="C47" s="93" t="s">
        <v>97</v>
      </c>
      <c r="D47" s="92" t="s">
        <v>40</v>
      </c>
      <c r="E47" s="94">
        <v>660.84</v>
      </c>
      <c r="F47" s="95">
        <f>SUM(E47*2/1000)</f>
        <v>1.32168</v>
      </c>
      <c r="G47" s="13">
        <v>1711.28</v>
      </c>
      <c r="H47" s="96">
        <f t="shared" si="6"/>
        <v>2.2617645503999997</v>
      </c>
      <c r="I47" s="13">
        <v>0</v>
      </c>
      <c r="J47" s="27"/>
      <c r="L47" s="21"/>
      <c r="M47" s="22"/>
      <c r="N47" s="23"/>
    </row>
    <row r="48" spans="1:14" ht="24.75" hidden="1" customHeight="1">
      <c r="A48" s="45">
        <v>17</v>
      </c>
      <c r="B48" s="92" t="s">
        <v>35</v>
      </c>
      <c r="C48" s="93" t="s">
        <v>97</v>
      </c>
      <c r="D48" s="92" t="s">
        <v>40</v>
      </c>
      <c r="E48" s="94">
        <v>1156.21</v>
      </c>
      <c r="F48" s="95">
        <f>SUM(E48*2/1000)</f>
        <v>2.3124199999999999</v>
      </c>
      <c r="G48" s="13">
        <v>1179.73</v>
      </c>
      <c r="H48" s="96">
        <f t="shared" si="6"/>
        <v>2.7280312466000001</v>
      </c>
      <c r="I48" s="13">
        <v>0</v>
      </c>
      <c r="J48" s="27"/>
      <c r="L48" s="21"/>
      <c r="M48" s="22"/>
      <c r="N48" s="23"/>
    </row>
    <row r="49" spans="1:14" ht="24" hidden="1" customHeight="1">
      <c r="A49" s="45">
        <v>18</v>
      </c>
      <c r="B49" s="92" t="s">
        <v>31</v>
      </c>
      <c r="C49" s="93" t="s">
        <v>32</v>
      </c>
      <c r="D49" s="92" t="s">
        <v>40</v>
      </c>
      <c r="E49" s="94">
        <v>15.38</v>
      </c>
      <c r="F49" s="95">
        <f>SUM(E49*2/100)</f>
        <v>0.30760000000000004</v>
      </c>
      <c r="G49" s="13">
        <v>90.61</v>
      </c>
      <c r="H49" s="96">
        <f t="shared" si="6"/>
        <v>2.7871636000000002E-2</v>
      </c>
      <c r="I49" s="13">
        <v>0</v>
      </c>
      <c r="J49" s="27"/>
      <c r="L49" s="21"/>
      <c r="M49" s="22"/>
      <c r="N49" s="23"/>
    </row>
    <row r="50" spans="1:14" ht="39.75" hidden="1" customHeight="1">
      <c r="A50" s="45">
        <v>12</v>
      </c>
      <c r="B50" s="92" t="s">
        <v>54</v>
      </c>
      <c r="C50" s="93" t="s">
        <v>97</v>
      </c>
      <c r="D50" s="92" t="s">
        <v>155</v>
      </c>
      <c r="E50" s="94">
        <v>823</v>
      </c>
      <c r="F50" s="95">
        <f>SUM(E50*5/1000)</f>
        <v>4.1150000000000002</v>
      </c>
      <c r="G50" s="13">
        <v>1711.28</v>
      </c>
      <c r="H50" s="96">
        <f t="shared" si="6"/>
        <v>7.0419171999999994</v>
      </c>
      <c r="I50" s="13">
        <f>F50/5*G50</f>
        <v>1408.3834400000001</v>
      </c>
      <c r="J50" s="27"/>
      <c r="L50" s="21"/>
      <c r="M50" s="22"/>
      <c r="N50" s="23"/>
    </row>
    <row r="51" spans="1:14" ht="34.5" hidden="1" customHeight="1">
      <c r="A51" s="45">
        <v>12</v>
      </c>
      <c r="B51" s="92" t="s">
        <v>108</v>
      </c>
      <c r="C51" s="93" t="s">
        <v>97</v>
      </c>
      <c r="D51" s="92" t="s">
        <v>40</v>
      </c>
      <c r="E51" s="94">
        <v>823</v>
      </c>
      <c r="F51" s="95">
        <f>SUM(E51*2/1000)</f>
        <v>1.6459999999999999</v>
      </c>
      <c r="G51" s="13">
        <v>1510.06</v>
      </c>
      <c r="H51" s="96">
        <f t="shared" si="6"/>
        <v>2.48555876</v>
      </c>
      <c r="I51" s="13">
        <f>F51/2*G51</f>
        <v>1242.7793799999999</v>
      </c>
      <c r="J51" s="27"/>
      <c r="L51" s="21"/>
      <c r="M51" s="22"/>
      <c r="N51" s="23"/>
    </row>
    <row r="52" spans="1:14" ht="30.75" hidden="1" customHeight="1">
      <c r="A52" s="45">
        <v>13</v>
      </c>
      <c r="B52" s="92" t="s">
        <v>109</v>
      </c>
      <c r="C52" s="93" t="s">
        <v>36</v>
      </c>
      <c r="D52" s="92" t="s">
        <v>40</v>
      </c>
      <c r="E52" s="94">
        <v>9</v>
      </c>
      <c r="F52" s="95">
        <f>SUM(E52*2/100)</f>
        <v>0.18</v>
      </c>
      <c r="G52" s="13">
        <v>3850.4</v>
      </c>
      <c r="H52" s="96">
        <f t="shared" si="6"/>
        <v>0.69307200000000002</v>
      </c>
      <c r="I52" s="13">
        <f>F52/2*G52</f>
        <v>346.536</v>
      </c>
      <c r="J52" s="27"/>
      <c r="L52" s="21"/>
      <c r="M52" s="22"/>
      <c r="N52" s="23"/>
    </row>
    <row r="53" spans="1:14" ht="21.75" hidden="1" customHeight="1">
      <c r="A53" s="45">
        <v>14</v>
      </c>
      <c r="B53" s="92" t="s">
        <v>37</v>
      </c>
      <c r="C53" s="93" t="s">
        <v>38</v>
      </c>
      <c r="D53" s="92" t="s">
        <v>40</v>
      </c>
      <c r="E53" s="94">
        <v>1</v>
      </c>
      <c r="F53" s="95">
        <v>0.02</v>
      </c>
      <c r="G53" s="13">
        <v>7033.13</v>
      </c>
      <c r="H53" s="96">
        <f t="shared" si="6"/>
        <v>0.1406626</v>
      </c>
      <c r="I53" s="13">
        <f>F53/2*G53</f>
        <v>70.331299999999999</v>
      </c>
      <c r="J53" s="27"/>
      <c r="L53" s="21"/>
      <c r="M53" s="22"/>
      <c r="N53" s="23"/>
    </row>
    <row r="54" spans="1:14" ht="30.75" hidden="1" customHeight="1">
      <c r="A54" s="45">
        <v>13</v>
      </c>
      <c r="B54" s="92" t="s">
        <v>128</v>
      </c>
      <c r="C54" s="93" t="s">
        <v>110</v>
      </c>
      <c r="D54" s="92" t="s">
        <v>68</v>
      </c>
      <c r="E54" s="94">
        <v>36</v>
      </c>
      <c r="F54" s="95">
        <f>SUM(E54*3)</f>
        <v>108</v>
      </c>
      <c r="G54" s="13">
        <v>175.6</v>
      </c>
      <c r="H54" s="96">
        <f t="shared" si="6"/>
        <v>18.9648</v>
      </c>
      <c r="I54" s="13">
        <f>E54*G54</f>
        <v>6321.5999999999995</v>
      </c>
      <c r="J54" s="27"/>
      <c r="L54" s="21"/>
      <c r="M54" s="22"/>
      <c r="N54" s="23"/>
    </row>
    <row r="55" spans="1:14" ht="27.75" hidden="1" customHeight="1">
      <c r="A55" s="45">
        <v>14</v>
      </c>
      <c r="B55" s="92" t="s">
        <v>39</v>
      </c>
      <c r="C55" s="93" t="s">
        <v>110</v>
      </c>
      <c r="D55" s="92" t="s">
        <v>68</v>
      </c>
      <c r="E55" s="94">
        <v>36</v>
      </c>
      <c r="F55" s="95">
        <f>SUM(E55)*3</f>
        <v>108</v>
      </c>
      <c r="G55" s="13">
        <v>81.73</v>
      </c>
      <c r="H55" s="96">
        <f t="shared" si="6"/>
        <v>8.8268400000000007</v>
      </c>
      <c r="I55" s="13">
        <f>E55*G55</f>
        <v>2942.28</v>
      </c>
      <c r="J55" s="27"/>
      <c r="L55" s="21"/>
      <c r="M55" s="22"/>
      <c r="N55" s="23"/>
    </row>
    <row r="56" spans="1:14" ht="15.75" hidden="1" customHeight="1">
      <c r="A56" s="132" t="s">
        <v>164</v>
      </c>
      <c r="B56" s="133"/>
      <c r="C56" s="133"/>
      <c r="D56" s="133"/>
      <c r="E56" s="133"/>
      <c r="F56" s="133"/>
      <c r="G56" s="133"/>
      <c r="H56" s="133"/>
      <c r="I56" s="134"/>
      <c r="J56" s="27"/>
      <c r="L56" s="21"/>
      <c r="M56" s="22"/>
      <c r="N56" s="23"/>
    </row>
    <row r="57" spans="1:14" ht="15.75" hidden="1" customHeight="1">
      <c r="A57" s="57"/>
      <c r="B57" s="52" t="s">
        <v>41</v>
      </c>
      <c r="C57" s="17"/>
      <c r="D57" s="16"/>
      <c r="E57" s="16"/>
      <c r="F57" s="16"/>
      <c r="G57" s="33"/>
      <c r="H57" s="33"/>
      <c r="I57" s="19"/>
      <c r="J57" s="27"/>
      <c r="L57" s="21"/>
      <c r="M57" s="22"/>
      <c r="N57" s="23"/>
    </row>
    <row r="58" spans="1:14" ht="31.5" hidden="1" customHeight="1">
      <c r="A58" s="45">
        <v>15</v>
      </c>
      <c r="B58" s="92" t="s">
        <v>156</v>
      </c>
      <c r="C58" s="93" t="s">
        <v>86</v>
      </c>
      <c r="D58" s="92" t="s">
        <v>111</v>
      </c>
      <c r="E58" s="94">
        <v>71.02</v>
      </c>
      <c r="F58" s="95">
        <f>SUM(E58*6/100)</f>
        <v>4.2611999999999997</v>
      </c>
      <c r="G58" s="13">
        <v>2306.62</v>
      </c>
      <c r="H58" s="96">
        <f>SUM(F58*G58/1000)</f>
        <v>9.8289691439999984</v>
      </c>
      <c r="I58" s="13">
        <f>F58/6*G58</f>
        <v>1638.1615239999999</v>
      </c>
      <c r="J58" s="27"/>
      <c r="L58" s="21"/>
      <c r="M58" s="22"/>
      <c r="N58" s="23"/>
    </row>
    <row r="59" spans="1:14" ht="15.75" hidden="1" customHeight="1">
      <c r="A59" s="45"/>
      <c r="B59" s="92" t="s">
        <v>112</v>
      </c>
      <c r="C59" s="93" t="s">
        <v>157</v>
      </c>
      <c r="D59" s="92" t="s">
        <v>64</v>
      </c>
      <c r="E59" s="100"/>
      <c r="F59" s="95">
        <v>2</v>
      </c>
      <c r="G59" s="95">
        <v>1501</v>
      </c>
      <c r="H59" s="96">
        <f>SUM(F59*G59/1000)</f>
        <v>3.0019999999999998</v>
      </c>
      <c r="I59" s="13">
        <v>0</v>
      </c>
      <c r="J59" s="27"/>
      <c r="L59" s="21"/>
      <c r="M59" s="22"/>
      <c r="N59" s="23"/>
    </row>
    <row r="60" spans="1:14" ht="15.75" hidden="1" customHeight="1">
      <c r="A60" s="45"/>
      <c r="B60" s="79" t="s">
        <v>42</v>
      </c>
      <c r="C60" s="79"/>
      <c r="D60" s="79"/>
      <c r="E60" s="79"/>
      <c r="F60" s="79"/>
      <c r="G60" s="79"/>
      <c r="H60" s="79"/>
      <c r="I60" s="39"/>
      <c r="J60" s="27"/>
      <c r="L60" s="21"/>
      <c r="M60" s="22"/>
      <c r="N60" s="23"/>
    </row>
    <row r="61" spans="1:14" ht="15.75" hidden="1" customHeight="1">
      <c r="A61" s="45">
        <v>27</v>
      </c>
      <c r="B61" s="92" t="s">
        <v>158</v>
      </c>
      <c r="C61" s="93" t="s">
        <v>50</v>
      </c>
      <c r="D61" s="92" t="s">
        <v>51</v>
      </c>
      <c r="E61" s="94">
        <v>434.4</v>
      </c>
      <c r="F61" s="96">
        <f>SUM(E61/100)</f>
        <v>4.3439999999999994</v>
      </c>
      <c r="G61" s="13">
        <v>987.51</v>
      </c>
      <c r="H61" s="101">
        <f>F61*G61/1000</f>
        <v>4.2897434399999996</v>
      </c>
      <c r="I61" s="13">
        <v>0</v>
      </c>
      <c r="J61" s="27"/>
      <c r="L61" s="21"/>
      <c r="M61" s="22"/>
      <c r="N61" s="23"/>
    </row>
    <row r="62" spans="1:14" ht="15.75" hidden="1" customHeight="1">
      <c r="A62" s="45"/>
      <c r="B62" s="71" t="s">
        <v>129</v>
      </c>
      <c r="C62" s="44"/>
      <c r="D62" s="70"/>
      <c r="E62" s="67"/>
      <c r="F62" s="67"/>
      <c r="G62" s="40"/>
      <c r="H62" s="40"/>
      <c r="I62" s="20"/>
      <c r="J62" s="27"/>
      <c r="L62" s="21"/>
      <c r="M62" s="22"/>
      <c r="N62" s="23"/>
    </row>
    <row r="63" spans="1:14" ht="15.75" hidden="1" customHeight="1">
      <c r="A63" s="45"/>
      <c r="B63" s="92" t="s">
        <v>130</v>
      </c>
      <c r="C63" s="93" t="s">
        <v>110</v>
      </c>
      <c r="D63" s="41" t="s">
        <v>64</v>
      </c>
      <c r="E63" s="94">
        <v>1</v>
      </c>
      <c r="F63" s="95">
        <f>E63</f>
        <v>1</v>
      </c>
      <c r="G63" s="102">
        <v>323.38</v>
      </c>
      <c r="H63" s="96">
        <f t="shared" ref="H63" si="7">SUM(F63*G63/1000)</f>
        <v>0.32338</v>
      </c>
      <c r="I63" s="13">
        <v>0</v>
      </c>
      <c r="J63" s="27"/>
      <c r="L63" s="21"/>
      <c r="M63" s="22"/>
      <c r="N63" s="23"/>
    </row>
    <row r="64" spans="1:14" ht="15.75" hidden="1" customHeight="1">
      <c r="A64" s="45"/>
      <c r="B64" s="79" t="s">
        <v>43</v>
      </c>
      <c r="C64" s="17"/>
      <c r="D64" s="41"/>
      <c r="E64" s="16"/>
      <c r="F64" s="16"/>
      <c r="G64" s="33"/>
      <c r="H64" s="33"/>
      <c r="I64" s="19"/>
      <c r="J64" s="27"/>
      <c r="L64" s="21"/>
      <c r="M64" s="22"/>
      <c r="N64" s="23"/>
    </row>
    <row r="65" spans="1:21" ht="15.75" hidden="1" customHeight="1">
      <c r="A65" s="45">
        <v>17</v>
      </c>
      <c r="B65" s="15" t="s">
        <v>44</v>
      </c>
      <c r="C65" s="17" t="s">
        <v>110</v>
      </c>
      <c r="D65" s="41" t="s">
        <v>64</v>
      </c>
      <c r="E65" s="19">
        <v>10</v>
      </c>
      <c r="F65" s="95">
        <v>10</v>
      </c>
      <c r="G65" s="13">
        <v>276.74</v>
      </c>
      <c r="H65" s="103">
        <f t="shared" ref="H65:H72" si="8">SUM(F65*G65/1000)</f>
        <v>2.7674000000000003</v>
      </c>
      <c r="I65" s="13">
        <v>0</v>
      </c>
      <c r="J65" s="27"/>
      <c r="L65" s="21"/>
      <c r="M65" s="22"/>
      <c r="N65" s="23"/>
    </row>
    <row r="66" spans="1:21" ht="15.75" hidden="1" customHeight="1">
      <c r="A66" s="33">
        <v>29</v>
      </c>
      <c r="B66" s="15" t="s">
        <v>45</v>
      </c>
      <c r="C66" s="17" t="s">
        <v>110</v>
      </c>
      <c r="D66" s="41" t="s">
        <v>64</v>
      </c>
      <c r="E66" s="19">
        <v>3</v>
      </c>
      <c r="F66" s="95">
        <v>3</v>
      </c>
      <c r="G66" s="13">
        <v>94.89</v>
      </c>
      <c r="H66" s="103">
        <f t="shared" si="8"/>
        <v>0.28467000000000003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8</v>
      </c>
      <c r="B67" s="15" t="s">
        <v>46</v>
      </c>
      <c r="C67" s="17" t="s">
        <v>113</v>
      </c>
      <c r="D67" s="15" t="s">
        <v>51</v>
      </c>
      <c r="E67" s="94">
        <v>7265</v>
      </c>
      <c r="F67" s="13">
        <f>SUM(E67/100)</f>
        <v>72.650000000000006</v>
      </c>
      <c r="G67" s="13">
        <v>263.99</v>
      </c>
      <c r="H67" s="103">
        <f t="shared" si="8"/>
        <v>19.178873500000002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9</v>
      </c>
      <c r="B68" s="15" t="s">
        <v>47</v>
      </c>
      <c r="C68" s="17" t="s">
        <v>114</v>
      </c>
      <c r="D68" s="15" t="s">
        <v>51</v>
      </c>
      <c r="E68" s="94">
        <v>7265</v>
      </c>
      <c r="F68" s="13">
        <f>SUM(E68/1000)</f>
        <v>7.2649999999999997</v>
      </c>
      <c r="G68" s="13">
        <v>205.57</v>
      </c>
      <c r="H68" s="103">
        <f t="shared" si="8"/>
        <v>1.4934660500000001</v>
      </c>
      <c r="I68" s="13">
        <v>0</v>
      </c>
      <c r="J68" s="27"/>
      <c r="L68" s="21"/>
      <c r="M68" s="22"/>
      <c r="N68" s="23"/>
    </row>
    <row r="69" spans="1:21" ht="15.75" hidden="1" customHeight="1">
      <c r="A69" s="33">
        <v>10</v>
      </c>
      <c r="B69" s="15" t="s">
        <v>48</v>
      </c>
      <c r="C69" s="17" t="s">
        <v>74</v>
      </c>
      <c r="D69" s="15" t="s">
        <v>51</v>
      </c>
      <c r="E69" s="94">
        <v>1090</v>
      </c>
      <c r="F69" s="13">
        <f>SUM(E69/100)</f>
        <v>10.9</v>
      </c>
      <c r="G69" s="13">
        <v>2581.5300000000002</v>
      </c>
      <c r="H69" s="103">
        <f t="shared" si="8"/>
        <v>28.138677000000005</v>
      </c>
      <c r="I69" s="13">
        <v>0</v>
      </c>
      <c r="J69" s="27"/>
      <c r="L69" s="21"/>
    </row>
    <row r="70" spans="1:21" ht="15.75" hidden="1" customHeight="1">
      <c r="A70" s="33">
        <v>11</v>
      </c>
      <c r="B70" s="104" t="s">
        <v>115</v>
      </c>
      <c r="C70" s="17" t="s">
        <v>30</v>
      </c>
      <c r="D70" s="15"/>
      <c r="E70" s="94">
        <v>7.4</v>
      </c>
      <c r="F70" s="13">
        <f>SUM(E70)</f>
        <v>7.4</v>
      </c>
      <c r="G70" s="13">
        <v>47.45</v>
      </c>
      <c r="H70" s="103">
        <f t="shared" si="8"/>
        <v>0.35113000000000005</v>
      </c>
      <c r="I70" s="13">
        <v>0</v>
      </c>
    </row>
    <row r="71" spans="1:21" ht="15.75" hidden="1" customHeight="1">
      <c r="A71" s="33">
        <v>12</v>
      </c>
      <c r="B71" s="104" t="s">
        <v>159</v>
      </c>
      <c r="C71" s="17" t="s">
        <v>30</v>
      </c>
      <c r="D71" s="15"/>
      <c r="E71" s="94">
        <v>7.4</v>
      </c>
      <c r="F71" s="13">
        <f>SUM(E71)</f>
        <v>7.4</v>
      </c>
      <c r="G71" s="13">
        <v>44.27</v>
      </c>
      <c r="H71" s="103">
        <f t="shared" si="8"/>
        <v>0.327598</v>
      </c>
      <c r="I71" s="13">
        <v>0</v>
      </c>
    </row>
    <row r="72" spans="1:21" ht="15.75" hidden="1" customHeight="1">
      <c r="A72" s="33">
        <v>13</v>
      </c>
      <c r="B72" s="15" t="s">
        <v>55</v>
      </c>
      <c r="C72" s="17" t="s">
        <v>56</v>
      </c>
      <c r="D72" s="15" t="s">
        <v>51</v>
      </c>
      <c r="E72" s="19">
        <v>3</v>
      </c>
      <c r="F72" s="95">
        <f>SUM(E72)</f>
        <v>3</v>
      </c>
      <c r="G72" s="13">
        <v>62.07</v>
      </c>
      <c r="H72" s="103">
        <f t="shared" si="8"/>
        <v>0.18621000000000001</v>
      </c>
      <c r="I72" s="13">
        <v>0</v>
      </c>
    </row>
    <row r="73" spans="1:21" ht="15.75" hidden="1" customHeight="1">
      <c r="A73" s="57"/>
      <c r="B73" s="79" t="s">
        <v>116</v>
      </c>
      <c r="C73" s="79"/>
      <c r="D73" s="79"/>
      <c r="E73" s="79"/>
      <c r="F73" s="79"/>
      <c r="G73" s="79"/>
      <c r="H73" s="79"/>
      <c r="I73" s="19"/>
      <c r="J73" s="29"/>
      <c r="K73" s="29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5.75" hidden="1" customHeight="1">
      <c r="A74" s="33">
        <v>14</v>
      </c>
      <c r="B74" s="105" t="s">
        <v>117</v>
      </c>
      <c r="C74" s="25"/>
      <c r="D74" s="24"/>
      <c r="E74" s="87"/>
      <c r="F74" s="106">
        <v>1</v>
      </c>
      <c r="G74" s="106">
        <v>12171.2</v>
      </c>
      <c r="H74" s="13">
        <f>G74*F74/1000</f>
        <v>12.171200000000001</v>
      </c>
      <c r="I74" s="13">
        <f>G74</f>
        <v>12171.2</v>
      </c>
      <c r="J74" s="3"/>
      <c r="K74" s="3"/>
      <c r="L74" s="3"/>
      <c r="M74" s="3"/>
      <c r="N74" s="3"/>
      <c r="O74" s="3"/>
      <c r="P74" s="3"/>
      <c r="Q74" s="3"/>
      <c r="S74" s="3"/>
      <c r="T74" s="3"/>
      <c r="U74" s="3"/>
    </row>
    <row r="75" spans="1:21" ht="15.75" hidden="1" customHeight="1">
      <c r="A75" s="33"/>
      <c r="B75" s="53" t="s">
        <v>69</v>
      </c>
      <c r="C75" s="53"/>
      <c r="D75" s="53"/>
      <c r="E75" s="19"/>
      <c r="F75" s="19"/>
      <c r="G75" s="33"/>
      <c r="H75" s="33"/>
      <c r="I75" s="19"/>
      <c r="J75" s="5"/>
      <c r="K75" s="5"/>
      <c r="L75" s="5"/>
      <c r="M75" s="5"/>
      <c r="N75" s="5"/>
      <c r="O75" s="5"/>
      <c r="P75" s="5"/>
      <c r="Q75" s="5"/>
      <c r="R75" s="131"/>
      <c r="S75" s="131"/>
      <c r="T75" s="131"/>
      <c r="U75" s="131"/>
    </row>
    <row r="76" spans="1:21" ht="15.75" hidden="1" customHeight="1">
      <c r="A76" s="33"/>
      <c r="B76" s="15" t="s">
        <v>131</v>
      </c>
      <c r="C76" s="17" t="s">
        <v>118</v>
      </c>
      <c r="D76" s="41" t="s">
        <v>64</v>
      </c>
      <c r="E76" s="19">
        <v>1</v>
      </c>
      <c r="F76" s="13">
        <f>E76</f>
        <v>1</v>
      </c>
      <c r="G76" s="13">
        <v>976.4</v>
      </c>
      <c r="H76" s="103">
        <f>F76*G76/1000</f>
        <v>0.97639999999999993</v>
      </c>
      <c r="I76" s="13">
        <v>0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5.75" hidden="1" customHeight="1">
      <c r="A77" s="33"/>
      <c r="B77" s="15" t="s">
        <v>119</v>
      </c>
      <c r="C77" s="17" t="s">
        <v>120</v>
      </c>
      <c r="D77" s="15"/>
      <c r="E77" s="19">
        <v>1</v>
      </c>
      <c r="F77" s="13">
        <v>1</v>
      </c>
      <c r="G77" s="13">
        <v>750</v>
      </c>
      <c r="H77" s="103">
        <f>F77*G77/1000</f>
        <v>0.75</v>
      </c>
      <c r="I77" s="13">
        <v>0</v>
      </c>
    </row>
    <row r="78" spans="1:21" ht="15.75" hidden="1" customHeight="1">
      <c r="A78" s="33"/>
      <c r="B78" s="15" t="s">
        <v>70</v>
      </c>
      <c r="C78" s="17" t="s">
        <v>72</v>
      </c>
      <c r="D78" s="41" t="s">
        <v>64</v>
      </c>
      <c r="E78" s="19">
        <v>3</v>
      </c>
      <c r="F78" s="13">
        <f>SUM(E78/100)</f>
        <v>0.03</v>
      </c>
      <c r="G78" s="13">
        <v>624.16999999999996</v>
      </c>
      <c r="H78" s="103">
        <f>F78*G78/1000</f>
        <v>1.8725099999999998E-2</v>
      </c>
      <c r="I78" s="13">
        <v>0</v>
      </c>
    </row>
    <row r="79" spans="1:21" ht="15.75" hidden="1" customHeight="1">
      <c r="A79" s="33"/>
      <c r="B79" s="15" t="s">
        <v>71</v>
      </c>
      <c r="C79" s="17" t="s">
        <v>28</v>
      </c>
      <c r="D79" s="41" t="s">
        <v>64</v>
      </c>
      <c r="E79" s="19">
        <v>1</v>
      </c>
      <c r="F79" s="13">
        <v>1</v>
      </c>
      <c r="G79" s="13">
        <v>1061.4100000000001</v>
      </c>
      <c r="H79" s="103">
        <f>F79*G79/1000</f>
        <v>1.0614100000000002</v>
      </c>
      <c r="I79" s="13">
        <v>0</v>
      </c>
    </row>
    <row r="80" spans="1:21" ht="15.75" hidden="1" customHeight="1">
      <c r="A80" s="33">
        <v>17</v>
      </c>
      <c r="B80" s="15" t="s">
        <v>132</v>
      </c>
      <c r="C80" s="17" t="s">
        <v>28</v>
      </c>
      <c r="D80" s="41" t="s">
        <v>64</v>
      </c>
      <c r="E80" s="19">
        <v>1</v>
      </c>
      <c r="F80" s="95">
        <f>SUM(E80)</f>
        <v>1</v>
      </c>
      <c r="G80" s="13">
        <v>446.12</v>
      </c>
      <c r="H80" s="103">
        <f t="shared" ref="H80" si="9">SUM(F80*G80/1000)</f>
        <v>0.44612000000000002</v>
      </c>
      <c r="I80" s="13">
        <v>0</v>
      </c>
    </row>
    <row r="81" spans="1:9" ht="15.75" hidden="1" customHeight="1">
      <c r="A81" s="33"/>
      <c r="B81" s="54" t="s">
        <v>73</v>
      </c>
      <c r="C81" s="42"/>
      <c r="D81" s="33"/>
      <c r="E81" s="19"/>
      <c r="F81" s="19"/>
      <c r="G81" s="40"/>
      <c r="H81" s="40"/>
      <c r="I81" s="19"/>
    </row>
    <row r="82" spans="1:9" ht="15.75" hidden="1" customHeight="1">
      <c r="A82" s="33">
        <v>39</v>
      </c>
      <c r="B82" s="56" t="s">
        <v>121</v>
      </c>
      <c r="C82" s="17" t="s">
        <v>74</v>
      </c>
      <c r="D82" s="15"/>
      <c r="E82" s="19"/>
      <c r="F82" s="13">
        <v>1.35</v>
      </c>
      <c r="G82" s="13">
        <v>3433.68</v>
      </c>
      <c r="H82" s="103">
        <f t="shared" ref="H82" si="10">SUM(F82*G82/1000)</f>
        <v>4.6354679999999995</v>
      </c>
      <c r="I82" s="13">
        <v>0</v>
      </c>
    </row>
    <row r="83" spans="1:9" ht="15.75" hidden="1" customHeight="1">
      <c r="A83" s="33"/>
      <c r="B83" s="79" t="s">
        <v>133</v>
      </c>
      <c r="C83" s="72"/>
      <c r="D83" s="35"/>
      <c r="E83" s="12"/>
      <c r="F83" s="12"/>
      <c r="G83" s="40"/>
      <c r="H83" s="40"/>
      <c r="I83" s="19"/>
    </row>
    <row r="84" spans="1:9" ht="31.5" hidden="1" customHeight="1">
      <c r="A84" s="33"/>
      <c r="B84" s="15" t="s">
        <v>134</v>
      </c>
      <c r="C84" s="17" t="s">
        <v>135</v>
      </c>
      <c r="D84" s="41" t="s">
        <v>64</v>
      </c>
      <c r="E84" s="19">
        <v>6</v>
      </c>
      <c r="F84" s="13">
        <f>E84</f>
        <v>6</v>
      </c>
      <c r="G84" s="13">
        <v>297.44</v>
      </c>
      <c r="H84" s="103">
        <f t="shared" ref="H84:H94" si="11">SUM(F84*G84/1000)</f>
        <v>1.7846399999999998</v>
      </c>
      <c r="I84" s="13">
        <v>0</v>
      </c>
    </row>
    <row r="85" spans="1:9" ht="15.75" hidden="1" customHeight="1">
      <c r="A85" s="33"/>
      <c r="B85" s="15" t="s">
        <v>136</v>
      </c>
      <c r="C85" s="17" t="s">
        <v>79</v>
      </c>
      <c r="D85" s="41" t="s">
        <v>64</v>
      </c>
      <c r="E85" s="19">
        <v>12</v>
      </c>
      <c r="F85" s="13">
        <f>E85</f>
        <v>12</v>
      </c>
      <c r="G85" s="13">
        <v>122.35</v>
      </c>
      <c r="H85" s="103">
        <f t="shared" si="11"/>
        <v>1.4681999999999997</v>
      </c>
      <c r="I85" s="13">
        <v>0</v>
      </c>
    </row>
    <row r="86" spans="1:9" ht="15.75" hidden="1" customHeight="1">
      <c r="A86" s="33"/>
      <c r="B86" s="15" t="s">
        <v>137</v>
      </c>
      <c r="C86" s="17" t="s">
        <v>138</v>
      </c>
      <c r="D86" s="41" t="s">
        <v>64</v>
      </c>
      <c r="E86" s="19">
        <v>9</v>
      </c>
      <c r="F86" s="13">
        <f>E86/3</f>
        <v>3</v>
      </c>
      <c r="G86" s="13">
        <v>1063.47</v>
      </c>
      <c r="H86" s="103">
        <f t="shared" si="11"/>
        <v>3.19041</v>
      </c>
      <c r="I86" s="13">
        <v>0</v>
      </c>
    </row>
    <row r="87" spans="1:9" ht="31.5" hidden="1" customHeight="1">
      <c r="A87" s="33"/>
      <c r="B87" s="15" t="s">
        <v>139</v>
      </c>
      <c r="C87" s="17" t="s">
        <v>140</v>
      </c>
      <c r="D87" s="41" t="s">
        <v>64</v>
      </c>
      <c r="E87" s="19">
        <v>10</v>
      </c>
      <c r="F87" s="13">
        <f>E87/10</f>
        <v>1</v>
      </c>
      <c r="G87" s="13">
        <v>297.99</v>
      </c>
      <c r="H87" s="103">
        <f t="shared" si="11"/>
        <v>0.29799000000000003</v>
      </c>
      <c r="I87" s="13">
        <v>0</v>
      </c>
    </row>
    <row r="88" spans="1:9" ht="31.5" hidden="1" customHeight="1">
      <c r="A88" s="33"/>
      <c r="B88" s="15" t="s">
        <v>141</v>
      </c>
      <c r="C88" s="17" t="s">
        <v>79</v>
      </c>
      <c r="D88" s="41" t="s">
        <v>64</v>
      </c>
      <c r="E88" s="19">
        <v>6</v>
      </c>
      <c r="F88" s="13">
        <f t="shared" ref="F88:F93" si="12">E88</f>
        <v>6</v>
      </c>
      <c r="G88" s="13">
        <v>1564.44</v>
      </c>
      <c r="H88" s="103">
        <f t="shared" si="11"/>
        <v>9.3866399999999999</v>
      </c>
      <c r="I88" s="13">
        <v>0</v>
      </c>
    </row>
    <row r="89" spans="1:9" ht="31.5" hidden="1" customHeight="1">
      <c r="A89" s="33"/>
      <c r="B89" s="15" t="s">
        <v>142</v>
      </c>
      <c r="C89" s="17" t="s">
        <v>79</v>
      </c>
      <c r="D89" s="41" t="s">
        <v>64</v>
      </c>
      <c r="E89" s="19">
        <v>6</v>
      </c>
      <c r="F89" s="13">
        <f t="shared" si="12"/>
        <v>6</v>
      </c>
      <c r="G89" s="13">
        <v>1906.89</v>
      </c>
      <c r="H89" s="103">
        <f t="shared" si="11"/>
        <v>11.44134</v>
      </c>
      <c r="I89" s="13">
        <v>0</v>
      </c>
    </row>
    <row r="90" spans="1:9" ht="31.5" hidden="1" customHeight="1">
      <c r="A90" s="33"/>
      <c r="B90" s="15" t="s">
        <v>143</v>
      </c>
      <c r="C90" s="17" t="s">
        <v>79</v>
      </c>
      <c r="D90" s="41" t="s">
        <v>64</v>
      </c>
      <c r="E90" s="19">
        <v>6</v>
      </c>
      <c r="F90" s="13">
        <f t="shared" si="12"/>
        <v>6</v>
      </c>
      <c r="G90" s="13">
        <v>664.35</v>
      </c>
      <c r="H90" s="103">
        <f t="shared" si="11"/>
        <v>3.9861000000000004</v>
      </c>
      <c r="I90" s="13">
        <v>0</v>
      </c>
    </row>
    <row r="91" spans="1:9" ht="31.5" hidden="1" customHeight="1">
      <c r="A91" s="33"/>
      <c r="B91" s="15" t="s">
        <v>144</v>
      </c>
      <c r="C91" s="17" t="s">
        <v>79</v>
      </c>
      <c r="D91" s="41" t="s">
        <v>64</v>
      </c>
      <c r="E91" s="19">
        <v>6</v>
      </c>
      <c r="F91" s="13">
        <f t="shared" si="12"/>
        <v>6</v>
      </c>
      <c r="G91" s="13">
        <v>778.85</v>
      </c>
      <c r="H91" s="103">
        <f t="shared" si="11"/>
        <v>4.6731000000000007</v>
      </c>
      <c r="I91" s="13">
        <v>0</v>
      </c>
    </row>
    <row r="92" spans="1:9" ht="15.75" hidden="1" customHeight="1">
      <c r="A92" s="33"/>
      <c r="B92" s="15" t="s">
        <v>145</v>
      </c>
      <c r="C92" s="17" t="s">
        <v>118</v>
      </c>
      <c r="D92" s="41" t="s">
        <v>64</v>
      </c>
      <c r="E92" s="19">
        <v>4</v>
      </c>
      <c r="F92" s="13">
        <f t="shared" si="12"/>
        <v>4</v>
      </c>
      <c r="G92" s="13">
        <v>498.11</v>
      </c>
      <c r="H92" s="103">
        <f t="shared" si="11"/>
        <v>1.99244</v>
      </c>
      <c r="I92" s="13">
        <v>0</v>
      </c>
    </row>
    <row r="93" spans="1:9" ht="31.5" hidden="1" customHeight="1">
      <c r="A93" s="33"/>
      <c r="B93" s="15" t="s">
        <v>146</v>
      </c>
      <c r="C93" s="17" t="s">
        <v>79</v>
      </c>
      <c r="D93" s="41" t="s">
        <v>64</v>
      </c>
      <c r="E93" s="19">
        <v>6</v>
      </c>
      <c r="F93" s="13">
        <f t="shared" si="12"/>
        <v>6</v>
      </c>
      <c r="G93" s="13">
        <v>1264.3399999999999</v>
      </c>
      <c r="H93" s="103">
        <f t="shared" si="11"/>
        <v>7.5860399999999988</v>
      </c>
      <c r="I93" s="13">
        <v>0</v>
      </c>
    </row>
    <row r="94" spans="1:9" ht="15.75" hidden="1" customHeight="1">
      <c r="A94" s="33"/>
      <c r="B94" s="15" t="s">
        <v>147</v>
      </c>
      <c r="C94" s="17" t="s">
        <v>27</v>
      </c>
      <c r="D94" s="15" t="s">
        <v>40</v>
      </c>
      <c r="E94" s="19">
        <v>823</v>
      </c>
      <c r="F94" s="13">
        <f>E94*2/1000</f>
        <v>1.6459999999999999</v>
      </c>
      <c r="G94" s="13">
        <v>1707.71</v>
      </c>
      <c r="H94" s="103">
        <f t="shared" si="11"/>
        <v>2.8108906600000001</v>
      </c>
      <c r="I94" s="13">
        <v>0</v>
      </c>
    </row>
    <row r="95" spans="1:9" ht="15.75" customHeight="1">
      <c r="A95" s="144" t="s">
        <v>170</v>
      </c>
      <c r="B95" s="145"/>
      <c r="C95" s="145"/>
      <c r="D95" s="145"/>
      <c r="E95" s="145"/>
      <c r="F95" s="145"/>
      <c r="G95" s="145"/>
      <c r="H95" s="145"/>
      <c r="I95" s="146"/>
    </row>
    <row r="96" spans="1:9" ht="15.75" customHeight="1">
      <c r="A96" s="33">
        <v>10</v>
      </c>
      <c r="B96" s="92" t="s">
        <v>122</v>
      </c>
      <c r="C96" s="17" t="s">
        <v>52</v>
      </c>
      <c r="D96" s="108"/>
      <c r="E96" s="13">
        <v>1832</v>
      </c>
      <c r="F96" s="13">
        <f>SUM(E96*12)</f>
        <v>21984</v>
      </c>
      <c r="G96" s="13">
        <v>2.95</v>
      </c>
      <c r="H96" s="103">
        <f>SUM(F96*G96/1000)</f>
        <v>64.852800000000002</v>
      </c>
      <c r="I96" s="13">
        <f>F96/12*G96</f>
        <v>5404.4000000000005</v>
      </c>
    </row>
    <row r="97" spans="1:9" ht="31.5" customHeight="1">
      <c r="A97" s="33">
        <v>11</v>
      </c>
      <c r="B97" s="15" t="s">
        <v>75</v>
      </c>
      <c r="C97" s="17" t="s">
        <v>160</v>
      </c>
      <c r="D97" s="108"/>
      <c r="E97" s="94">
        <v>1832</v>
      </c>
      <c r="F97" s="13">
        <f>E97*12</f>
        <v>21984</v>
      </c>
      <c r="G97" s="13">
        <v>3.05</v>
      </c>
      <c r="H97" s="103">
        <f>F97*G97/1000</f>
        <v>67.051199999999994</v>
      </c>
      <c r="I97" s="13">
        <f>F97/12*G97</f>
        <v>5587.5999999999995</v>
      </c>
    </row>
    <row r="98" spans="1:9" ht="15.75" customHeight="1">
      <c r="A98" s="57"/>
      <c r="B98" s="43" t="s">
        <v>78</v>
      </c>
      <c r="C98" s="45"/>
      <c r="D98" s="16"/>
      <c r="E98" s="16"/>
      <c r="F98" s="16"/>
      <c r="G98" s="19"/>
      <c r="H98" s="19"/>
      <c r="I98" s="36">
        <f>I97+I96+I43+I42+I41+I40+I39+I27+I18+I17+I16</f>
        <v>20155.611303333335</v>
      </c>
    </row>
    <row r="99" spans="1:9" ht="15.75" customHeight="1">
      <c r="A99" s="147" t="s">
        <v>58</v>
      </c>
      <c r="B99" s="148"/>
      <c r="C99" s="148"/>
      <c r="D99" s="148"/>
      <c r="E99" s="148"/>
      <c r="F99" s="148"/>
      <c r="G99" s="148"/>
      <c r="H99" s="148"/>
      <c r="I99" s="149"/>
    </row>
    <row r="100" spans="1:9" ht="18" customHeight="1">
      <c r="A100" s="109">
        <v>12</v>
      </c>
      <c r="B100" s="112" t="s">
        <v>176</v>
      </c>
      <c r="C100" s="113" t="s">
        <v>177</v>
      </c>
      <c r="D100" s="112"/>
      <c r="E100" s="114"/>
      <c r="F100" s="115">
        <v>24</v>
      </c>
      <c r="G100" s="116">
        <v>1.4</v>
      </c>
      <c r="H100" s="117">
        <f>F100*G100/1000</f>
        <v>3.3599999999999991E-2</v>
      </c>
      <c r="I100" s="118">
        <f>G100*12</f>
        <v>16.799999999999997</v>
      </c>
    </row>
    <row r="101" spans="1:9" ht="30" customHeight="1">
      <c r="A101" s="109">
        <v>13</v>
      </c>
      <c r="B101" s="122" t="s">
        <v>178</v>
      </c>
      <c r="C101" s="123" t="s">
        <v>36</v>
      </c>
      <c r="D101" s="56"/>
      <c r="E101" s="13"/>
      <c r="F101" s="13">
        <v>1</v>
      </c>
      <c r="G101" s="40">
        <v>3914.31</v>
      </c>
      <c r="H101" s="103">
        <f t="shared" ref="H101" si="13">G101*F101/1000</f>
        <v>3.91431</v>
      </c>
      <c r="I101" s="110">
        <f>G101*0.01</f>
        <v>39.143099999999997</v>
      </c>
    </row>
    <row r="102" spans="1:9" ht="27.75" customHeight="1">
      <c r="A102" s="109">
        <v>14</v>
      </c>
      <c r="B102" s="122" t="s">
        <v>208</v>
      </c>
      <c r="C102" s="123" t="s">
        <v>135</v>
      </c>
      <c r="D102" s="56"/>
      <c r="E102" s="13"/>
      <c r="F102" s="13"/>
      <c r="G102" s="40">
        <v>644.72</v>
      </c>
      <c r="H102" s="103"/>
      <c r="I102" s="110">
        <f>G102*1</f>
        <v>644.72</v>
      </c>
    </row>
    <row r="103" spans="1:9" ht="17.25" customHeight="1">
      <c r="A103" s="109">
        <v>15</v>
      </c>
      <c r="B103" s="122" t="s">
        <v>80</v>
      </c>
      <c r="C103" s="123" t="s">
        <v>110</v>
      </c>
      <c r="D103" s="56"/>
      <c r="E103" s="13"/>
      <c r="F103" s="13"/>
      <c r="G103" s="40">
        <v>207.55</v>
      </c>
      <c r="H103" s="103"/>
      <c r="I103" s="110">
        <f>G103*1</f>
        <v>207.55</v>
      </c>
    </row>
    <row r="104" spans="1:9" ht="34.5" customHeight="1">
      <c r="A104" s="109">
        <v>16</v>
      </c>
      <c r="B104" s="122" t="s">
        <v>214</v>
      </c>
      <c r="C104" s="123" t="s">
        <v>211</v>
      </c>
      <c r="D104" s="33" t="s">
        <v>213</v>
      </c>
      <c r="E104" s="13"/>
      <c r="F104" s="13"/>
      <c r="G104" s="40">
        <v>1391</v>
      </c>
      <c r="H104" s="103"/>
      <c r="I104" s="110">
        <f>G104*8</f>
        <v>11128</v>
      </c>
    </row>
    <row r="105" spans="1:9" ht="29.25" customHeight="1">
      <c r="A105" s="109">
        <v>17</v>
      </c>
      <c r="B105" s="122" t="s">
        <v>212</v>
      </c>
      <c r="C105" s="123" t="s">
        <v>183</v>
      </c>
      <c r="D105" s="56"/>
      <c r="E105" s="13"/>
      <c r="F105" s="13"/>
      <c r="G105" s="40">
        <v>26095.37</v>
      </c>
      <c r="H105" s="103"/>
      <c r="I105" s="110">
        <f>G105*0.01</f>
        <v>260.95369999999997</v>
      </c>
    </row>
    <row r="106" spans="1:9" ht="27.75" customHeight="1">
      <c r="A106" s="109">
        <v>18</v>
      </c>
      <c r="B106" s="41" t="s">
        <v>188</v>
      </c>
      <c r="C106" s="42" t="s">
        <v>97</v>
      </c>
      <c r="D106" s="56"/>
      <c r="E106" s="13"/>
      <c r="F106" s="13"/>
      <c r="G106" s="40">
        <v>19757.060000000001</v>
      </c>
      <c r="H106" s="103"/>
      <c r="I106" s="110">
        <f>G106*0.001</f>
        <v>19.757060000000003</v>
      </c>
    </row>
    <row r="107" spans="1:9" ht="15.75" customHeight="1">
      <c r="A107" s="33"/>
      <c r="B107" s="50" t="s">
        <v>49</v>
      </c>
      <c r="C107" s="46"/>
      <c r="D107" s="58"/>
      <c r="E107" s="46">
        <v>1</v>
      </c>
      <c r="F107" s="46"/>
      <c r="G107" s="46"/>
      <c r="H107" s="46"/>
      <c r="I107" s="36">
        <f>SUM(I100:I106)</f>
        <v>12316.923860000001</v>
      </c>
    </row>
    <row r="108" spans="1:9" ht="15.75" customHeight="1">
      <c r="A108" s="33"/>
      <c r="B108" s="56" t="s">
        <v>76</v>
      </c>
      <c r="C108" s="16"/>
      <c r="D108" s="16"/>
      <c r="E108" s="47"/>
      <c r="F108" s="47"/>
      <c r="G108" s="48"/>
      <c r="H108" s="48"/>
      <c r="I108" s="18">
        <v>0</v>
      </c>
    </row>
    <row r="109" spans="1:9" ht="15.75" customHeight="1">
      <c r="A109" s="59"/>
      <c r="B109" s="51" t="s">
        <v>161</v>
      </c>
      <c r="C109" s="38"/>
      <c r="D109" s="38"/>
      <c r="E109" s="38"/>
      <c r="F109" s="38"/>
      <c r="G109" s="38"/>
      <c r="H109" s="38"/>
      <c r="I109" s="49">
        <f>I98+I107</f>
        <v>32472.535163333334</v>
      </c>
    </row>
    <row r="110" spans="1:9" ht="15.75" customHeight="1">
      <c r="A110" s="136" t="s">
        <v>227</v>
      </c>
      <c r="B110" s="136"/>
      <c r="C110" s="136"/>
      <c r="D110" s="136"/>
      <c r="E110" s="136"/>
      <c r="F110" s="136"/>
      <c r="G110" s="136"/>
      <c r="H110" s="136"/>
      <c r="I110" s="136"/>
    </row>
    <row r="111" spans="1:9" ht="15.75" customHeight="1">
      <c r="A111" s="80"/>
      <c r="B111" s="150" t="s">
        <v>228</v>
      </c>
      <c r="C111" s="150"/>
      <c r="D111" s="150"/>
      <c r="E111" s="150"/>
      <c r="F111" s="150"/>
      <c r="G111" s="150"/>
      <c r="H111" s="90"/>
      <c r="I111" s="3"/>
    </row>
    <row r="112" spans="1:9" ht="15.75" customHeight="1">
      <c r="A112" s="74"/>
      <c r="B112" s="151" t="s">
        <v>6</v>
      </c>
      <c r="C112" s="151"/>
      <c r="D112" s="151"/>
      <c r="E112" s="151"/>
      <c r="F112" s="151"/>
      <c r="G112" s="151"/>
      <c r="H112" s="28"/>
      <c r="I112" s="5"/>
    </row>
    <row r="113" spans="1:9" ht="15.75" customHeight="1">
      <c r="A113" s="9"/>
      <c r="B113" s="9"/>
      <c r="C113" s="9"/>
      <c r="D113" s="9"/>
      <c r="E113" s="9"/>
      <c r="F113" s="9"/>
      <c r="G113" s="9"/>
      <c r="H113" s="9"/>
      <c r="I113" s="9"/>
    </row>
    <row r="114" spans="1:9" ht="15.75" customHeight="1">
      <c r="A114" s="135" t="s">
        <v>7</v>
      </c>
      <c r="B114" s="135"/>
      <c r="C114" s="135"/>
      <c r="D114" s="135"/>
      <c r="E114" s="135"/>
      <c r="F114" s="135"/>
      <c r="G114" s="135"/>
      <c r="H114" s="135"/>
      <c r="I114" s="135"/>
    </row>
    <row r="115" spans="1:9" ht="15.75" customHeight="1">
      <c r="A115" s="135" t="s">
        <v>8</v>
      </c>
      <c r="B115" s="135"/>
      <c r="C115" s="135"/>
      <c r="D115" s="135"/>
      <c r="E115" s="135"/>
      <c r="F115" s="135"/>
      <c r="G115" s="135"/>
      <c r="H115" s="135"/>
      <c r="I115" s="135"/>
    </row>
    <row r="116" spans="1:9" ht="15.75" customHeight="1">
      <c r="A116" s="155" t="s">
        <v>59</v>
      </c>
      <c r="B116" s="155"/>
      <c r="C116" s="155"/>
      <c r="D116" s="155"/>
      <c r="E116" s="155"/>
      <c r="F116" s="155"/>
      <c r="G116" s="155"/>
      <c r="H116" s="155"/>
      <c r="I116" s="155"/>
    </row>
    <row r="117" spans="1:9" ht="15.75" customHeight="1">
      <c r="A117" s="10"/>
    </row>
    <row r="118" spans="1:9" ht="15.75" customHeight="1">
      <c r="A118" s="156" t="s">
        <v>9</v>
      </c>
      <c r="B118" s="156"/>
      <c r="C118" s="156"/>
      <c r="D118" s="156"/>
      <c r="E118" s="156"/>
      <c r="F118" s="156"/>
      <c r="G118" s="156"/>
      <c r="H118" s="156"/>
      <c r="I118" s="156"/>
    </row>
    <row r="119" spans="1:9" ht="15.75" customHeight="1">
      <c r="A119" s="4"/>
    </row>
    <row r="120" spans="1:9" ht="15.75" customHeight="1">
      <c r="B120" s="77" t="s">
        <v>10</v>
      </c>
      <c r="C120" s="157" t="s">
        <v>85</v>
      </c>
      <c r="D120" s="157"/>
      <c r="E120" s="157"/>
      <c r="F120" s="88"/>
      <c r="I120" s="76"/>
    </row>
    <row r="121" spans="1:9" ht="15.75" customHeight="1">
      <c r="A121" s="74"/>
      <c r="C121" s="151" t="s">
        <v>11</v>
      </c>
      <c r="D121" s="151"/>
      <c r="E121" s="151"/>
      <c r="F121" s="28"/>
      <c r="I121" s="75" t="s">
        <v>12</v>
      </c>
    </row>
    <row r="122" spans="1:9" ht="15.75" customHeight="1">
      <c r="A122" s="29"/>
      <c r="C122" s="11"/>
      <c r="D122" s="11"/>
      <c r="G122" s="11"/>
      <c r="H122" s="11"/>
    </row>
    <row r="123" spans="1:9" ht="15.75" customHeight="1">
      <c r="B123" s="77" t="s">
        <v>13</v>
      </c>
      <c r="C123" s="152"/>
      <c r="D123" s="152"/>
      <c r="E123" s="152"/>
      <c r="F123" s="89"/>
      <c r="I123" s="76"/>
    </row>
    <row r="124" spans="1:9" ht="15.75" customHeight="1">
      <c r="A124" s="74"/>
      <c r="C124" s="131" t="s">
        <v>11</v>
      </c>
      <c r="D124" s="131"/>
      <c r="E124" s="131"/>
      <c r="F124" s="74"/>
      <c r="I124" s="75" t="s">
        <v>12</v>
      </c>
    </row>
    <row r="125" spans="1:9" ht="15.75" customHeight="1">
      <c r="A125" s="4" t="s">
        <v>14</v>
      </c>
    </row>
    <row r="126" spans="1:9" ht="15.75" customHeight="1">
      <c r="A126" s="154" t="s">
        <v>15</v>
      </c>
      <c r="B126" s="154"/>
      <c r="C126" s="154"/>
      <c r="D126" s="154"/>
      <c r="E126" s="154"/>
      <c r="F126" s="154"/>
      <c r="G126" s="154"/>
      <c r="H126" s="154"/>
      <c r="I126" s="154"/>
    </row>
    <row r="127" spans="1:9" ht="45" customHeight="1">
      <c r="A127" s="153" t="s">
        <v>16</v>
      </c>
      <c r="B127" s="153"/>
      <c r="C127" s="153"/>
      <c r="D127" s="153"/>
      <c r="E127" s="153"/>
      <c r="F127" s="153"/>
      <c r="G127" s="153"/>
      <c r="H127" s="153"/>
      <c r="I127" s="153"/>
    </row>
    <row r="128" spans="1:9" ht="30" customHeight="1">
      <c r="A128" s="153" t="s">
        <v>17</v>
      </c>
      <c r="B128" s="153"/>
      <c r="C128" s="153"/>
      <c r="D128" s="153"/>
      <c r="E128" s="153"/>
      <c r="F128" s="153"/>
      <c r="G128" s="153"/>
      <c r="H128" s="153"/>
      <c r="I128" s="153"/>
    </row>
    <row r="129" spans="1:9" ht="30" customHeight="1">
      <c r="A129" s="153" t="s">
        <v>21</v>
      </c>
      <c r="B129" s="153"/>
      <c r="C129" s="153"/>
      <c r="D129" s="153"/>
      <c r="E129" s="153"/>
      <c r="F129" s="153"/>
      <c r="G129" s="153"/>
      <c r="H129" s="153"/>
      <c r="I129" s="153"/>
    </row>
    <row r="130" spans="1:9" ht="15" customHeight="1">
      <c r="A130" s="153" t="s">
        <v>20</v>
      </c>
      <c r="B130" s="153"/>
      <c r="C130" s="153"/>
      <c r="D130" s="153"/>
      <c r="E130" s="153"/>
      <c r="F130" s="153"/>
      <c r="G130" s="153"/>
      <c r="H130" s="153"/>
      <c r="I130" s="153"/>
    </row>
  </sheetData>
  <autoFilter ref="I12:I71"/>
  <mergeCells count="29">
    <mergeCell ref="A126:I126"/>
    <mergeCell ref="A127:I127"/>
    <mergeCell ref="A128:I128"/>
    <mergeCell ref="A129:I129"/>
    <mergeCell ref="A130:I130"/>
    <mergeCell ref="R75:U75"/>
    <mergeCell ref="C124:E124"/>
    <mergeCell ref="A99:I99"/>
    <mergeCell ref="A110:I110"/>
    <mergeCell ref="B111:G111"/>
    <mergeCell ref="B112:G112"/>
    <mergeCell ref="A114:I114"/>
    <mergeCell ref="A115:I115"/>
    <mergeCell ref="A116:I116"/>
    <mergeCell ref="A118:I118"/>
    <mergeCell ref="C120:E120"/>
    <mergeCell ref="C121:E121"/>
    <mergeCell ref="C123:E123"/>
    <mergeCell ref="A95:I95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U131"/>
  <sheetViews>
    <sheetView workbookViewId="0">
      <selection activeCell="K96" sqref="K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179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37" t="s">
        <v>167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123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215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43616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180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148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57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3">
        <v>1</v>
      </c>
      <c r="B16" s="92" t="s">
        <v>84</v>
      </c>
      <c r="C16" s="93" t="s">
        <v>86</v>
      </c>
      <c r="D16" s="92" t="s">
        <v>233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124</v>
      </c>
      <c r="C17" s="93" t="s">
        <v>86</v>
      </c>
      <c r="D17" s="92" t="s">
        <v>234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87</v>
      </c>
      <c r="C18" s="93" t="s">
        <v>86</v>
      </c>
      <c r="D18" s="92" t="s">
        <v>237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customHeight="1">
      <c r="A19" s="33">
        <v>4</v>
      </c>
      <c r="B19" s="92" t="s">
        <v>88</v>
      </c>
      <c r="C19" s="93" t="s">
        <v>89</v>
      </c>
      <c r="D19" s="92" t="s">
        <v>238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F19*G19</f>
        <v>323.9622</v>
      </c>
      <c r="J19" s="26"/>
      <c r="K19" s="8"/>
      <c r="L19" s="8"/>
      <c r="M19" s="8"/>
    </row>
    <row r="20" spans="1:13" ht="15.75" customHeight="1">
      <c r="A20" s="33">
        <v>5</v>
      </c>
      <c r="B20" s="92" t="s">
        <v>95</v>
      </c>
      <c r="C20" s="93" t="s">
        <v>50</v>
      </c>
      <c r="D20" s="92" t="s">
        <v>239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customHeight="1">
      <c r="A21" s="33">
        <v>6</v>
      </c>
      <c r="B21" s="92" t="s">
        <v>91</v>
      </c>
      <c r="C21" s="93" t="s">
        <v>86</v>
      </c>
      <c r="D21" s="92" t="s">
        <v>240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customHeight="1">
      <c r="A22" s="33">
        <v>7</v>
      </c>
      <c r="B22" s="92" t="s">
        <v>92</v>
      </c>
      <c r="C22" s="93" t="s">
        <v>86</v>
      </c>
      <c r="D22" s="92" t="s">
        <v>240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customHeight="1">
      <c r="A23" s="33">
        <v>8</v>
      </c>
      <c r="B23" s="92" t="s">
        <v>93</v>
      </c>
      <c r="C23" s="93" t="s">
        <v>50</v>
      </c>
      <c r="D23" s="92" t="s">
        <v>241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customHeight="1">
      <c r="A24" s="33">
        <v>9</v>
      </c>
      <c r="B24" s="92" t="s">
        <v>94</v>
      </c>
      <c r="C24" s="93" t="s">
        <v>50</v>
      </c>
      <c r="D24" s="92" t="s">
        <v>241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customHeight="1">
      <c r="A25" s="33">
        <v>10</v>
      </c>
      <c r="B25" s="92" t="s">
        <v>96</v>
      </c>
      <c r="C25" s="93" t="s">
        <v>50</v>
      </c>
      <c r="D25" s="92" t="s">
        <v>242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customHeight="1">
      <c r="A26" s="33">
        <v>11</v>
      </c>
      <c r="B26" s="92" t="s">
        <v>126</v>
      </c>
      <c r="C26" s="93" t="s">
        <v>50</v>
      </c>
      <c r="D26" s="92" t="s">
        <v>239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12</v>
      </c>
      <c r="B27" s="92" t="s">
        <v>220</v>
      </c>
      <c r="C27" s="44" t="s">
        <v>177</v>
      </c>
      <c r="D27" s="127" t="s">
        <v>237</v>
      </c>
      <c r="E27" s="128">
        <v>2.5099999999999998</v>
      </c>
      <c r="F27" s="129">
        <f>E27*258</f>
        <v>647.57999999999993</v>
      </c>
      <c r="G27" s="129">
        <v>10.39</v>
      </c>
      <c r="H27" s="96">
        <f t="shared" ref="H27" si="3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3" t="s">
        <v>82</v>
      </c>
      <c r="B28" s="143"/>
      <c r="C28" s="143"/>
      <c r="D28" s="143"/>
      <c r="E28" s="143"/>
      <c r="F28" s="143"/>
      <c r="G28" s="143"/>
      <c r="H28" s="143"/>
      <c r="I28" s="143"/>
      <c r="J28" s="26"/>
      <c r="K28" s="8"/>
      <c r="L28" s="8"/>
      <c r="M28" s="8"/>
    </row>
    <row r="29" spans="1:13" ht="15.75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customHeight="1">
      <c r="A30" s="45">
        <v>13</v>
      </c>
      <c r="B30" s="92" t="s">
        <v>154</v>
      </c>
      <c r="C30" s="93" t="s">
        <v>97</v>
      </c>
      <c r="D30" s="92" t="s">
        <v>234</v>
      </c>
      <c r="E30" s="95">
        <v>306.55</v>
      </c>
      <c r="F30" s="95">
        <f>SUM(E30*52/1000)</f>
        <v>15.9406</v>
      </c>
      <c r="G30" s="95">
        <v>193.97</v>
      </c>
      <c r="H30" s="96">
        <f t="shared" ref="H30:H35" si="4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customHeight="1">
      <c r="A31" s="45">
        <v>14</v>
      </c>
      <c r="B31" s="92" t="s">
        <v>99</v>
      </c>
      <c r="C31" s="93" t="s">
        <v>97</v>
      </c>
      <c r="D31" s="92" t="s">
        <v>233</v>
      </c>
      <c r="E31" s="95">
        <v>42.5</v>
      </c>
      <c r="F31" s="95">
        <f>SUM(E31*78/1000)</f>
        <v>3.3149999999999999</v>
      </c>
      <c r="G31" s="95">
        <v>321.82</v>
      </c>
      <c r="H31" s="96">
        <f t="shared" si="4"/>
        <v>1.0668333000000001</v>
      </c>
      <c r="I31" s="13">
        <f t="shared" ref="I31:I33" si="5">F31/6*G31</f>
        <v>177.80554999999998</v>
      </c>
      <c r="J31" s="26"/>
      <c r="K31" s="8"/>
      <c r="L31" s="8"/>
      <c r="M31" s="8"/>
    </row>
    <row r="32" spans="1:13" ht="15.75" customHeight="1">
      <c r="A32" s="45">
        <v>15</v>
      </c>
      <c r="B32" s="92" t="s">
        <v>153</v>
      </c>
      <c r="C32" s="93" t="s">
        <v>97</v>
      </c>
      <c r="D32" s="92" t="s">
        <v>239</v>
      </c>
      <c r="E32" s="95">
        <v>306.55</v>
      </c>
      <c r="F32" s="95">
        <f>SUM(E32/1000)</f>
        <v>0.30654999999999999</v>
      </c>
      <c r="G32" s="95">
        <v>3758.28</v>
      </c>
      <c r="H32" s="96">
        <f t="shared" si="4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customHeight="1">
      <c r="A33" s="45">
        <v>16</v>
      </c>
      <c r="B33" s="92" t="s">
        <v>127</v>
      </c>
      <c r="C33" s="93" t="s">
        <v>38</v>
      </c>
      <c r="D33" s="92" t="s">
        <v>243</v>
      </c>
      <c r="E33" s="95">
        <v>3</v>
      </c>
      <c r="F33" s="95">
        <f>E33*155/100</f>
        <v>4.6500000000000004</v>
      </c>
      <c r="G33" s="95">
        <v>1620.15</v>
      </c>
      <c r="H33" s="96">
        <f t="shared" si="4"/>
        <v>7.5336975000000015</v>
      </c>
      <c r="I33" s="13">
        <f t="shared" si="5"/>
        <v>1255.61625</v>
      </c>
      <c r="J33" s="26"/>
      <c r="K33" s="8"/>
      <c r="L33" s="8"/>
      <c r="M33" s="8"/>
    </row>
    <row r="34" spans="1:14" ht="15.75" hidden="1" customHeight="1">
      <c r="A34" s="45">
        <v>4</v>
      </c>
      <c r="B34" s="92" t="s">
        <v>62</v>
      </c>
      <c r="C34" s="93" t="s">
        <v>30</v>
      </c>
      <c r="D34" s="92" t="s">
        <v>64</v>
      </c>
      <c r="E34" s="94"/>
      <c r="F34" s="95">
        <v>2</v>
      </c>
      <c r="G34" s="95">
        <v>238.07</v>
      </c>
      <c r="H34" s="96">
        <f t="shared" si="4"/>
        <v>0.47614000000000001</v>
      </c>
      <c r="I34" s="13">
        <v>0</v>
      </c>
      <c r="J34" s="26"/>
      <c r="K34" s="8"/>
    </row>
    <row r="35" spans="1:14" ht="15.75" hidden="1" customHeight="1">
      <c r="A35" s="33">
        <v>8</v>
      </c>
      <c r="B35" s="92" t="s">
        <v>63</v>
      </c>
      <c r="C35" s="93" t="s">
        <v>29</v>
      </c>
      <c r="D35" s="92" t="s">
        <v>64</v>
      </c>
      <c r="E35" s="94"/>
      <c r="F35" s="95">
        <v>3</v>
      </c>
      <c r="G35" s="95">
        <v>1413.96</v>
      </c>
      <c r="H35" s="96">
        <f t="shared" si="4"/>
        <v>4.2418800000000001</v>
      </c>
      <c r="I35" s="13">
        <v>0</v>
      </c>
      <c r="J35" s="27"/>
    </row>
    <row r="36" spans="1:14" ht="15.75" hidden="1" customHeight="1">
      <c r="A36" s="45"/>
      <c r="B36" s="53" t="s">
        <v>5</v>
      </c>
      <c r="C36" s="53"/>
      <c r="D36" s="53"/>
      <c r="E36" s="13"/>
      <c r="F36" s="13"/>
      <c r="G36" s="14"/>
      <c r="H36" s="14"/>
      <c r="I36" s="19"/>
      <c r="J36" s="27"/>
    </row>
    <row r="37" spans="1:14" ht="15.75" hidden="1" customHeight="1">
      <c r="A37" s="37">
        <v>6</v>
      </c>
      <c r="B37" s="92" t="s">
        <v>25</v>
      </c>
      <c r="C37" s="93" t="s">
        <v>29</v>
      </c>
      <c r="D37" s="92"/>
      <c r="E37" s="94"/>
      <c r="F37" s="95">
        <v>2</v>
      </c>
      <c r="G37" s="95">
        <v>1900.37</v>
      </c>
      <c r="H37" s="96">
        <f t="shared" ref="H37:H42" si="6">SUM(F37*G37/1000)</f>
        <v>3.8007399999999998</v>
      </c>
      <c r="I37" s="13">
        <f t="shared" ref="I37:I42" si="7">F37/6*G37</f>
        <v>633.45666666666659</v>
      </c>
      <c r="J37" s="27"/>
    </row>
    <row r="38" spans="1:14" ht="15.75" hidden="1" customHeight="1">
      <c r="A38" s="37">
        <v>7</v>
      </c>
      <c r="B38" s="92" t="s">
        <v>65</v>
      </c>
      <c r="C38" s="93" t="s">
        <v>27</v>
      </c>
      <c r="D38" s="92" t="s">
        <v>102</v>
      </c>
      <c r="E38" s="95">
        <v>42.5</v>
      </c>
      <c r="F38" s="95">
        <f>SUM(E38*30/1000)</f>
        <v>1.2749999999999999</v>
      </c>
      <c r="G38" s="95">
        <v>2616.4899999999998</v>
      </c>
      <c r="H38" s="96">
        <f t="shared" si="6"/>
        <v>3.3360247499999995</v>
      </c>
      <c r="I38" s="13">
        <f t="shared" si="7"/>
        <v>556.00412499999993</v>
      </c>
      <c r="J38" s="27"/>
    </row>
    <row r="39" spans="1:14" ht="15.75" hidden="1" customHeight="1">
      <c r="A39" s="37">
        <v>8</v>
      </c>
      <c r="B39" s="92" t="s">
        <v>66</v>
      </c>
      <c r="C39" s="93" t="s">
        <v>27</v>
      </c>
      <c r="D39" s="92" t="s">
        <v>103</v>
      </c>
      <c r="E39" s="95">
        <v>42.5</v>
      </c>
      <c r="F39" s="95">
        <f>SUM(E39*155/1000)</f>
        <v>6.5875000000000004</v>
      </c>
      <c r="G39" s="95">
        <v>436.45</v>
      </c>
      <c r="H39" s="96">
        <f t="shared" si="6"/>
        <v>2.8751143749999999</v>
      </c>
      <c r="I39" s="13">
        <f t="shared" si="7"/>
        <v>479.18572916666665</v>
      </c>
      <c r="J39" s="27"/>
    </row>
    <row r="40" spans="1:14" ht="47.25" hidden="1" customHeight="1">
      <c r="A40" s="37">
        <v>9</v>
      </c>
      <c r="B40" s="92" t="s">
        <v>81</v>
      </c>
      <c r="C40" s="93" t="s">
        <v>97</v>
      </c>
      <c r="D40" s="92" t="s">
        <v>104</v>
      </c>
      <c r="E40" s="95">
        <v>42.5</v>
      </c>
      <c r="F40" s="95">
        <f>SUM(E40*35/1000)</f>
        <v>1.4875</v>
      </c>
      <c r="G40" s="95">
        <v>7221.21</v>
      </c>
      <c r="H40" s="96">
        <f t="shared" si="6"/>
        <v>10.741549875</v>
      </c>
      <c r="I40" s="13">
        <f t="shared" si="7"/>
        <v>1790.2583125000001</v>
      </c>
      <c r="J40" s="27"/>
    </row>
    <row r="41" spans="1:14" ht="15.75" hidden="1" customHeight="1">
      <c r="A41" s="37">
        <v>10</v>
      </c>
      <c r="B41" s="92" t="s">
        <v>105</v>
      </c>
      <c r="C41" s="93" t="s">
        <v>97</v>
      </c>
      <c r="D41" s="92" t="s">
        <v>106</v>
      </c>
      <c r="E41" s="95">
        <v>42.5</v>
      </c>
      <c r="F41" s="95">
        <f>SUM(E41*20/1000)</f>
        <v>0.85</v>
      </c>
      <c r="G41" s="95">
        <v>533.45000000000005</v>
      </c>
      <c r="H41" s="96">
        <f t="shared" si="6"/>
        <v>0.45343250000000002</v>
      </c>
      <c r="I41" s="13">
        <f t="shared" si="7"/>
        <v>75.572083333333339</v>
      </c>
      <c r="J41" s="27"/>
      <c r="L41" s="21"/>
      <c r="M41" s="22"/>
      <c r="N41" s="23"/>
    </row>
    <row r="42" spans="1:14" ht="15.75" hidden="1" customHeight="1">
      <c r="A42" s="37">
        <v>11</v>
      </c>
      <c r="B42" s="92" t="s">
        <v>67</v>
      </c>
      <c r="C42" s="93" t="s">
        <v>30</v>
      </c>
      <c r="D42" s="92"/>
      <c r="E42" s="94"/>
      <c r="F42" s="95">
        <v>0.5</v>
      </c>
      <c r="G42" s="95">
        <v>992.97</v>
      </c>
      <c r="H42" s="96">
        <f t="shared" si="6"/>
        <v>0.49648500000000001</v>
      </c>
      <c r="I42" s="13">
        <f t="shared" si="7"/>
        <v>82.747500000000002</v>
      </c>
      <c r="J42" s="27"/>
      <c r="L42" s="21"/>
      <c r="M42" s="22"/>
      <c r="N42" s="23"/>
    </row>
    <row r="43" spans="1:14" ht="15.75" customHeight="1">
      <c r="A43" s="132" t="s">
        <v>150</v>
      </c>
      <c r="B43" s="133"/>
      <c r="C43" s="133"/>
      <c r="D43" s="133"/>
      <c r="E43" s="133"/>
      <c r="F43" s="133"/>
      <c r="G43" s="133"/>
      <c r="H43" s="133"/>
      <c r="I43" s="134"/>
      <c r="J43" s="27"/>
      <c r="L43" s="21"/>
      <c r="M43" s="22"/>
      <c r="N43" s="23"/>
    </row>
    <row r="44" spans="1:14" ht="15.75" customHeight="1">
      <c r="A44" s="45">
        <v>17</v>
      </c>
      <c r="B44" s="92" t="s">
        <v>107</v>
      </c>
      <c r="C44" s="93" t="s">
        <v>97</v>
      </c>
      <c r="D44" s="92" t="s">
        <v>240</v>
      </c>
      <c r="E44" s="94">
        <v>1060.4000000000001</v>
      </c>
      <c r="F44" s="95">
        <f>SUM(E44*2/1000)</f>
        <v>2.1208</v>
      </c>
      <c r="G44" s="13">
        <v>1283.46</v>
      </c>
      <c r="H44" s="96">
        <f t="shared" ref="H44:H54" si="8">SUM(F44*G44/1000)</f>
        <v>2.721961968</v>
      </c>
      <c r="I44" s="13">
        <f t="shared" ref="I44:I47" si="9">F44/2*G44</f>
        <v>1360.980984</v>
      </c>
      <c r="J44" s="27"/>
      <c r="L44" s="21"/>
      <c r="M44" s="22"/>
      <c r="N44" s="23"/>
    </row>
    <row r="45" spans="1:14" ht="15.75" customHeight="1">
      <c r="A45" s="45">
        <v>18</v>
      </c>
      <c r="B45" s="92" t="s">
        <v>33</v>
      </c>
      <c r="C45" s="93" t="s">
        <v>97</v>
      </c>
      <c r="D45" s="92" t="s">
        <v>240</v>
      </c>
      <c r="E45" s="94">
        <v>19.8</v>
      </c>
      <c r="F45" s="95">
        <f>SUM(E45*2/1000)</f>
        <v>3.9600000000000003E-2</v>
      </c>
      <c r="G45" s="13">
        <v>721.04</v>
      </c>
      <c r="H45" s="96">
        <f t="shared" si="8"/>
        <v>2.8553184000000002E-2</v>
      </c>
      <c r="I45" s="13">
        <f t="shared" si="9"/>
        <v>14.276592000000001</v>
      </c>
      <c r="J45" s="27"/>
      <c r="L45" s="21"/>
      <c r="M45" s="22"/>
      <c r="N45" s="23"/>
    </row>
    <row r="46" spans="1:14" ht="15.75" customHeight="1">
      <c r="A46" s="45">
        <v>19</v>
      </c>
      <c r="B46" s="92" t="s">
        <v>34</v>
      </c>
      <c r="C46" s="93" t="s">
        <v>97</v>
      </c>
      <c r="D46" s="92" t="s">
        <v>240</v>
      </c>
      <c r="E46" s="94">
        <v>660.84</v>
      </c>
      <c r="F46" s="95">
        <f>SUM(E46*2/1000)</f>
        <v>1.32168</v>
      </c>
      <c r="G46" s="13">
        <v>1711.28</v>
      </c>
      <c r="H46" s="96">
        <f t="shared" si="8"/>
        <v>2.2617645503999997</v>
      </c>
      <c r="I46" s="13">
        <f t="shared" si="9"/>
        <v>1130.8822751999999</v>
      </c>
      <c r="J46" s="27"/>
      <c r="L46" s="21"/>
      <c r="M46" s="22"/>
      <c r="N46" s="23"/>
    </row>
    <row r="47" spans="1:14" ht="15.75" customHeight="1">
      <c r="A47" s="45">
        <v>20</v>
      </c>
      <c r="B47" s="92" t="s">
        <v>35</v>
      </c>
      <c r="C47" s="93" t="s">
        <v>97</v>
      </c>
      <c r="D47" s="92" t="s">
        <v>240</v>
      </c>
      <c r="E47" s="94">
        <v>1156.21</v>
      </c>
      <c r="F47" s="95">
        <f>SUM(E47*2/1000)</f>
        <v>2.3124199999999999</v>
      </c>
      <c r="G47" s="13">
        <v>1179.73</v>
      </c>
      <c r="H47" s="96">
        <f t="shared" si="8"/>
        <v>2.7280312466000001</v>
      </c>
      <c r="I47" s="13">
        <f t="shared" si="9"/>
        <v>1364.0156233</v>
      </c>
      <c r="J47" s="27"/>
      <c r="L47" s="21"/>
      <c r="M47" s="22"/>
      <c r="N47" s="23"/>
    </row>
    <row r="48" spans="1:14" ht="15.75" customHeight="1">
      <c r="A48" s="45">
        <v>21</v>
      </c>
      <c r="B48" s="92" t="s">
        <v>31</v>
      </c>
      <c r="C48" s="93" t="s">
        <v>32</v>
      </c>
      <c r="D48" s="92" t="s">
        <v>240</v>
      </c>
      <c r="E48" s="94">
        <v>15.38</v>
      </c>
      <c r="F48" s="95">
        <f>SUM(E48*2/100)</f>
        <v>0.30760000000000004</v>
      </c>
      <c r="G48" s="13">
        <v>90.61</v>
      </c>
      <c r="H48" s="96">
        <f t="shared" si="8"/>
        <v>2.7871636000000002E-2</v>
      </c>
      <c r="I48" s="13">
        <f>F48/2*G48</f>
        <v>13.935818000000001</v>
      </c>
      <c r="J48" s="27"/>
      <c r="L48" s="21"/>
      <c r="M48" s="22"/>
      <c r="N48" s="23"/>
    </row>
    <row r="49" spans="1:14" ht="15.75" customHeight="1">
      <c r="A49" s="45">
        <v>22</v>
      </c>
      <c r="B49" s="92" t="s">
        <v>54</v>
      </c>
      <c r="C49" s="93" t="s">
        <v>97</v>
      </c>
      <c r="D49" s="92" t="s">
        <v>240</v>
      </c>
      <c r="E49" s="94">
        <v>823</v>
      </c>
      <c r="F49" s="95">
        <f>SUM(E49*5/1000)</f>
        <v>4.1150000000000002</v>
      </c>
      <c r="G49" s="13">
        <v>1711.28</v>
      </c>
      <c r="H49" s="96">
        <f t="shared" si="8"/>
        <v>7.0419171999999994</v>
      </c>
      <c r="I49" s="13">
        <f>F49/5*G49</f>
        <v>1408.3834400000001</v>
      </c>
      <c r="J49" s="27"/>
      <c r="L49" s="21"/>
      <c r="M49" s="22"/>
      <c r="N49" s="23"/>
    </row>
    <row r="50" spans="1:14" ht="33.75" customHeight="1">
      <c r="A50" s="45">
        <v>23</v>
      </c>
      <c r="B50" s="92" t="s">
        <v>108</v>
      </c>
      <c r="C50" s="93" t="s">
        <v>97</v>
      </c>
      <c r="D50" s="92" t="s">
        <v>240</v>
      </c>
      <c r="E50" s="94">
        <v>823</v>
      </c>
      <c r="F50" s="95">
        <f>SUM(E50*2/1000)</f>
        <v>1.6459999999999999</v>
      </c>
      <c r="G50" s="13">
        <v>1510.06</v>
      </c>
      <c r="H50" s="96">
        <f t="shared" si="8"/>
        <v>2.48555876</v>
      </c>
      <c r="I50" s="13">
        <f>F50/2*G50</f>
        <v>1242.7793799999999</v>
      </c>
      <c r="J50" s="27"/>
      <c r="L50" s="21"/>
      <c r="M50" s="22"/>
      <c r="N50" s="23"/>
    </row>
    <row r="51" spans="1:14" ht="29.25" customHeight="1">
      <c r="A51" s="45">
        <v>24</v>
      </c>
      <c r="B51" s="92" t="s">
        <v>109</v>
      </c>
      <c r="C51" s="93" t="s">
        <v>36</v>
      </c>
      <c r="D51" s="92" t="s">
        <v>240</v>
      </c>
      <c r="E51" s="94">
        <v>9</v>
      </c>
      <c r="F51" s="95">
        <f>SUM(E51*2/100)</f>
        <v>0.18</v>
      </c>
      <c r="G51" s="13">
        <v>3850.4</v>
      </c>
      <c r="H51" s="96">
        <f t="shared" si="8"/>
        <v>0.69307200000000002</v>
      </c>
      <c r="I51" s="13">
        <f t="shared" ref="I51:I52" si="10">F51/2*G51</f>
        <v>346.536</v>
      </c>
      <c r="J51" s="27"/>
      <c r="L51" s="21"/>
      <c r="M51" s="22"/>
      <c r="N51" s="23"/>
    </row>
    <row r="52" spans="1:14" ht="18" customHeight="1">
      <c r="A52" s="45">
        <v>25</v>
      </c>
      <c r="B52" s="92" t="s">
        <v>37</v>
      </c>
      <c r="C52" s="93" t="s">
        <v>38</v>
      </c>
      <c r="D52" s="92" t="s">
        <v>240</v>
      </c>
      <c r="E52" s="94">
        <v>1</v>
      </c>
      <c r="F52" s="95">
        <v>0.02</v>
      </c>
      <c r="G52" s="13">
        <v>7033.13</v>
      </c>
      <c r="H52" s="96">
        <f t="shared" si="8"/>
        <v>0.1406626</v>
      </c>
      <c r="I52" s="13">
        <f t="shared" si="10"/>
        <v>70.331299999999999</v>
      </c>
      <c r="J52" s="27"/>
      <c r="L52" s="21"/>
      <c r="M52" s="22"/>
      <c r="N52" s="23"/>
    </row>
    <row r="53" spans="1:14" ht="15" customHeight="1">
      <c r="A53" s="45">
        <v>26</v>
      </c>
      <c r="B53" s="92" t="s">
        <v>128</v>
      </c>
      <c r="C53" s="93" t="s">
        <v>110</v>
      </c>
      <c r="D53" s="130">
        <v>43593</v>
      </c>
      <c r="E53" s="94">
        <v>36</v>
      </c>
      <c r="F53" s="95">
        <f>SUM(E53*3)</f>
        <v>108</v>
      </c>
      <c r="G53" s="13">
        <v>175.6</v>
      </c>
      <c r="H53" s="96">
        <f t="shared" si="8"/>
        <v>18.9648</v>
      </c>
      <c r="I53" s="13">
        <f>E53*G53</f>
        <v>6321.5999999999995</v>
      </c>
      <c r="J53" s="27"/>
      <c r="L53" s="21"/>
      <c r="M53" s="22"/>
      <c r="N53" s="23"/>
    </row>
    <row r="54" spans="1:14" ht="18" customHeight="1">
      <c r="A54" s="45">
        <v>27</v>
      </c>
      <c r="B54" s="92" t="s">
        <v>39</v>
      </c>
      <c r="C54" s="93" t="s">
        <v>110</v>
      </c>
      <c r="D54" s="130">
        <v>43593</v>
      </c>
      <c r="E54" s="94">
        <v>36</v>
      </c>
      <c r="F54" s="95">
        <f>SUM(E54)*3</f>
        <v>108</v>
      </c>
      <c r="G54" s="13">
        <v>81.73</v>
      </c>
      <c r="H54" s="96">
        <f t="shared" si="8"/>
        <v>8.8268400000000007</v>
      </c>
      <c r="I54" s="13">
        <f>E54*G54</f>
        <v>2942.28</v>
      </c>
      <c r="J54" s="27"/>
      <c r="L54" s="21"/>
      <c r="M54" s="22"/>
      <c r="N54" s="23"/>
    </row>
    <row r="55" spans="1:14" ht="15.75" customHeight="1">
      <c r="A55" s="132" t="s">
        <v>151</v>
      </c>
      <c r="B55" s="133"/>
      <c r="C55" s="133"/>
      <c r="D55" s="133"/>
      <c r="E55" s="133"/>
      <c r="F55" s="133"/>
      <c r="G55" s="133"/>
      <c r="H55" s="133"/>
      <c r="I55" s="134"/>
      <c r="J55" s="27"/>
      <c r="L55" s="21"/>
      <c r="M55" s="22"/>
      <c r="N55" s="23"/>
    </row>
    <row r="56" spans="1:14" ht="15.75" hidden="1" customHeight="1">
      <c r="A56" s="57"/>
      <c r="B56" s="52" t="s">
        <v>41</v>
      </c>
      <c r="C56" s="17"/>
      <c r="D56" s="16"/>
      <c r="E56" s="16"/>
      <c r="F56" s="16"/>
      <c r="G56" s="33"/>
      <c r="H56" s="33"/>
      <c r="I56" s="19"/>
      <c r="J56" s="27"/>
      <c r="L56" s="21"/>
      <c r="M56" s="22"/>
      <c r="N56" s="23"/>
    </row>
    <row r="57" spans="1:14" ht="23.25" hidden="1" customHeight="1">
      <c r="A57" s="45">
        <v>12</v>
      </c>
      <c r="B57" s="92" t="s">
        <v>156</v>
      </c>
      <c r="C57" s="93" t="s">
        <v>86</v>
      </c>
      <c r="D57" s="92" t="s">
        <v>111</v>
      </c>
      <c r="E57" s="94">
        <v>71.02</v>
      </c>
      <c r="F57" s="95">
        <f>SUM(E57*6/100)</f>
        <v>4.2611999999999997</v>
      </c>
      <c r="G57" s="13">
        <v>2306.62</v>
      </c>
      <c r="H57" s="96">
        <f>SUM(F57*G57/1000)</f>
        <v>9.8289691439999984</v>
      </c>
      <c r="I57" s="13">
        <f>F57/6*G57</f>
        <v>1638.1615239999999</v>
      </c>
      <c r="J57" s="27"/>
      <c r="L57" s="21"/>
      <c r="M57" s="22"/>
      <c r="N57" s="23"/>
    </row>
    <row r="58" spans="1:14" ht="19.5" hidden="1" customHeight="1">
      <c r="A58" s="45">
        <v>25</v>
      </c>
      <c r="B58" s="92" t="s">
        <v>112</v>
      </c>
      <c r="C58" s="93" t="s">
        <v>157</v>
      </c>
      <c r="D58" s="92" t="s">
        <v>64</v>
      </c>
      <c r="E58" s="100"/>
      <c r="F58" s="95">
        <v>2</v>
      </c>
      <c r="G58" s="95">
        <v>1501</v>
      </c>
      <c r="H58" s="96">
        <f>SUM(F58*G58/1000)</f>
        <v>3.0019999999999998</v>
      </c>
      <c r="I58" s="13">
        <f>G58*1.5</f>
        <v>2251.5</v>
      </c>
      <c r="J58" s="27"/>
      <c r="L58" s="21"/>
      <c r="M58" s="22"/>
      <c r="N58" s="23"/>
    </row>
    <row r="59" spans="1:14" ht="22.5" hidden="1" customHeight="1">
      <c r="A59" s="45"/>
      <c r="B59" s="79" t="s">
        <v>42</v>
      </c>
      <c r="C59" s="79"/>
      <c r="D59" s="79"/>
      <c r="E59" s="79"/>
      <c r="F59" s="79"/>
      <c r="G59" s="79"/>
      <c r="H59" s="79"/>
      <c r="I59" s="39"/>
      <c r="J59" s="27"/>
      <c r="L59" s="21"/>
      <c r="M59" s="22"/>
      <c r="N59" s="23"/>
    </row>
    <row r="60" spans="1:14" ht="24.75" hidden="1" customHeight="1">
      <c r="A60" s="45">
        <v>27</v>
      </c>
      <c r="B60" s="92" t="s">
        <v>158</v>
      </c>
      <c r="C60" s="93" t="s">
        <v>50</v>
      </c>
      <c r="D60" s="92" t="s">
        <v>51</v>
      </c>
      <c r="E60" s="94">
        <v>434.4</v>
      </c>
      <c r="F60" s="96">
        <f>SUM(E60/100)</f>
        <v>4.3439999999999994</v>
      </c>
      <c r="G60" s="13">
        <v>987.51</v>
      </c>
      <c r="H60" s="101">
        <f>F60*G60/1000</f>
        <v>4.2897434399999996</v>
      </c>
      <c r="I60" s="13">
        <v>0</v>
      </c>
      <c r="J60" s="27"/>
      <c r="L60" s="21"/>
      <c r="M60" s="22"/>
      <c r="N60" s="23"/>
    </row>
    <row r="61" spans="1:14" ht="29.25" hidden="1" customHeight="1">
      <c r="A61" s="45"/>
      <c r="B61" s="71" t="s">
        <v>129</v>
      </c>
      <c r="C61" s="44"/>
      <c r="D61" s="70"/>
      <c r="E61" s="67"/>
      <c r="F61" s="67"/>
      <c r="G61" s="40"/>
      <c r="H61" s="40"/>
      <c r="I61" s="20"/>
      <c r="J61" s="27"/>
      <c r="L61" s="21"/>
      <c r="M61" s="22"/>
      <c r="N61" s="23"/>
    </row>
    <row r="62" spans="1:14" ht="26.25" hidden="1" customHeight="1">
      <c r="A62" s="45"/>
      <c r="B62" s="92" t="s">
        <v>130</v>
      </c>
      <c r="C62" s="93" t="s">
        <v>110</v>
      </c>
      <c r="D62" s="41" t="s">
        <v>64</v>
      </c>
      <c r="E62" s="94">
        <v>1</v>
      </c>
      <c r="F62" s="95">
        <f>E62</f>
        <v>1</v>
      </c>
      <c r="G62" s="102">
        <v>323.38</v>
      </c>
      <c r="H62" s="96">
        <f t="shared" ref="H62" si="11">SUM(F62*G62/1000)</f>
        <v>0.32338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9" t="s">
        <v>43</v>
      </c>
      <c r="C63" s="17"/>
      <c r="D63" s="41"/>
      <c r="E63" s="16"/>
      <c r="F63" s="16"/>
      <c r="G63" s="33"/>
      <c r="H63" s="33"/>
      <c r="I63" s="19"/>
      <c r="J63" s="27"/>
      <c r="L63" s="21"/>
      <c r="M63" s="22"/>
      <c r="N63" s="23"/>
    </row>
    <row r="64" spans="1:14" ht="15.75" hidden="1" customHeight="1">
      <c r="A64" s="45">
        <v>17</v>
      </c>
      <c r="B64" s="15" t="s">
        <v>44</v>
      </c>
      <c r="C64" s="17" t="s">
        <v>110</v>
      </c>
      <c r="D64" s="41" t="s">
        <v>64</v>
      </c>
      <c r="E64" s="19">
        <v>10</v>
      </c>
      <c r="F64" s="95">
        <v>10</v>
      </c>
      <c r="G64" s="13">
        <v>276.74</v>
      </c>
      <c r="H64" s="103">
        <f t="shared" ref="H64:H71" si="12">SUM(F64*G64/1000)</f>
        <v>2.7674000000000003</v>
      </c>
      <c r="I64" s="13">
        <v>0</v>
      </c>
      <c r="J64" s="27"/>
      <c r="L64" s="21"/>
      <c r="M64" s="22"/>
      <c r="N64" s="23"/>
    </row>
    <row r="65" spans="1:21" ht="15.75" hidden="1" customHeight="1">
      <c r="A65" s="33">
        <v>29</v>
      </c>
      <c r="B65" s="15" t="s">
        <v>45</v>
      </c>
      <c r="C65" s="17" t="s">
        <v>110</v>
      </c>
      <c r="D65" s="41" t="s">
        <v>64</v>
      </c>
      <c r="E65" s="19">
        <v>3</v>
      </c>
      <c r="F65" s="95">
        <v>3</v>
      </c>
      <c r="G65" s="13">
        <v>94.89</v>
      </c>
      <c r="H65" s="103">
        <f t="shared" si="12"/>
        <v>0.28467000000000003</v>
      </c>
      <c r="I65" s="13">
        <v>0</v>
      </c>
      <c r="J65" s="27"/>
      <c r="L65" s="21"/>
      <c r="M65" s="22"/>
      <c r="N65" s="23"/>
    </row>
    <row r="66" spans="1:21" ht="15.75" hidden="1" customHeight="1">
      <c r="A66" s="33">
        <v>29</v>
      </c>
      <c r="B66" s="15" t="s">
        <v>46</v>
      </c>
      <c r="C66" s="17" t="s">
        <v>113</v>
      </c>
      <c r="D66" s="15" t="s">
        <v>51</v>
      </c>
      <c r="E66" s="94">
        <v>7265</v>
      </c>
      <c r="F66" s="13">
        <f>SUM(E66/100)</f>
        <v>72.650000000000006</v>
      </c>
      <c r="G66" s="13">
        <v>263.99</v>
      </c>
      <c r="H66" s="103">
        <f t="shared" si="12"/>
        <v>19.178873500000002</v>
      </c>
      <c r="I66" s="13">
        <f>F66*G66</f>
        <v>19178.873500000002</v>
      </c>
      <c r="J66" s="27"/>
      <c r="L66" s="21"/>
      <c r="M66" s="22"/>
      <c r="N66" s="23"/>
    </row>
    <row r="67" spans="1:21" ht="15.75" hidden="1" customHeight="1">
      <c r="A67" s="33">
        <v>30</v>
      </c>
      <c r="B67" s="15" t="s">
        <v>47</v>
      </c>
      <c r="C67" s="17" t="s">
        <v>114</v>
      </c>
      <c r="D67" s="15" t="s">
        <v>51</v>
      </c>
      <c r="E67" s="94">
        <v>7265</v>
      </c>
      <c r="F67" s="13">
        <f>SUM(E67/1000)</f>
        <v>7.2649999999999997</v>
      </c>
      <c r="G67" s="13">
        <v>205.57</v>
      </c>
      <c r="H67" s="103">
        <f t="shared" si="12"/>
        <v>1.4934660500000001</v>
      </c>
      <c r="I67" s="13">
        <f t="shared" ref="I67:I70" si="13">F67*G67</f>
        <v>1493.46605</v>
      </c>
      <c r="J67" s="27"/>
      <c r="L67" s="21"/>
      <c r="M67" s="22"/>
      <c r="N67" s="23"/>
    </row>
    <row r="68" spans="1:21" ht="15.75" hidden="1" customHeight="1">
      <c r="A68" s="33">
        <v>31</v>
      </c>
      <c r="B68" s="15" t="s">
        <v>48</v>
      </c>
      <c r="C68" s="17" t="s">
        <v>74</v>
      </c>
      <c r="D68" s="15" t="s">
        <v>51</v>
      </c>
      <c r="E68" s="94">
        <v>1090</v>
      </c>
      <c r="F68" s="13">
        <f>SUM(E68/100)</f>
        <v>10.9</v>
      </c>
      <c r="G68" s="13">
        <v>2581.5300000000002</v>
      </c>
      <c r="H68" s="103">
        <f t="shared" si="12"/>
        <v>28.138677000000005</v>
      </c>
      <c r="I68" s="13">
        <f t="shared" si="13"/>
        <v>28138.677000000003</v>
      </c>
      <c r="J68" s="27"/>
      <c r="L68" s="21"/>
    </row>
    <row r="69" spans="1:21" ht="15.75" hidden="1" customHeight="1">
      <c r="A69" s="33">
        <v>32</v>
      </c>
      <c r="B69" s="104" t="s">
        <v>115</v>
      </c>
      <c r="C69" s="17" t="s">
        <v>30</v>
      </c>
      <c r="D69" s="15"/>
      <c r="E69" s="94">
        <v>7.4</v>
      </c>
      <c r="F69" s="13">
        <f>SUM(E69)</f>
        <v>7.4</v>
      </c>
      <c r="G69" s="13">
        <v>47.45</v>
      </c>
      <c r="H69" s="103">
        <f t="shared" si="12"/>
        <v>0.35113000000000005</v>
      </c>
      <c r="I69" s="13">
        <f t="shared" si="13"/>
        <v>351.13000000000005</v>
      </c>
    </row>
    <row r="70" spans="1:21" ht="15.75" hidden="1" customHeight="1">
      <c r="A70" s="33">
        <v>33</v>
      </c>
      <c r="B70" s="104" t="s">
        <v>159</v>
      </c>
      <c r="C70" s="17" t="s">
        <v>30</v>
      </c>
      <c r="D70" s="15"/>
      <c r="E70" s="94">
        <v>7.4</v>
      </c>
      <c r="F70" s="13">
        <f>SUM(E70)</f>
        <v>7.4</v>
      </c>
      <c r="G70" s="13">
        <v>44.27</v>
      </c>
      <c r="H70" s="103">
        <f t="shared" si="12"/>
        <v>0.327598</v>
      </c>
      <c r="I70" s="13">
        <f t="shared" si="13"/>
        <v>327.59800000000001</v>
      </c>
    </row>
    <row r="71" spans="1:21" ht="27.75" hidden="1" customHeight="1">
      <c r="A71" s="33">
        <v>13</v>
      </c>
      <c r="B71" s="15" t="s">
        <v>55</v>
      </c>
      <c r="C71" s="17" t="s">
        <v>56</v>
      </c>
      <c r="D71" s="15" t="s">
        <v>51</v>
      </c>
      <c r="E71" s="19">
        <v>3</v>
      </c>
      <c r="F71" s="95">
        <f>SUM(E71)</f>
        <v>3</v>
      </c>
      <c r="G71" s="13">
        <v>62.07</v>
      </c>
      <c r="H71" s="103">
        <f t="shared" si="12"/>
        <v>0.18621000000000001</v>
      </c>
      <c r="I71" s="13">
        <v>0</v>
      </c>
    </row>
    <row r="72" spans="1:21" ht="29.25" hidden="1" customHeight="1">
      <c r="A72" s="57"/>
      <c r="B72" s="79" t="s">
        <v>116</v>
      </c>
      <c r="C72" s="79"/>
      <c r="D72" s="79"/>
      <c r="E72" s="79"/>
      <c r="F72" s="79"/>
      <c r="G72" s="79"/>
      <c r="H72" s="79"/>
      <c r="I72" s="19"/>
      <c r="J72" s="29"/>
      <c r="K72" s="29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4.75" hidden="1" customHeight="1">
      <c r="A73" s="33">
        <v>14</v>
      </c>
      <c r="B73" s="105" t="s">
        <v>117</v>
      </c>
      <c r="C73" s="25"/>
      <c r="D73" s="24"/>
      <c r="E73" s="87"/>
      <c r="F73" s="106">
        <v>1</v>
      </c>
      <c r="G73" s="106">
        <v>12171.2</v>
      </c>
      <c r="H73" s="13">
        <f>G73*F73/1000</f>
        <v>12.171200000000001</v>
      </c>
      <c r="I73" s="13">
        <f>G73</f>
        <v>12171.2</v>
      </c>
      <c r="J73" s="3"/>
      <c r="K73" s="3"/>
      <c r="L73" s="3"/>
      <c r="M73" s="3"/>
      <c r="N73" s="3"/>
      <c r="O73" s="3"/>
      <c r="P73" s="3"/>
      <c r="Q73" s="3"/>
      <c r="S73" s="3"/>
      <c r="T73" s="3"/>
      <c r="U73" s="3"/>
    </row>
    <row r="74" spans="1:21" ht="27" hidden="1" customHeight="1">
      <c r="A74" s="33"/>
      <c r="B74" s="53" t="s">
        <v>69</v>
      </c>
      <c r="C74" s="53"/>
      <c r="D74" s="53"/>
      <c r="E74" s="19"/>
      <c r="F74" s="19"/>
      <c r="G74" s="33"/>
      <c r="H74" s="33"/>
      <c r="I74" s="19"/>
      <c r="J74" s="5"/>
      <c r="K74" s="5"/>
      <c r="L74" s="5"/>
      <c r="M74" s="5"/>
      <c r="N74" s="5"/>
      <c r="O74" s="5"/>
      <c r="P74" s="5"/>
      <c r="Q74" s="5"/>
      <c r="R74" s="131"/>
      <c r="S74" s="131"/>
      <c r="T74" s="131"/>
      <c r="U74" s="131"/>
    </row>
    <row r="75" spans="1:21" ht="23.25" hidden="1" customHeight="1">
      <c r="A75" s="33"/>
      <c r="B75" s="15" t="s">
        <v>131</v>
      </c>
      <c r="C75" s="17" t="s">
        <v>118</v>
      </c>
      <c r="D75" s="41" t="s">
        <v>64</v>
      </c>
      <c r="E75" s="19">
        <v>1</v>
      </c>
      <c r="F75" s="13">
        <f>E75</f>
        <v>1</v>
      </c>
      <c r="G75" s="13">
        <v>976.4</v>
      </c>
      <c r="H75" s="103">
        <f>F75*G75/1000</f>
        <v>0.97639999999999993</v>
      </c>
      <c r="I75" s="13">
        <v>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24.75" hidden="1" customHeight="1">
      <c r="A76" s="33"/>
      <c r="B76" s="15" t="s">
        <v>119</v>
      </c>
      <c r="C76" s="17" t="s">
        <v>120</v>
      </c>
      <c r="D76" s="15"/>
      <c r="E76" s="19">
        <v>1</v>
      </c>
      <c r="F76" s="13">
        <v>1</v>
      </c>
      <c r="G76" s="13">
        <v>750</v>
      </c>
      <c r="H76" s="103">
        <f>F76*G76/1000</f>
        <v>0.75</v>
      </c>
      <c r="I76" s="13">
        <v>0</v>
      </c>
    </row>
    <row r="77" spans="1:21" ht="30" hidden="1" customHeight="1">
      <c r="A77" s="33"/>
      <c r="B77" s="15" t="s">
        <v>70</v>
      </c>
      <c r="C77" s="17" t="s">
        <v>72</v>
      </c>
      <c r="D77" s="41" t="s">
        <v>64</v>
      </c>
      <c r="E77" s="19">
        <v>3</v>
      </c>
      <c r="F77" s="13">
        <f>SUM(E77/100)</f>
        <v>0.03</v>
      </c>
      <c r="G77" s="13">
        <v>624.16999999999996</v>
      </c>
      <c r="H77" s="103">
        <f>F77*G77/1000</f>
        <v>1.8725099999999998E-2</v>
      </c>
      <c r="I77" s="13">
        <v>0</v>
      </c>
    </row>
    <row r="78" spans="1:21" ht="27" hidden="1" customHeight="1">
      <c r="A78" s="33"/>
      <c r="B78" s="15" t="s">
        <v>71</v>
      </c>
      <c r="C78" s="17" t="s">
        <v>28</v>
      </c>
      <c r="D78" s="41" t="s">
        <v>64</v>
      </c>
      <c r="E78" s="19">
        <v>1</v>
      </c>
      <c r="F78" s="13">
        <v>1</v>
      </c>
      <c r="G78" s="13">
        <v>1061.4100000000001</v>
      </c>
      <c r="H78" s="103">
        <f>F78*G78/1000</f>
        <v>1.0614100000000002</v>
      </c>
      <c r="I78" s="13">
        <v>0</v>
      </c>
    </row>
    <row r="79" spans="1:21" ht="27.75" hidden="1" customHeight="1">
      <c r="A79" s="33">
        <v>17</v>
      </c>
      <c r="B79" s="15" t="s">
        <v>132</v>
      </c>
      <c r="C79" s="17" t="s">
        <v>28</v>
      </c>
      <c r="D79" s="41" t="s">
        <v>64</v>
      </c>
      <c r="E79" s="19">
        <v>1</v>
      </c>
      <c r="F79" s="95">
        <f>SUM(E79)</f>
        <v>1</v>
      </c>
      <c r="G79" s="13">
        <v>446.12</v>
      </c>
      <c r="H79" s="103">
        <f t="shared" ref="H79" si="14">SUM(F79*G79/1000)</f>
        <v>0.44612000000000002</v>
      </c>
      <c r="I79" s="13">
        <v>0</v>
      </c>
    </row>
    <row r="80" spans="1:21" ht="21" hidden="1" customHeight="1">
      <c r="A80" s="33"/>
      <c r="B80" s="54" t="s">
        <v>73</v>
      </c>
      <c r="C80" s="42"/>
      <c r="D80" s="33"/>
      <c r="E80" s="19"/>
      <c r="F80" s="19"/>
      <c r="G80" s="40"/>
      <c r="H80" s="40"/>
      <c r="I80" s="19"/>
    </row>
    <row r="81" spans="1:9" ht="17.25" hidden="1" customHeight="1">
      <c r="A81" s="33">
        <v>39</v>
      </c>
      <c r="B81" s="56" t="s">
        <v>121</v>
      </c>
      <c r="C81" s="17" t="s">
        <v>74</v>
      </c>
      <c r="D81" s="15"/>
      <c r="E81" s="19"/>
      <c r="F81" s="13">
        <v>1.35</v>
      </c>
      <c r="G81" s="13">
        <v>3433.68</v>
      </c>
      <c r="H81" s="103">
        <f t="shared" ref="H81" si="15">SUM(F81*G81/1000)</f>
        <v>4.6354679999999995</v>
      </c>
      <c r="I81" s="13">
        <v>0</v>
      </c>
    </row>
    <row r="82" spans="1:9" ht="15.75" customHeight="1">
      <c r="A82" s="33"/>
      <c r="B82" s="79" t="s">
        <v>133</v>
      </c>
      <c r="C82" s="72"/>
      <c r="D82" s="35"/>
      <c r="E82" s="12"/>
      <c r="F82" s="12"/>
      <c r="G82" s="40"/>
      <c r="H82" s="40"/>
      <c r="I82" s="19"/>
    </row>
    <row r="83" spans="1:9" ht="31.5" hidden="1" customHeight="1">
      <c r="A83" s="33"/>
      <c r="B83" s="15" t="s">
        <v>134</v>
      </c>
      <c r="C83" s="17" t="s">
        <v>135</v>
      </c>
      <c r="D83" s="41" t="s">
        <v>64</v>
      </c>
      <c r="E83" s="19">
        <v>6</v>
      </c>
      <c r="F83" s="13">
        <f>E83</f>
        <v>6</v>
      </c>
      <c r="G83" s="13">
        <v>297.44</v>
      </c>
      <c r="H83" s="103">
        <f t="shared" ref="H83:H93" si="16">SUM(F83*G83/1000)</f>
        <v>1.7846399999999998</v>
      </c>
      <c r="I83" s="13">
        <v>0</v>
      </c>
    </row>
    <row r="84" spans="1:9" ht="20.25" customHeight="1">
      <c r="A84" s="33">
        <v>28</v>
      </c>
      <c r="B84" s="15" t="s">
        <v>136</v>
      </c>
      <c r="C84" s="17" t="s">
        <v>79</v>
      </c>
      <c r="D84" s="41"/>
      <c r="E84" s="19">
        <v>12</v>
      </c>
      <c r="F84" s="13">
        <f>E84</f>
        <v>12</v>
      </c>
      <c r="G84" s="13">
        <v>122.35</v>
      </c>
      <c r="H84" s="103">
        <f t="shared" si="16"/>
        <v>1.4681999999999997</v>
      </c>
      <c r="I84" s="13">
        <f>G84*12</f>
        <v>1468.1999999999998</v>
      </c>
    </row>
    <row r="85" spans="1:9" ht="27.75" hidden="1" customHeight="1">
      <c r="A85" s="33"/>
      <c r="B85" s="15" t="s">
        <v>137</v>
      </c>
      <c r="C85" s="17" t="s">
        <v>138</v>
      </c>
      <c r="D85" s="41" t="s">
        <v>64</v>
      </c>
      <c r="E85" s="19">
        <v>9</v>
      </c>
      <c r="F85" s="13">
        <f>E85/3</f>
        <v>3</v>
      </c>
      <c r="G85" s="13">
        <v>1063.47</v>
      </c>
      <c r="H85" s="103">
        <f t="shared" si="16"/>
        <v>3.19041</v>
      </c>
      <c r="I85" s="13">
        <v>0</v>
      </c>
    </row>
    <row r="86" spans="1:9" ht="25.5" hidden="1" customHeight="1">
      <c r="A86" s="33"/>
      <c r="B86" s="15" t="s">
        <v>139</v>
      </c>
      <c r="C86" s="17" t="s">
        <v>140</v>
      </c>
      <c r="D86" s="41" t="s">
        <v>64</v>
      </c>
      <c r="E86" s="19">
        <v>10</v>
      </c>
      <c r="F86" s="13">
        <f>E86/10</f>
        <v>1</v>
      </c>
      <c r="G86" s="13">
        <v>297.99</v>
      </c>
      <c r="H86" s="103">
        <f t="shared" si="16"/>
        <v>0.29799000000000003</v>
      </c>
      <c r="I86" s="13">
        <v>0</v>
      </c>
    </row>
    <row r="87" spans="1:9" ht="23.25" hidden="1" customHeight="1">
      <c r="A87" s="33"/>
      <c r="B87" s="15" t="s">
        <v>141</v>
      </c>
      <c r="C87" s="17" t="s">
        <v>79</v>
      </c>
      <c r="D87" s="41" t="s">
        <v>64</v>
      </c>
      <c r="E87" s="19">
        <v>6</v>
      </c>
      <c r="F87" s="13">
        <f t="shared" ref="F87:F92" si="17">E87</f>
        <v>6</v>
      </c>
      <c r="G87" s="13">
        <v>1564.44</v>
      </c>
      <c r="H87" s="103">
        <f t="shared" si="16"/>
        <v>9.3866399999999999</v>
      </c>
      <c r="I87" s="13">
        <v>0</v>
      </c>
    </row>
    <row r="88" spans="1:9" ht="21" hidden="1" customHeight="1">
      <c r="A88" s="33"/>
      <c r="B88" s="15" t="s">
        <v>142</v>
      </c>
      <c r="C88" s="17" t="s">
        <v>79</v>
      </c>
      <c r="D88" s="41" t="s">
        <v>64</v>
      </c>
      <c r="E88" s="19">
        <v>6</v>
      </c>
      <c r="F88" s="13">
        <f t="shared" si="17"/>
        <v>6</v>
      </c>
      <c r="G88" s="13">
        <v>1906.89</v>
      </c>
      <c r="H88" s="103">
        <f t="shared" si="16"/>
        <v>11.44134</v>
      </c>
      <c r="I88" s="13">
        <v>0</v>
      </c>
    </row>
    <row r="89" spans="1:9" ht="19.5" hidden="1" customHeight="1">
      <c r="A89" s="33"/>
      <c r="B89" s="15" t="s">
        <v>143</v>
      </c>
      <c r="C89" s="17" t="s">
        <v>79</v>
      </c>
      <c r="D89" s="41" t="s">
        <v>64</v>
      </c>
      <c r="E89" s="19">
        <v>6</v>
      </c>
      <c r="F89" s="13">
        <f t="shared" si="17"/>
        <v>6</v>
      </c>
      <c r="G89" s="13">
        <v>664.35</v>
      </c>
      <c r="H89" s="103">
        <f t="shared" si="16"/>
        <v>3.9861000000000004</v>
      </c>
      <c r="I89" s="13">
        <v>0</v>
      </c>
    </row>
    <row r="90" spans="1:9" ht="19.5" hidden="1" customHeight="1">
      <c r="A90" s="33"/>
      <c r="B90" s="15" t="s">
        <v>144</v>
      </c>
      <c r="C90" s="17" t="s">
        <v>79</v>
      </c>
      <c r="D90" s="41" t="s">
        <v>64</v>
      </c>
      <c r="E90" s="19">
        <v>6</v>
      </c>
      <c r="F90" s="13">
        <f t="shared" si="17"/>
        <v>6</v>
      </c>
      <c r="G90" s="13">
        <v>778.85</v>
      </c>
      <c r="H90" s="103">
        <f t="shared" si="16"/>
        <v>4.6731000000000007</v>
      </c>
      <c r="I90" s="13">
        <v>0</v>
      </c>
    </row>
    <row r="91" spans="1:9" ht="18.75" hidden="1" customHeight="1">
      <c r="A91" s="33"/>
      <c r="B91" s="15" t="s">
        <v>145</v>
      </c>
      <c r="C91" s="17" t="s">
        <v>118</v>
      </c>
      <c r="D91" s="41" t="s">
        <v>64</v>
      </c>
      <c r="E91" s="19">
        <v>4</v>
      </c>
      <c r="F91" s="13">
        <f t="shared" si="17"/>
        <v>4</v>
      </c>
      <c r="G91" s="13">
        <v>498.11</v>
      </c>
      <c r="H91" s="103">
        <f t="shared" si="16"/>
        <v>1.99244</v>
      </c>
      <c r="I91" s="13">
        <v>0</v>
      </c>
    </row>
    <row r="92" spans="1:9" ht="18" hidden="1" customHeight="1">
      <c r="A92" s="33"/>
      <c r="B92" s="15" t="s">
        <v>146</v>
      </c>
      <c r="C92" s="17" t="s">
        <v>79</v>
      </c>
      <c r="D92" s="41" t="s">
        <v>64</v>
      </c>
      <c r="E92" s="19">
        <v>6</v>
      </c>
      <c r="F92" s="13">
        <f t="shared" si="17"/>
        <v>6</v>
      </c>
      <c r="G92" s="13">
        <v>1264.3399999999999</v>
      </c>
      <c r="H92" s="103">
        <f t="shared" si="16"/>
        <v>7.5860399999999988</v>
      </c>
      <c r="I92" s="13">
        <v>0</v>
      </c>
    </row>
    <row r="93" spans="1:9" ht="15.75" customHeight="1">
      <c r="A93" s="33">
        <v>29</v>
      </c>
      <c r="B93" s="15" t="s">
        <v>147</v>
      </c>
      <c r="C93" s="17" t="s">
        <v>27</v>
      </c>
      <c r="D93" s="15" t="s">
        <v>240</v>
      </c>
      <c r="E93" s="19">
        <v>823</v>
      </c>
      <c r="F93" s="13">
        <f>E93*2/1000</f>
        <v>1.6459999999999999</v>
      </c>
      <c r="G93" s="13">
        <v>1707.71</v>
      </c>
      <c r="H93" s="103">
        <f t="shared" si="16"/>
        <v>2.8108906600000001</v>
      </c>
      <c r="I93" s="13">
        <f>F93/2*G93</f>
        <v>1405.44533</v>
      </c>
    </row>
    <row r="94" spans="1:9" ht="15.75" customHeight="1">
      <c r="A94" s="144" t="s">
        <v>152</v>
      </c>
      <c r="B94" s="145"/>
      <c r="C94" s="145"/>
      <c r="D94" s="145"/>
      <c r="E94" s="145"/>
      <c r="F94" s="145"/>
      <c r="G94" s="145"/>
      <c r="H94" s="145"/>
      <c r="I94" s="146"/>
    </row>
    <row r="95" spans="1:9" ht="15.75" customHeight="1">
      <c r="A95" s="33">
        <v>30</v>
      </c>
      <c r="B95" s="92" t="s">
        <v>122</v>
      </c>
      <c r="C95" s="17" t="s">
        <v>52</v>
      </c>
      <c r="D95" s="108"/>
      <c r="E95" s="13">
        <v>1832</v>
      </c>
      <c r="F95" s="13">
        <f>SUM(E95*12)</f>
        <v>21984</v>
      </c>
      <c r="G95" s="13">
        <v>2.95</v>
      </c>
      <c r="H95" s="103">
        <f>SUM(F95*G95/1000)</f>
        <v>64.852800000000002</v>
      </c>
      <c r="I95" s="13">
        <f>F95/12*G95</f>
        <v>5404.4000000000005</v>
      </c>
    </row>
    <row r="96" spans="1:9" ht="31.5" customHeight="1">
      <c r="A96" s="33">
        <v>31</v>
      </c>
      <c r="B96" s="15" t="s">
        <v>75</v>
      </c>
      <c r="C96" s="17" t="s">
        <v>160</v>
      </c>
      <c r="D96" s="108"/>
      <c r="E96" s="94">
        <v>1832</v>
      </c>
      <c r="F96" s="13">
        <f>E96*12</f>
        <v>21984</v>
      </c>
      <c r="G96" s="13">
        <v>3.05</v>
      </c>
      <c r="H96" s="103">
        <f>F96*G96/1000</f>
        <v>67.051199999999994</v>
      </c>
      <c r="I96" s="13">
        <f>F96/12*G96</f>
        <v>5587.5999999999995</v>
      </c>
    </row>
    <row r="97" spans="1:9" ht="15.75" customHeight="1">
      <c r="A97" s="57"/>
      <c r="B97" s="43" t="s">
        <v>78</v>
      </c>
      <c r="C97" s="45"/>
      <c r="D97" s="16"/>
      <c r="E97" s="16"/>
      <c r="F97" s="16"/>
      <c r="G97" s="19"/>
      <c r="H97" s="19"/>
      <c r="I97" s="36">
        <f>I96+I95+I93+I84+I54+I53+I52+I51+I50+I49+I48+I47+I46+I45+I44+I33+I32+I31+I30+I27+I26+I25+I24+I23+I22+I21+I20+I19+I18+I17+I16</f>
        <v>40600.6015835</v>
      </c>
    </row>
    <row r="98" spans="1:9" ht="15.75" customHeight="1">
      <c r="A98" s="147" t="s">
        <v>58</v>
      </c>
      <c r="B98" s="148"/>
      <c r="C98" s="148"/>
      <c r="D98" s="148"/>
      <c r="E98" s="148"/>
      <c r="F98" s="148"/>
      <c r="G98" s="148"/>
      <c r="H98" s="148"/>
      <c r="I98" s="149"/>
    </row>
    <row r="99" spans="1:9" ht="15.75" customHeight="1">
      <c r="A99" s="109">
        <v>32</v>
      </c>
      <c r="B99" s="112" t="s">
        <v>176</v>
      </c>
      <c r="C99" s="113" t="s">
        <v>177</v>
      </c>
      <c r="D99" s="112"/>
      <c r="E99" s="114"/>
      <c r="F99" s="115">
        <v>24</v>
      </c>
      <c r="G99" s="116">
        <v>1.4</v>
      </c>
      <c r="H99" s="117">
        <f>F99*G99/1000</f>
        <v>3.3599999999999991E-2</v>
      </c>
      <c r="I99" s="118">
        <f>G99*12</f>
        <v>16.799999999999997</v>
      </c>
    </row>
    <row r="100" spans="1:9" ht="31.5" customHeight="1">
      <c r="A100" s="109">
        <v>33</v>
      </c>
      <c r="B100" s="122" t="s">
        <v>178</v>
      </c>
      <c r="C100" s="123" t="s">
        <v>36</v>
      </c>
      <c r="D100" s="56"/>
      <c r="E100" s="13"/>
      <c r="F100" s="13">
        <v>1</v>
      </c>
      <c r="G100" s="40">
        <v>3914.31</v>
      </c>
      <c r="H100" s="103">
        <f>G100*F100/1000</f>
        <v>3.91431</v>
      </c>
      <c r="I100" s="110">
        <f>G100*0.02</f>
        <v>78.286199999999994</v>
      </c>
    </row>
    <row r="101" spans="1:9" ht="33" customHeight="1">
      <c r="A101" s="109">
        <v>34</v>
      </c>
      <c r="B101" s="122" t="s">
        <v>216</v>
      </c>
      <c r="C101" s="123" t="s">
        <v>135</v>
      </c>
      <c r="D101" s="56"/>
      <c r="E101" s="13"/>
      <c r="F101" s="13"/>
      <c r="G101" s="40">
        <v>44.38</v>
      </c>
      <c r="H101" s="103"/>
      <c r="I101" s="110">
        <f>G101*1</f>
        <v>44.38</v>
      </c>
    </row>
    <row r="102" spans="1:9" ht="16.5" customHeight="1">
      <c r="A102" s="109">
        <v>35</v>
      </c>
      <c r="B102" s="122" t="s">
        <v>190</v>
      </c>
      <c r="C102" s="123" t="s">
        <v>191</v>
      </c>
      <c r="D102" s="56"/>
      <c r="E102" s="13"/>
      <c r="F102" s="13"/>
      <c r="G102" s="40">
        <v>218</v>
      </c>
      <c r="H102" s="103"/>
      <c r="I102" s="110">
        <f>G102*1</f>
        <v>218</v>
      </c>
    </row>
    <row r="103" spans="1:9" ht="27.75" customHeight="1">
      <c r="A103" s="109">
        <v>36</v>
      </c>
      <c r="B103" s="111" t="s">
        <v>193</v>
      </c>
      <c r="C103" s="45" t="s">
        <v>140</v>
      </c>
      <c r="D103" s="56"/>
      <c r="E103" s="13"/>
      <c r="F103" s="13"/>
      <c r="G103" s="40">
        <v>1801.52</v>
      </c>
      <c r="H103" s="103"/>
      <c r="I103" s="110">
        <f>G103*0.2</f>
        <v>360.30400000000003</v>
      </c>
    </row>
    <row r="104" spans="1:9" ht="16.5" customHeight="1">
      <c r="A104" s="109">
        <v>37</v>
      </c>
      <c r="B104" s="122" t="s">
        <v>194</v>
      </c>
      <c r="C104" s="123" t="s">
        <v>195</v>
      </c>
      <c r="D104" s="56"/>
      <c r="E104" s="13"/>
      <c r="F104" s="13"/>
      <c r="G104" s="40">
        <v>888.82</v>
      </c>
      <c r="H104" s="103"/>
      <c r="I104" s="110">
        <f>G104*1</f>
        <v>888.82</v>
      </c>
    </row>
    <row r="105" spans="1:9" ht="16.5" customHeight="1">
      <c r="A105" s="109">
        <v>38</v>
      </c>
      <c r="B105" s="122" t="s">
        <v>217</v>
      </c>
      <c r="C105" s="123" t="s">
        <v>184</v>
      </c>
      <c r="D105" s="56"/>
      <c r="E105" s="13"/>
      <c r="F105" s="13"/>
      <c r="G105" s="40">
        <v>259.52999999999997</v>
      </c>
      <c r="H105" s="103"/>
      <c r="I105" s="110">
        <f>G105*1</f>
        <v>259.52999999999997</v>
      </c>
    </row>
    <row r="106" spans="1:9" ht="17.25" customHeight="1">
      <c r="A106" s="109">
        <v>39</v>
      </c>
      <c r="B106" s="122" t="s">
        <v>80</v>
      </c>
      <c r="C106" s="123" t="s">
        <v>110</v>
      </c>
      <c r="D106" s="56"/>
      <c r="E106" s="13"/>
      <c r="F106" s="13"/>
      <c r="G106" s="40">
        <v>207.55</v>
      </c>
      <c r="H106" s="103"/>
      <c r="I106" s="110">
        <f>G106*1</f>
        <v>207.55</v>
      </c>
    </row>
    <row r="107" spans="1:9" ht="29.25" customHeight="1">
      <c r="A107" s="109">
        <v>40</v>
      </c>
      <c r="B107" s="122" t="s">
        <v>218</v>
      </c>
      <c r="C107" s="123" t="s">
        <v>38</v>
      </c>
      <c r="D107" s="56"/>
      <c r="E107" s="13"/>
      <c r="F107" s="13"/>
      <c r="G107" s="40">
        <v>26095.37</v>
      </c>
      <c r="H107" s="103"/>
      <c r="I107" s="110">
        <f>G107*0.02</f>
        <v>521.90739999999994</v>
      </c>
    </row>
    <row r="108" spans="1:9" ht="15.75" customHeight="1">
      <c r="A108" s="33"/>
      <c r="B108" s="50" t="s">
        <v>49</v>
      </c>
      <c r="C108" s="46"/>
      <c r="D108" s="58"/>
      <c r="E108" s="46">
        <v>1</v>
      </c>
      <c r="F108" s="46"/>
      <c r="G108" s="46"/>
      <c r="H108" s="46"/>
      <c r="I108" s="36">
        <f>SUM(I99:I107)</f>
        <v>2595.5776000000001</v>
      </c>
    </row>
    <row r="109" spans="1:9" ht="15.75" customHeight="1">
      <c r="A109" s="33"/>
      <c r="B109" s="56" t="s">
        <v>76</v>
      </c>
      <c r="C109" s="16"/>
      <c r="D109" s="16"/>
      <c r="E109" s="47"/>
      <c r="F109" s="47"/>
      <c r="G109" s="48"/>
      <c r="H109" s="48"/>
      <c r="I109" s="18">
        <v>0</v>
      </c>
    </row>
    <row r="110" spans="1:9" ht="15.75" customHeight="1">
      <c r="A110" s="59"/>
      <c r="B110" s="51" t="s">
        <v>161</v>
      </c>
      <c r="C110" s="38"/>
      <c r="D110" s="38"/>
      <c r="E110" s="38"/>
      <c r="F110" s="38"/>
      <c r="G110" s="38"/>
      <c r="H110" s="38"/>
      <c r="I110" s="49">
        <f>I97+I108</f>
        <v>43196.179183499997</v>
      </c>
    </row>
    <row r="111" spans="1:9" ht="15.75" customHeight="1">
      <c r="A111" s="136" t="s">
        <v>229</v>
      </c>
      <c r="B111" s="136"/>
      <c r="C111" s="136"/>
      <c r="D111" s="136"/>
      <c r="E111" s="136"/>
      <c r="F111" s="136"/>
      <c r="G111" s="136"/>
      <c r="H111" s="136"/>
      <c r="I111" s="136"/>
    </row>
    <row r="112" spans="1:9" ht="15.75" customHeight="1">
      <c r="A112" s="80"/>
      <c r="B112" s="150" t="s">
        <v>230</v>
      </c>
      <c r="C112" s="150"/>
      <c r="D112" s="150"/>
      <c r="E112" s="150"/>
      <c r="F112" s="150"/>
      <c r="G112" s="150"/>
      <c r="H112" s="90"/>
      <c r="I112" s="3"/>
    </row>
    <row r="113" spans="1:9" ht="15.75" customHeight="1">
      <c r="A113" s="74"/>
      <c r="B113" s="151" t="s">
        <v>6</v>
      </c>
      <c r="C113" s="151"/>
      <c r="D113" s="151"/>
      <c r="E113" s="151"/>
      <c r="F113" s="151"/>
      <c r="G113" s="151"/>
      <c r="H113" s="28"/>
      <c r="I113" s="5"/>
    </row>
    <row r="114" spans="1:9" ht="15.75" customHeight="1">
      <c r="A114" s="9"/>
      <c r="B114" s="9"/>
      <c r="C114" s="9"/>
      <c r="D114" s="9"/>
      <c r="E114" s="9"/>
      <c r="F114" s="9"/>
      <c r="G114" s="9"/>
      <c r="H114" s="9"/>
      <c r="I114" s="9"/>
    </row>
    <row r="115" spans="1:9" ht="15.75" customHeight="1">
      <c r="A115" s="135" t="s">
        <v>7</v>
      </c>
      <c r="B115" s="135"/>
      <c r="C115" s="135"/>
      <c r="D115" s="135"/>
      <c r="E115" s="135"/>
      <c r="F115" s="135"/>
      <c r="G115" s="135"/>
      <c r="H115" s="135"/>
      <c r="I115" s="135"/>
    </row>
    <row r="116" spans="1:9" ht="15.75" customHeight="1">
      <c r="A116" s="135" t="s">
        <v>8</v>
      </c>
      <c r="B116" s="135"/>
      <c r="C116" s="135"/>
      <c r="D116" s="135"/>
      <c r="E116" s="135"/>
      <c r="F116" s="135"/>
      <c r="G116" s="135"/>
      <c r="H116" s="135"/>
      <c r="I116" s="135"/>
    </row>
    <row r="117" spans="1:9" ht="15.75" customHeight="1">
      <c r="A117" s="155" t="s">
        <v>59</v>
      </c>
      <c r="B117" s="155"/>
      <c r="C117" s="155"/>
      <c r="D117" s="155"/>
      <c r="E117" s="155"/>
      <c r="F117" s="155"/>
      <c r="G117" s="155"/>
      <c r="H117" s="155"/>
      <c r="I117" s="155"/>
    </row>
    <row r="118" spans="1:9" ht="15.75" customHeight="1">
      <c r="A118" s="10"/>
    </row>
    <row r="119" spans="1:9" ht="15.75" customHeight="1">
      <c r="A119" s="156" t="s">
        <v>9</v>
      </c>
      <c r="B119" s="156"/>
      <c r="C119" s="156"/>
      <c r="D119" s="156"/>
      <c r="E119" s="156"/>
      <c r="F119" s="156"/>
      <c r="G119" s="156"/>
      <c r="H119" s="156"/>
      <c r="I119" s="156"/>
    </row>
    <row r="120" spans="1:9" ht="15.75" customHeight="1">
      <c r="A120" s="4"/>
    </row>
    <row r="121" spans="1:9" ht="15.75" customHeight="1">
      <c r="B121" s="77" t="s">
        <v>10</v>
      </c>
      <c r="C121" s="157" t="s">
        <v>85</v>
      </c>
      <c r="D121" s="157"/>
      <c r="E121" s="157"/>
      <c r="F121" s="88"/>
      <c r="I121" s="76"/>
    </row>
    <row r="122" spans="1:9" ht="15.75" customHeight="1">
      <c r="A122" s="74"/>
      <c r="C122" s="151" t="s">
        <v>11</v>
      </c>
      <c r="D122" s="151"/>
      <c r="E122" s="151"/>
      <c r="F122" s="28"/>
      <c r="I122" s="75" t="s">
        <v>12</v>
      </c>
    </row>
    <row r="123" spans="1:9" ht="15.75" customHeight="1">
      <c r="A123" s="29"/>
      <c r="C123" s="11"/>
      <c r="D123" s="11"/>
      <c r="G123" s="11"/>
      <c r="H123" s="11"/>
    </row>
    <row r="124" spans="1:9" ht="15.75" customHeight="1">
      <c r="B124" s="77" t="s">
        <v>13</v>
      </c>
      <c r="C124" s="152"/>
      <c r="D124" s="152"/>
      <c r="E124" s="152"/>
      <c r="F124" s="89"/>
      <c r="I124" s="76"/>
    </row>
    <row r="125" spans="1:9" ht="15.75" customHeight="1">
      <c r="A125" s="74"/>
      <c r="C125" s="131" t="s">
        <v>11</v>
      </c>
      <c r="D125" s="131"/>
      <c r="E125" s="131"/>
      <c r="F125" s="74"/>
      <c r="I125" s="75" t="s">
        <v>12</v>
      </c>
    </row>
    <row r="126" spans="1:9" ht="15.75" customHeight="1">
      <c r="A126" s="4" t="s">
        <v>14</v>
      </c>
    </row>
    <row r="127" spans="1:9" ht="15.75" customHeight="1">
      <c r="A127" s="154" t="s">
        <v>15</v>
      </c>
      <c r="B127" s="154"/>
      <c r="C127" s="154"/>
      <c r="D127" s="154"/>
      <c r="E127" s="154"/>
      <c r="F127" s="154"/>
      <c r="G127" s="154"/>
      <c r="H127" s="154"/>
      <c r="I127" s="154"/>
    </row>
    <row r="128" spans="1:9" ht="45" customHeight="1">
      <c r="A128" s="153" t="s">
        <v>16</v>
      </c>
      <c r="B128" s="153"/>
      <c r="C128" s="153"/>
      <c r="D128" s="153"/>
      <c r="E128" s="153"/>
      <c r="F128" s="153"/>
      <c r="G128" s="153"/>
      <c r="H128" s="153"/>
      <c r="I128" s="153"/>
    </row>
    <row r="129" spans="1:9" ht="30" customHeight="1">
      <c r="A129" s="153" t="s">
        <v>17</v>
      </c>
      <c r="B129" s="153"/>
      <c r="C129" s="153"/>
      <c r="D129" s="153"/>
      <c r="E129" s="153"/>
      <c r="F129" s="153"/>
      <c r="G129" s="153"/>
      <c r="H129" s="153"/>
      <c r="I129" s="153"/>
    </row>
    <row r="130" spans="1:9" ht="30" customHeight="1">
      <c r="A130" s="153" t="s">
        <v>21</v>
      </c>
      <c r="B130" s="153"/>
      <c r="C130" s="153"/>
      <c r="D130" s="153"/>
      <c r="E130" s="153"/>
      <c r="F130" s="153"/>
      <c r="G130" s="153"/>
      <c r="H130" s="153"/>
      <c r="I130" s="153"/>
    </row>
    <row r="131" spans="1:9" ht="15" customHeight="1">
      <c r="A131" s="153" t="s">
        <v>20</v>
      </c>
      <c r="B131" s="153"/>
      <c r="C131" s="153"/>
      <c r="D131" s="153"/>
      <c r="E131" s="153"/>
      <c r="F131" s="153"/>
      <c r="G131" s="153"/>
      <c r="H131" s="153"/>
      <c r="I131" s="153"/>
    </row>
  </sheetData>
  <autoFilter ref="I12:I70"/>
  <mergeCells count="29">
    <mergeCell ref="A127:I127"/>
    <mergeCell ref="A128:I128"/>
    <mergeCell ref="A129:I129"/>
    <mergeCell ref="A130:I130"/>
    <mergeCell ref="A131:I131"/>
    <mergeCell ref="R74:U74"/>
    <mergeCell ref="C125:E125"/>
    <mergeCell ref="A98:I98"/>
    <mergeCell ref="A111:I111"/>
    <mergeCell ref="B112:G112"/>
    <mergeCell ref="B113:G113"/>
    <mergeCell ref="A115:I115"/>
    <mergeCell ref="A116:I116"/>
    <mergeCell ref="A117:I117"/>
    <mergeCell ref="A119:I119"/>
    <mergeCell ref="C121:E121"/>
    <mergeCell ref="C122:E122"/>
    <mergeCell ref="C124:E124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U124"/>
  <sheetViews>
    <sheetView workbookViewId="0">
      <selection activeCell="K96" sqref="K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6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179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37" t="s">
        <v>168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123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219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43646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180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148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57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3">
        <v>1</v>
      </c>
      <c r="B16" s="92" t="s">
        <v>84</v>
      </c>
      <c r="C16" s="93" t="s">
        <v>86</v>
      </c>
      <c r="D16" s="92" t="s">
        <v>233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124</v>
      </c>
      <c r="C17" s="93" t="s">
        <v>86</v>
      </c>
      <c r="D17" s="92" t="s">
        <v>234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87</v>
      </c>
      <c r="C18" s="93" t="s">
        <v>86</v>
      </c>
      <c r="D18" s="92" t="s">
        <v>236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88</v>
      </c>
      <c r="C19" s="93" t="s">
        <v>89</v>
      </c>
      <c r="D19" s="92" t="s">
        <v>90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95</v>
      </c>
      <c r="C20" s="93" t="s">
        <v>50</v>
      </c>
      <c r="D20" s="92" t="s">
        <v>125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6</v>
      </c>
      <c r="B21" s="92" t="s">
        <v>91</v>
      </c>
      <c r="C21" s="93" t="s">
        <v>86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7</v>
      </c>
      <c r="B22" s="92" t="s">
        <v>92</v>
      </c>
      <c r="C22" s="93" t="s">
        <v>86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93</v>
      </c>
      <c r="C23" s="93" t="s">
        <v>50</v>
      </c>
      <c r="D23" s="92" t="s">
        <v>90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94</v>
      </c>
      <c r="C24" s="93" t="s">
        <v>50</v>
      </c>
      <c r="D24" s="92" t="s">
        <v>90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96</v>
      </c>
      <c r="C25" s="93" t="s">
        <v>50</v>
      </c>
      <c r="D25" s="92" t="s">
        <v>90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126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220</v>
      </c>
      <c r="C27" s="44" t="s">
        <v>177</v>
      </c>
      <c r="D27" s="127" t="s">
        <v>237</v>
      </c>
      <c r="E27" s="128">
        <v>2.5099999999999998</v>
      </c>
      <c r="F27" s="129">
        <f>E27*258</f>
        <v>647.57999999999993</v>
      </c>
      <c r="G27" s="129">
        <v>10.39</v>
      </c>
      <c r="H27" s="96">
        <f t="shared" ref="H27" si="3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3" t="s">
        <v>82</v>
      </c>
      <c r="B28" s="143"/>
      <c r="C28" s="143"/>
      <c r="D28" s="143"/>
      <c r="E28" s="143"/>
      <c r="F28" s="143"/>
      <c r="G28" s="143"/>
      <c r="H28" s="143"/>
      <c r="I28" s="143"/>
      <c r="J28" s="26"/>
      <c r="K28" s="8"/>
      <c r="L28" s="8"/>
      <c r="M28" s="8"/>
    </row>
    <row r="29" spans="1:13" ht="15.75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customHeight="1">
      <c r="A30" s="45">
        <v>5</v>
      </c>
      <c r="B30" s="92" t="s">
        <v>154</v>
      </c>
      <c r="C30" s="93" t="s">
        <v>97</v>
      </c>
      <c r="D30" s="92" t="s">
        <v>234</v>
      </c>
      <c r="E30" s="95">
        <v>306.55</v>
      </c>
      <c r="F30" s="95">
        <f>SUM(E30*52/1000)</f>
        <v>15.9406</v>
      </c>
      <c r="G30" s="95">
        <v>193.97</v>
      </c>
      <c r="H30" s="96">
        <f t="shared" ref="H30:H35" si="4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customHeight="1">
      <c r="A31" s="45">
        <v>6</v>
      </c>
      <c r="B31" s="92" t="s">
        <v>99</v>
      </c>
      <c r="C31" s="93" t="s">
        <v>97</v>
      </c>
      <c r="D31" s="92" t="s">
        <v>233</v>
      </c>
      <c r="E31" s="95">
        <v>42.5</v>
      </c>
      <c r="F31" s="95">
        <f>SUM(E31*78/1000)</f>
        <v>3.3149999999999999</v>
      </c>
      <c r="G31" s="95">
        <v>321.82</v>
      </c>
      <c r="H31" s="96">
        <f t="shared" si="4"/>
        <v>1.0668333000000001</v>
      </c>
      <c r="I31" s="13">
        <f t="shared" ref="I31:I33" si="5">F31/6*G31</f>
        <v>177.80554999999998</v>
      </c>
      <c r="J31" s="26"/>
      <c r="K31" s="8"/>
      <c r="L31" s="8"/>
      <c r="M31" s="8"/>
    </row>
    <row r="32" spans="1:13" ht="15.75" hidden="1" customHeight="1">
      <c r="A32" s="45">
        <v>16</v>
      </c>
      <c r="B32" s="92" t="s">
        <v>153</v>
      </c>
      <c r="C32" s="93" t="s">
        <v>97</v>
      </c>
      <c r="D32" s="92" t="s">
        <v>51</v>
      </c>
      <c r="E32" s="95">
        <v>306.55</v>
      </c>
      <c r="F32" s="95">
        <f>SUM(E32/1000)</f>
        <v>0.30654999999999999</v>
      </c>
      <c r="G32" s="95">
        <v>3758.28</v>
      </c>
      <c r="H32" s="96">
        <f t="shared" si="4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customHeight="1">
      <c r="A33" s="45">
        <v>7</v>
      </c>
      <c r="B33" s="92" t="s">
        <v>127</v>
      </c>
      <c r="C33" s="93" t="s">
        <v>38</v>
      </c>
      <c r="D33" s="92" t="s">
        <v>243</v>
      </c>
      <c r="E33" s="95">
        <v>3</v>
      </c>
      <c r="F33" s="95">
        <f>E33*155/100</f>
        <v>4.6500000000000004</v>
      </c>
      <c r="G33" s="95">
        <v>1620.15</v>
      </c>
      <c r="H33" s="96">
        <f t="shared" si="4"/>
        <v>7.5336975000000015</v>
      </c>
      <c r="I33" s="13">
        <f t="shared" si="5"/>
        <v>1255.61625</v>
      </c>
      <c r="J33" s="26"/>
      <c r="K33" s="8"/>
      <c r="L33" s="8"/>
      <c r="M33" s="8"/>
    </row>
    <row r="34" spans="1:14" ht="15.75" hidden="1" customHeight="1">
      <c r="A34" s="45">
        <v>4</v>
      </c>
      <c r="B34" s="92" t="s">
        <v>62</v>
      </c>
      <c r="C34" s="93" t="s">
        <v>30</v>
      </c>
      <c r="D34" s="92" t="s">
        <v>64</v>
      </c>
      <c r="E34" s="94"/>
      <c r="F34" s="95">
        <v>2</v>
      </c>
      <c r="G34" s="95">
        <v>238.07</v>
      </c>
      <c r="H34" s="96">
        <f t="shared" si="4"/>
        <v>0.47614000000000001</v>
      </c>
      <c r="I34" s="13">
        <v>0</v>
      </c>
      <c r="J34" s="26"/>
      <c r="K34" s="8"/>
    </row>
    <row r="35" spans="1:14" ht="15.75" hidden="1" customHeight="1">
      <c r="A35" s="33">
        <v>8</v>
      </c>
      <c r="B35" s="92" t="s">
        <v>63</v>
      </c>
      <c r="C35" s="93" t="s">
        <v>29</v>
      </c>
      <c r="D35" s="92" t="s">
        <v>64</v>
      </c>
      <c r="E35" s="94"/>
      <c r="F35" s="95">
        <v>3</v>
      </c>
      <c r="G35" s="95">
        <v>1413.96</v>
      </c>
      <c r="H35" s="96">
        <f t="shared" si="4"/>
        <v>4.2418800000000001</v>
      </c>
      <c r="I35" s="13">
        <v>0</v>
      </c>
      <c r="J35" s="27"/>
    </row>
    <row r="36" spans="1:14" ht="15.75" hidden="1" customHeight="1">
      <c r="A36" s="45"/>
      <c r="B36" s="53" t="s">
        <v>5</v>
      </c>
      <c r="C36" s="53"/>
      <c r="D36" s="53"/>
      <c r="E36" s="13"/>
      <c r="F36" s="13"/>
      <c r="G36" s="14"/>
      <c r="H36" s="14"/>
      <c r="I36" s="19"/>
      <c r="J36" s="27"/>
    </row>
    <row r="37" spans="1:14" ht="15.75" hidden="1" customHeight="1">
      <c r="A37" s="37">
        <v>6</v>
      </c>
      <c r="B37" s="92" t="s">
        <v>25</v>
      </c>
      <c r="C37" s="93" t="s">
        <v>29</v>
      </c>
      <c r="D37" s="92"/>
      <c r="E37" s="94"/>
      <c r="F37" s="95">
        <v>2</v>
      </c>
      <c r="G37" s="95">
        <v>1900.37</v>
      </c>
      <c r="H37" s="96">
        <f t="shared" ref="H37:H42" si="6">SUM(F37*G37/1000)</f>
        <v>3.8007399999999998</v>
      </c>
      <c r="I37" s="13">
        <f t="shared" ref="I37:I42" si="7">F37/6*G37</f>
        <v>633.45666666666659</v>
      </c>
      <c r="J37" s="27"/>
    </row>
    <row r="38" spans="1:14" ht="15.75" hidden="1" customHeight="1">
      <c r="A38" s="37">
        <v>7</v>
      </c>
      <c r="B38" s="92" t="s">
        <v>65</v>
      </c>
      <c r="C38" s="93" t="s">
        <v>27</v>
      </c>
      <c r="D38" s="92" t="s">
        <v>102</v>
      </c>
      <c r="E38" s="95">
        <v>42.5</v>
      </c>
      <c r="F38" s="95">
        <f>SUM(E38*30/1000)</f>
        <v>1.2749999999999999</v>
      </c>
      <c r="G38" s="95">
        <v>2616.4899999999998</v>
      </c>
      <c r="H38" s="96">
        <f t="shared" si="6"/>
        <v>3.3360247499999995</v>
      </c>
      <c r="I38" s="13">
        <f t="shared" si="7"/>
        <v>556.00412499999993</v>
      </c>
      <c r="J38" s="27"/>
    </row>
    <row r="39" spans="1:14" ht="15.75" hidden="1" customHeight="1">
      <c r="A39" s="37">
        <v>8</v>
      </c>
      <c r="B39" s="92" t="s">
        <v>66</v>
      </c>
      <c r="C39" s="93" t="s">
        <v>27</v>
      </c>
      <c r="D39" s="92" t="s">
        <v>103</v>
      </c>
      <c r="E39" s="95">
        <v>42.5</v>
      </c>
      <c r="F39" s="95">
        <f>SUM(E39*155/1000)</f>
        <v>6.5875000000000004</v>
      </c>
      <c r="G39" s="95">
        <v>436.45</v>
      </c>
      <c r="H39" s="96">
        <f t="shared" si="6"/>
        <v>2.8751143749999999</v>
      </c>
      <c r="I39" s="13">
        <f t="shared" si="7"/>
        <v>479.18572916666665</v>
      </c>
      <c r="J39" s="27"/>
    </row>
    <row r="40" spans="1:14" ht="47.25" hidden="1" customHeight="1">
      <c r="A40" s="37">
        <v>9</v>
      </c>
      <c r="B40" s="92" t="s">
        <v>81</v>
      </c>
      <c r="C40" s="93" t="s">
        <v>97</v>
      </c>
      <c r="D40" s="92" t="s">
        <v>104</v>
      </c>
      <c r="E40" s="95">
        <v>42.5</v>
      </c>
      <c r="F40" s="95">
        <f>SUM(E40*35/1000)</f>
        <v>1.4875</v>
      </c>
      <c r="G40" s="95">
        <v>7221.21</v>
      </c>
      <c r="H40" s="96">
        <f t="shared" si="6"/>
        <v>10.741549875</v>
      </c>
      <c r="I40" s="13">
        <f t="shared" si="7"/>
        <v>1790.2583125000001</v>
      </c>
      <c r="J40" s="27"/>
    </row>
    <row r="41" spans="1:14" ht="15.75" hidden="1" customHeight="1">
      <c r="A41" s="37">
        <v>10</v>
      </c>
      <c r="B41" s="92" t="s">
        <v>105</v>
      </c>
      <c r="C41" s="93" t="s">
        <v>97</v>
      </c>
      <c r="D41" s="92" t="s">
        <v>106</v>
      </c>
      <c r="E41" s="95">
        <v>42.5</v>
      </c>
      <c r="F41" s="95">
        <f>SUM(E41*20/1000)</f>
        <v>0.85</v>
      </c>
      <c r="G41" s="95">
        <v>533.45000000000005</v>
      </c>
      <c r="H41" s="96">
        <f t="shared" si="6"/>
        <v>0.45343250000000002</v>
      </c>
      <c r="I41" s="13">
        <f t="shared" si="7"/>
        <v>75.572083333333339</v>
      </c>
      <c r="J41" s="27"/>
      <c r="L41" s="21"/>
      <c r="M41" s="22"/>
      <c r="N41" s="23"/>
    </row>
    <row r="42" spans="1:14" ht="15.75" hidden="1" customHeight="1">
      <c r="A42" s="37">
        <v>11</v>
      </c>
      <c r="B42" s="92" t="s">
        <v>67</v>
      </c>
      <c r="C42" s="93" t="s">
        <v>30</v>
      </c>
      <c r="D42" s="92"/>
      <c r="E42" s="94"/>
      <c r="F42" s="95">
        <v>0.5</v>
      </c>
      <c r="G42" s="95">
        <v>992.97</v>
      </c>
      <c r="H42" s="96">
        <f t="shared" si="6"/>
        <v>0.49648500000000001</v>
      </c>
      <c r="I42" s="13">
        <f t="shared" si="7"/>
        <v>82.747500000000002</v>
      </c>
      <c r="J42" s="27"/>
      <c r="L42" s="21"/>
      <c r="M42" s="22"/>
      <c r="N42" s="23"/>
    </row>
    <row r="43" spans="1:14" ht="15.75" hidden="1" customHeight="1">
      <c r="A43" s="132" t="s">
        <v>150</v>
      </c>
      <c r="B43" s="133"/>
      <c r="C43" s="133"/>
      <c r="D43" s="133"/>
      <c r="E43" s="133"/>
      <c r="F43" s="133"/>
      <c r="G43" s="133"/>
      <c r="H43" s="133"/>
      <c r="I43" s="134"/>
      <c r="J43" s="27"/>
      <c r="L43" s="21"/>
      <c r="M43" s="22"/>
      <c r="N43" s="23"/>
    </row>
    <row r="44" spans="1:14" ht="15.75" hidden="1" customHeight="1">
      <c r="A44" s="45">
        <v>19</v>
      </c>
      <c r="B44" s="92" t="s">
        <v>107</v>
      </c>
      <c r="C44" s="93" t="s">
        <v>97</v>
      </c>
      <c r="D44" s="92" t="s">
        <v>40</v>
      </c>
      <c r="E44" s="94">
        <v>1060.4000000000001</v>
      </c>
      <c r="F44" s="95">
        <f>SUM(E44*2/1000)</f>
        <v>2.1208</v>
      </c>
      <c r="G44" s="13">
        <v>1283.46</v>
      </c>
      <c r="H44" s="96">
        <f t="shared" ref="H44:H54" si="8">SUM(F44*G44/1000)</f>
        <v>2.721961968</v>
      </c>
      <c r="I44" s="13">
        <f t="shared" ref="I44:I47" si="9">F44/2*G44</f>
        <v>1360.980984</v>
      </c>
      <c r="J44" s="27"/>
      <c r="L44" s="21"/>
      <c r="M44" s="22"/>
      <c r="N44" s="23"/>
    </row>
    <row r="45" spans="1:14" ht="15.75" hidden="1" customHeight="1">
      <c r="A45" s="45">
        <v>20</v>
      </c>
      <c r="B45" s="92" t="s">
        <v>33</v>
      </c>
      <c r="C45" s="93" t="s">
        <v>97</v>
      </c>
      <c r="D45" s="92" t="s">
        <v>40</v>
      </c>
      <c r="E45" s="94">
        <v>19.8</v>
      </c>
      <c r="F45" s="95">
        <f>SUM(E45*2/1000)</f>
        <v>3.9600000000000003E-2</v>
      </c>
      <c r="G45" s="13">
        <v>721.04</v>
      </c>
      <c r="H45" s="96">
        <f t="shared" si="8"/>
        <v>2.8553184000000002E-2</v>
      </c>
      <c r="I45" s="13">
        <f t="shared" si="9"/>
        <v>14.276592000000001</v>
      </c>
      <c r="J45" s="27"/>
      <c r="L45" s="21"/>
      <c r="M45" s="22"/>
      <c r="N45" s="23"/>
    </row>
    <row r="46" spans="1:14" ht="15.75" hidden="1" customHeight="1">
      <c r="A46" s="45">
        <v>21</v>
      </c>
      <c r="B46" s="92" t="s">
        <v>34</v>
      </c>
      <c r="C46" s="93" t="s">
        <v>97</v>
      </c>
      <c r="D46" s="92" t="s">
        <v>40</v>
      </c>
      <c r="E46" s="94">
        <v>660.84</v>
      </c>
      <c r="F46" s="95">
        <f>SUM(E46*2/1000)</f>
        <v>1.32168</v>
      </c>
      <c r="G46" s="13">
        <v>1711.28</v>
      </c>
      <c r="H46" s="96">
        <f t="shared" si="8"/>
        <v>2.2617645503999997</v>
      </c>
      <c r="I46" s="13">
        <f t="shared" si="9"/>
        <v>1130.8822751999999</v>
      </c>
      <c r="J46" s="27"/>
      <c r="L46" s="21"/>
      <c r="M46" s="22"/>
      <c r="N46" s="23"/>
    </row>
    <row r="47" spans="1:14" ht="15.75" hidden="1" customHeight="1">
      <c r="A47" s="45">
        <v>22</v>
      </c>
      <c r="B47" s="92" t="s">
        <v>35</v>
      </c>
      <c r="C47" s="93" t="s">
        <v>97</v>
      </c>
      <c r="D47" s="92" t="s">
        <v>40</v>
      </c>
      <c r="E47" s="94">
        <v>1156.21</v>
      </c>
      <c r="F47" s="95">
        <f>SUM(E47*2/1000)</f>
        <v>2.3124199999999999</v>
      </c>
      <c r="G47" s="13">
        <v>1179.73</v>
      </c>
      <c r="H47" s="96">
        <f t="shared" si="8"/>
        <v>2.7280312466000001</v>
      </c>
      <c r="I47" s="13">
        <f t="shared" si="9"/>
        <v>1364.0156233</v>
      </c>
      <c r="J47" s="27"/>
      <c r="L47" s="21"/>
      <c r="M47" s="22"/>
      <c r="N47" s="23"/>
    </row>
    <row r="48" spans="1:14" ht="15.75" hidden="1" customHeight="1">
      <c r="A48" s="45">
        <v>23</v>
      </c>
      <c r="B48" s="92" t="s">
        <v>31</v>
      </c>
      <c r="C48" s="93" t="s">
        <v>32</v>
      </c>
      <c r="D48" s="92" t="s">
        <v>40</v>
      </c>
      <c r="E48" s="94">
        <v>15.38</v>
      </c>
      <c r="F48" s="95">
        <f>SUM(E48*2/100)</f>
        <v>0.30760000000000004</v>
      </c>
      <c r="G48" s="13">
        <v>90.61</v>
      </c>
      <c r="H48" s="96">
        <f t="shared" si="8"/>
        <v>2.7871636000000002E-2</v>
      </c>
      <c r="I48" s="13">
        <f>F48/2*G48</f>
        <v>13.935818000000001</v>
      </c>
      <c r="J48" s="27"/>
      <c r="L48" s="21"/>
      <c r="M48" s="22"/>
      <c r="N48" s="23"/>
    </row>
    <row r="49" spans="1:14" ht="15.75" hidden="1" customHeight="1">
      <c r="A49" s="45">
        <v>24</v>
      </c>
      <c r="B49" s="92" t="s">
        <v>54</v>
      </c>
      <c r="C49" s="93" t="s">
        <v>97</v>
      </c>
      <c r="D49" s="92" t="s">
        <v>155</v>
      </c>
      <c r="E49" s="94">
        <v>823</v>
      </c>
      <c r="F49" s="95">
        <f>SUM(E49*5/1000)</f>
        <v>4.1150000000000002</v>
      </c>
      <c r="G49" s="13">
        <v>1711.28</v>
      </c>
      <c r="H49" s="96">
        <f t="shared" si="8"/>
        <v>7.0419171999999994</v>
      </c>
      <c r="I49" s="13">
        <f>F49/5*G49</f>
        <v>1408.3834400000001</v>
      </c>
      <c r="J49" s="27"/>
      <c r="L49" s="21"/>
      <c r="M49" s="22"/>
      <c r="N49" s="23"/>
    </row>
    <row r="50" spans="1:14" ht="31.5" hidden="1" customHeight="1">
      <c r="A50" s="45">
        <v>25</v>
      </c>
      <c r="B50" s="92" t="s">
        <v>108</v>
      </c>
      <c r="C50" s="93" t="s">
        <v>97</v>
      </c>
      <c r="D50" s="92" t="s">
        <v>40</v>
      </c>
      <c r="E50" s="94">
        <v>823</v>
      </c>
      <c r="F50" s="95">
        <f>SUM(E50*2/1000)</f>
        <v>1.6459999999999999</v>
      </c>
      <c r="G50" s="13">
        <v>1510.06</v>
      </c>
      <c r="H50" s="96">
        <f t="shared" si="8"/>
        <v>2.48555876</v>
      </c>
      <c r="I50" s="13">
        <f>F50/2*G50</f>
        <v>1242.7793799999999</v>
      </c>
      <c r="J50" s="27"/>
      <c r="L50" s="21"/>
      <c r="M50" s="22"/>
      <c r="N50" s="23"/>
    </row>
    <row r="51" spans="1:14" ht="31.5" hidden="1" customHeight="1">
      <c r="A51" s="45">
        <v>26</v>
      </c>
      <c r="B51" s="92" t="s">
        <v>109</v>
      </c>
      <c r="C51" s="93" t="s">
        <v>36</v>
      </c>
      <c r="D51" s="92" t="s">
        <v>40</v>
      </c>
      <c r="E51" s="94">
        <v>9</v>
      </c>
      <c r="F51" s="95">
        <f>SUM(E51*2/100)</f>
        <v>0.18</v>
      </c>
      <c r="G51" s="13">
        <v>3850.4</v>
      </c>
      <c r="H51" s="96">
        <f t="shared" si="8"/>
        <v>0.69307200000000002</v>
      </c>
      <c r="I51" s="13">
        <f t="shared" ref="I51:I52" si="10">F51/2*G51</f>
        <v>346.536</v>
      </c>
      <c r="J51" s="27"/>
      <c r="L51" s="21"/>
      <c r="M51" s="22"/>
      <c r="N51" s="23"/>
    </row>
    <row r="52" spans="1:14" ht="15.75" hidden="1" customHeight="1">
      <c r="A52" s="45">
        <v>27</v>
      </c>
      <c r="B52" s="92" t="s">
        <v>37</v>
      </c>
      <c r="C52" s="93" t="s">
        <v>38</v>
      </c>
      <c r="D52" s="92" t="s">
        <v>40</v>
      </c>
      <c r="E52" s="94">
        <v>1</v>
      </c>
      <c r="F52" s="95">
        <v>0.02</v>
      </c>
      <c r="G52" s="13">
        <v>7033.13</v>
      </c>
      <c r="H52" s="96">
        <f t="shared" si="8"/>
        <v>0.1406626</v>
      </c>
      <c r="I52" s="13">
        <f t="shared" si="10"/>
        <v>70.331299999999999</v>
      </c>
      <c r="J52" s="27"/>
      <c r="L52" s="21"/>
      <c r="M52" s="22"/>
      <c r="N52" s="23"/>
    </row>
    <row r="53" spans="1:14" ht="15.75" hidden="1" customHeight="1">
      <c r="A53" s="45">
        <v>10</v>
      </c>
      <c r="B53" s="92" t="s">
        <v>128</v>
      </c>
      <c r="C53" s="93" t="s">
        <v>110</v>
      </c>
      <c r="D53" s="92" t="s">
        <v>68</v>
      </c>
      <c r="E53" s="94">
        <v>36</v>
      </c>
      <c r="F53" s="95">
        <f>SUM(E53*3)</f>
        <v>108</v>
      </c>
      <c r="G53" s="13">
        <v>175.6</v>
      </c>
      <c r="H53" s="96">
        <f t="shared" si="8"/>
        <v>18.9648</v>
      </c>
      <c r="I53" s="13">
        <f>E53*G53</f>
        <v>6321.5999999999995</v>
      </c>
      <c r="J53" s="27"/>
      <c r="L53" s="21"/>
      <c r="M53" s="22"/>
      <c r="N53" s="23"/>
    </row>
    <row r="54" spans="1:14" ht="15.75" hidden="1" customHeight="1">
      <c r="A54" s="45">
        <v>11</v>
      </c>
      <c r="B54" s="92" t="s">
        <v>39</v>
      </c>
      <c r="C54" s="93" t="s">
        <v>110</v>
      </c>
      <c r="D54" s="92" t="s">
        <v>68</v>
      </c>
      <c r="E54" s="94">
        <v>36</v>
      </c>
      <c r="F54" s="95">
        <f>SUM(E54)*3</f>
        <v>108</v>
      </c>
      <c r="G54" s="13">
        <v>81.73</v>
      </c>
      <c r="H54" s="96">
        <f t="shared" si="8"/>
        <v>8.8268400000000007</v>
      </c>
      <c r="I54" s="13">
        <f>E54*G54</f>
        <v>2942.28</v>
      </c>
      <c r="J54" s="27"/>
      <c r="L54" s="21"/>
      <c r="M54" s="22"/>
      <c r="N54" s="23"/>
    </row>
    <row r="55" spans="1:14" ht="15.75" hidden="1" customHeight="1">
      <c r="A55" s="132" t="s">
        <v>164</v>
      </c>
      <c r="B55" s="133"/>
      <c r="C55" s="133"/>
      <c r="D55" s="133"/>
      <c r="E55" s="133"/>
      <c r="F55" s="133"/>
      <c r="G55" s="133"/>
      <c r="H55" s="133"/>
      <c r="I55" s="134"/>
      <c r="J55" s="27"/>
      <c r="L55" s="21"/>
      <c r="M55" s="22"/>
      <c r="N55" s="23"/>
    </row>
    <row r="56" spans="1:14" ht="15.75" hidden="1" customHeight="1">
      <c r="A56" s="57"/>
      <c r="B56" s="52" t="s">
        <v>41</v>
      </c>
      <c r="C56" s="17"/>
      <c r="D56" s="16"/>
      <c r="E56" s="16"/>
      <c r="F56" s="16"/>
      <c r="G56" s="33"/>
      <c r="H56" s="33"/>
      <c r="I56" s="19"/>
      <c r="J56" s="27"/>
      <c r="L56" s="21"/>
      <c r="M56" s="22"/>
      <c r="N56" s="23"/>
    </row>
    <row r="57" spans="1:14" ht="31.5" hidden="1" customHeight="1">
      <c r="A57" s="45">
        <v>12</v>
      </c>
      <c r="B57" s="92" t="s">
        <v>156</v>
      </c>
      <c r="C57" s="93" t="s">
        <v>86</v>
      </c>
      <c r="D57" s="92" t="s">
        <v>111</v>
      </c>
      <c r="E57" s="94">
        <v>71.02</v>
      </c>
      <c r="F57" s="95">
        <f>SUM(E57*6/100)</f>
        <v>4.2611999999999997</v>
      </c>
      <c r="G57" s="13">
        <v>2306.62</v>
      </c>
      <c r="H57" s="96">
        <f>SUM(F57*G57/1000)</f>
        <v>9.8289691439999984</v>
      </c>
      <c r="I57" s="13">
        <f>F57/6*G57</f>
        <v>1638.1615239999999</v>
      </c>
      <c r="J57" s="27"/>
      <c r="L57" s="21"/>
      <c r="M57" s="22"/>
      <c r="N57" s="23"/>
    </row>
    <row r="58" spans="1:14" ht="15.75" hidden="1" customHeight="1">
      <c r="A58" s="45"/>
      <c r="B58" s="92" t="s">
        <v>112</v>
      </c>
      <c r="C58" s="93" t="s">
        <v>157</v>
      </c>
      <c r="D58" s="92" t="s">
        <v>64</v>
      </c>
      <c r="E58" s="100"/>
      <c r="F58" s="95">
        <v>2</v>
      </c>
      <c r="G58" s="95">
        <v>1501</v>
      </c>
      <c r="H58" s="96">
        <f>SUM(F58*G58/1000)</f>
        <v>3.0019999999999998</v>
      </c>
      <c r="I58" s="13">
        <v>0</v>
      </c>
      <c r="J58" s="27"/>
      <c r="L58" s="21"/>
      <c r="M58" s="22"/>
      <c r="N58" s="23"/>
    </row>
    <row r="59" spans="1:14" ht="15.75" hidden="1" customHeight="1">
      <c r="A59" s="45"/>
      <c r="B59" s="79" t="s">
        <v>42</v>
      </c>
      <c r="C59" s="79"/>
      <c r="D59" s="79"/>
      <c r="E59" s="79"/>
      <c r="F59" s="79"/>
      <c r="G59" s="79"/>
      <c r="H59" s="79"/>
      <c r="I59" s="39"/>
      <c r="J59" s="27"/>
      <c r="L59" s="21"/>
      <c r="M59" s="22"/>
      <c r="N59" s="23"/>
    </row>
    <row r="60" spans="1:14" ht="15.75" hidden="1" customHeight="1">
      <c r="A60" s="45">
        <v>27</v>
      </c>
      <c r="B60" s="92" t="s">
        <v>158</v>
      </c>
      <c r="C60" s="93" t="s">
        <v>50</v>
      </c>
      <c r="D60" s="92" t="s">
        <v>51</v>
      </c>
      <c r="E60" s="94">
        <v>434.4</v>
      </c>
      <c r="F60" s="96">
        <f>SUM(E60/100)</f>
        <v>4.3439999999999994</v>
      </c>
      <c r="G60" s="13">
        <v>987.51</v>
      </c>
      <c r="H60" s="101">
        <f>F60*G60/1000</f>
        <v>4.2897434399999996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1" t="s">
        <v>129</v>
      </c>
      <c r="C61" s="44"/>
      <c r="D61" s="70"/>
      <c r="E61" s="67"/>
      <c r="F61" s="67"/>
      <c r="G61" s="40"/>
      <c r="H61" s="40"/>
      <c r="I61" s="20"/>
      <c r="J61" s="27"/>
      <c r="L61" s="21"/>
      <c r="M61" s="22"/>
      <c r="N61" s="23"/>
    </row>
    <row r="62" spans="1:14" ht="15.75" hidden="1" customHeight="1">
      <c r="A62" s="45"/>
      <c r="B62" s="92" t="s">
        <v>130</v>
      </c>
      <c r="C62" s="93" t="s">
        <v>110</v>
      </c>
      <c r="D62" s="41" t="s">
        <v>64</v>
      </c>
      <c r="E62" s="94">
        <v>1</v>
      </c>
      <c r="F62" s="95">
        <f>E62</f>
        <v>1</v>
      </c>
      <c r="G62" s="102">
        <v>323.38</v>
      </c>
      <c r="H62" s="96">
        <f t="shared" ref="H62" si="11">SUM(F62*G62/1000)</f>
        <v>0.32338</v>
      </c>
      <c r="I62" s="13">
        <v>0</v>
      </c>
      <c r="J62" s="27"/>
      <c r="L62" s="21"/>
      <c r="M62" s="22"/>
      <c r="N62" s="23"/>
    </row>
    <row r="63" spans="1:14" ht="21.75" customHeight="1">
      <c r="A63" s="45"/>
      <c r="B63" s="79" t="s">
        <v>43</v>
      </c>
      <c r="C63" s="17"/>
      <c r="D63" s="41"/>
      <c r="E63" s="16"/>
      <c r="F63" s="16"/>
      <c r="G63" s="33"/>
      <c r="H63" s="33"/>
      <c r="I63" s="19"/>
      <c r="J63" s="27"/>
      <c r="L63" s="21"/>
      <c r="M63" s="22"/>
      <c r="N63" s="23"/>
    </row>
    <row r="64" spans="1:14" ht="16.5" hidden="1" customHeight="1">
      <c r="A64" s="45">
        <v>17</v>
      </c>
      <c r="B64" s="15" t="s">
        <v>44</v>
      </c>
      <c r="C64" s="17" t="s">
        <v>110</v>
      </c>
      <c r="D64" s="41" t="s">
        <v>64</v>
      </c>
      <c r="E64" s="19">
        <v>10</v>
      </c>
      <c r="F64" s="95">
        <v>10</v>
      </c>
      <c r="G64" s="13">
        <v>276.74</v>
      </c>
      <c r="H64" s="103">
        <f t="shared" ref="H64:H71" si="12">SUM(F64*G64/1000)</f>
        <v>2.7674000000000003</v>
      </c>
      <c r="I64" s="13">
        <v>0</v>
      </c>
      <c r="J64" s="27"/>
      <c r="L64" s="21"/>
      <c r="M64" s="22"/>
      <c r="N64" s="23"/>
    </row>
    <row r="65" spans="1:21" ht="15.75" hidden="1" customHeight="1">
      <c r="A65" s="33">
        <v>29</v>
      </c>
      <c r="B65" s="15" t="s">
        <v>45</v>
      </c>
      <c r="C65" s="17" t="s">
        <v>110</v>
      </c>
      <c r="D65" s="41" t="s">
        <v>64</v>
      </c>
      <c r="E65" s="19">
        <v>3</v>
      </c>
      <c r="F65" s="95">
        <v>3</v>
      </c>
      <c r="G65" s="13">
        <v>94.89</v>
      </c>
      <c r="H65" s="103">
        <f t="shared" si="12"/>
        <v>0.28467000000000003</v>
      </c>
      <c r="I65" s="13">
        <v>0</v>
      </c>
      <c r="J65" s="27"/>
      <c r="L65" s="21"/>
      <c r="M65" s="22"/>
      <c r="N65" s="23"/>
    </row>
    <row r="66" spans="1:21" ht="18.75" customHeight="1">
      <c r="A66" s="33">
        <v>8</v>
      </c>
      <c r="B66" s="15" t="s">
        <v>46</v>
      </c>
      <c r="C66" s="17" t="s">
        <v>113</v>
      </c>
      <c r="D66" s="15" t="s">
        <v>239</v>
      </c>
      <c r="E66" s="94">
        <v>7265</v>
      </c>
      <c r="F66" s="13">
        <f>SUM(E66/100)</f>
        <v>72.650000000000006</v>
      </c>
      <c r="G66" s="13">
        <v>263.99</v>
      </c>
      <c r="H66" s="103">
        <f t="shared" si="12"/>
        <v>19.178873500000002</v>
      </c>
      <c r="I66" s="13">
        <f>F66*G66</f>
        <v>19178.873500000002</v>
      </c>
      <c r="J66" s="27"/>
      <c r="L66" s="21"/>
      <c r="M66" s="22"/>
      <c r="N66" s="23"/>
    </row>
    <row r="67" spans="1:21" ht="21.75" customHeight="1">
      <c r="A67" s="33">
        <v>9</v>
      </c>
      <c r="B67" s="15" t="s">
        <v>47</v>
      </c>
      <c r="C67" s="17" t="s">
        <v>114</v>
      </c>
      <c r="D67" s="15" t="s">
        <v>240</v>
      </c>
      <c r="E67" s="94">
        <v>7265</v>
      </c>
      <c r="F67" s="13">
        <f>SUM(E67/1000)</f>
        <v>7.2649999999999997</v>
      </c>
      <c r="G67" s="13">
        <v>205.57</v>
      </c>
      <c r="H67" s="103">
        <f t="shared" si="12"/>
        <v>1.4934660500000001</v>
      </c>
      <c r="I67" s="13">
        <f t="shared" ref="I67:I70" si="13">F67*G67</f>
        <v>1493.46605</v>
      </c>
      <c r="J67" s="27"/>
      <c r="L67" s="21"/>
      <c r="M67" s="22"/>
      <c r="N67" s="23"/>
    </row>
    <row r="68" spans="1:21" ht="22.5" customHeight="1">
      <c r="A68" s="33">
        <v>10</v>
      </c>
      <c r="B68" s="15" t="s">
        <v>48</v>
      </c>
      <c r="C68" s="17" t="s">
        <v>74</v>
      </c>
      <c r="D68" s="15" t="s">
        <v>239</v>
      </c>
      <c r="E68" s="94">
        <v>1090</v>
      </c>
      <c r="F68" s="13">
        <f>SUM(E68/100)</f>
        <v>10.9</v>
      </c>
      <c r="G68" s="13">
        <v>2581.5300000000002</v>
      </c>
      <c r="H68" s="103">
        <f t="shared" si="12"/>
        <v>28.138677000000005</v>
      </c>
      <c r="I68" s="13">
        <f t="shared" si="13"/>
        <v>28138.677000000003</v>
      </c>
      <c r="J68" s="27"/>
      <c r="L68" s="21"/>
    </row>
    <row r="69" spans="1:21" ht="18" customHeight="1">
      <c r="A69" s="33">
        <v>11</v>
      </c>
      <c r="B69" s="104" t="s">
        <v>115</v>
      </c>
      <c r="C69" s="17" t="s">
        <v>30</v>
      </c>
      <c r="D69" s="15"/>
      <c r="E69" s="94">
        <v>7.4</v>
      </c>
      <c r="F69" s="13">
        <f>SUM(E69)</f>
        <v>7.4</v>
      </c>
      <c r="G69" s="13">
        <v>47.45</v>
      </c>
      <c r="H69" s="103">
        <f t="shared" si="12"/>
        <v>0.35113000000000005</v>
      </c>
      <c r="I69" s="13">
        <f t="shared" si="13"/>
        <v>351.13000000000005</v>
      </c>
    </row>
    <row r="70" spans="1:21" ht="21.75" customHeight="1">
      <c r="A70" s="33">
        <v>12</v>
      </c>
      <c r="B70" s="104" t="s">
        <v>159</v>
      </c>
      <c r="C70" s="17" t="s">
        <v>30</v>
      </c>
      <c r="D70" s="15"/>
      <c r="E70" s="94">
        <v>7.4</v>
      </c>
      <c r="F70" s="13">
        <f>SUM(E70)</f>
        <v>7.4</v>
      </c>
      <c r="G70" s="13">
        <v>44.27</v>
      </c>
      <c r="H70" s="103">
        <f t="shared" si="12"/>
        <v>0.327598</v>
      </c>
      <c r="I70" s="13">
        <f t="shared" si="13"/>
        <v>327.59800000000001</v>
      </c>
    </row>
    <row r="71" spans="1:21" ht="25.5" hidden="1" customHeight="1">
      <c r="A71" s="33">
        <v>12</v>
      </c>
      <c r="B71" s="15" t="s">
        <v>55</v>
      </c>
      <c r="C71" s="17" t="s">
        <v>56</v>
      </c>
      <c r="D71" s="15" t="s">
        <v>51</v>
      </c>
      <c r="E71" s="19">
        <v>3</v>
      </c>
      <c r="F71" s="95">
        <f>SUM(E71)</f>
        <v>3</v>
      </c>
      <c r="G71" s="13">
        <v>62.07</v>
      </c>
      <c r="H71" s="103">
        <f t="shared" si="12"/>
        <v>0.18621000000000001</v>
      </c>
      <c r="I71" s="13">
        <f>G71*F71</f>
        <v>186.21</v>
      </c>
    </row>
    <row r="72" spans="1:21" ht="23.25" hidden="1" customHeight="1">
      <c r="A72" s="57"/>
      <c r="B72" s="79" t="s">
        <v>116</v>
      </c>
      <c r="C72" s="79"/>
      <c r="D72" s="79"/>
      <c r="E72" s="79"/>
      <c r="F72" s="79"/>
      <c r="G72" s="79"/>
      <c r="H72" s="79"/>
      <c r="I72" s="19"/>
      <c r="J72" s="29"/>
      <c r="K72" s="29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7.75" hidden="1" customHeight="1">
      <c r="A73" s="33">
        <v>14</v>
      </c>
      <c r="B73" s="105" t="s">
        <v>117</v>
      </c>
      <c r="C73" s="25"/>
      <c r="D73" s="24"/>
      <c r="E73" s="87"/>
      <c r="F73" s="106">
        <v>1</v>
      </c>
      <c r="G73" s="106">
        <v>12171.2</v>
      </c>
      <c r="H73" s="13">
        <f>G73*F73/1000</f>
        <v>12.171200000000001</v>
      </c>
      <c r="I73" s="13">
        <f>G73</f>
        <v>12171.2</v>
      </c>
      <c r="J73" s="3"/>
      <c r="K73" s="3"/>
      <c r="L73" s="3"/>
      <c r="M73" s="3"/>
      <c r="N73" s="3"/>
      <c r="O73" s="3"/>
      <c r="P73" s="3"/>
      <c r="Q73" s="3"/>
      <c r="S73" s="3"/>
      <c r="T73" s="3"/>
      <c r="U73" s="3"/>
    </row>
    <row r="74" spans="1:21" ht="23.25" hidden="1" customHeight="1">
      <c r="A74" s="33"/>
      <c r="B74" s="53" t="s">
        <v>69</v>
      </c>
      <c r="C74" s="53"/>
      <c r="D74" s="53"/>
      <c r="E74" s="19"/>
      <c r="F74" s="19"/>
      <c r="G74" s="33"/>
      <c r="H74" s="33"/>
      <c r="I74" s="19"/>
      <c r="J74" s="5"/>
      <c r="K74" s="5"/>
      <c r="L74" s="5"/>
      <c r="M74" s="5"/>
      <c r="N74" s="5"/>
      <c r="O74" s="5"/>
      <c r="P74" s="5"/>
      <c r="Q74" s="5"/>
      <c r="R74" s="131"/>
      <c r="S74" s="131"/>
      <c r="T74" s="131"/>
      <c r="U74" s="131"/>
    </row>
    <row r="75" spans="1:21" ht="25.5" hidden="1" customHeight="1">
      <c r="A75" s="33"/>
      <c r="B75" s="15" t="s">
        <v>131</v>
      </c>
      <c r="C75" s="17" t="s">
        <v>118</v>
      </c>
      <c r="D75" s="41" t="s">
        <v>64</v>
      </c>
      <c r="E75" s="19">
        <v>1</v>
      </c>
      <c r="F75" s="13">
        <f>E75</f>
        <v>1</v>
      </c>
      <c r="G75" s="13">
        <v>976.4</v>
      </c>
      <c r="H75" s="103">
        <f>F75*G75/1000</f>
        <v>0.97639999999999993</v>
      </c>
      <c r="I75" s="13">
        <v>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24" hidden="1" customHeight="1">
      <c r="A76" s="33"/>
      <c r="B76" s="15" t="s">
        <v>119</v>
      </c>
      <c r="C76" s="17" t="s">
        <v>120</v>
      </c>
      <c r="D76" s="15"/>
      <c r="E76" s="19">
        <v>1</v>
      </c>
      <c r="F76" s="13">
        <v>1</v>
      </c>
      <c r="G76" s="13">
        <v>750</v>
      </c>
      <c r="H76" s="103">
        <f>F76*G76/1000</f>
        <v>0.75</v>
      </c>
      <c r="I76" s="13">
        <v>0</v>
      </c>
    </row>
    <row r="77" spans="1:21" ht="20.25" hidden="1" customHeight="1">
      <c r="A77" s="33"/>
      <c r="B77" s="15" t="s">
        <v>70</v>
      </c>
      <c r="C77" s="17" t="s">
        <v>72</v>
      </c>
      <c r="D77" s="41" t="s">
        <v>64</v>
      </c>
      <c r="E77" s="19">
        <v>3</v>
      </c>
      <c r="F77" s="13">
        <f>SUM(E77/100)</f>
        <v>0.03</v>
      </c>
      <c r="G77" s="13">
        <v>624.16999999999996</v>
      </c>
      <c r="H77" s="103">
        <f>F77*G77/1000</f>
        <v>1.8725099999999998E-2</v>
      </c>
      <c r="I77" s="13">
        <v>0</v>
      </c>
    </row>
    <row r="78" spans="1:21" ht="21" hidden="1" customHeight="1">
      <c r="A78" s="33"/>
      <c r="B78" s="15" t="s">
        <v>71</v>
      </c>
      <c r="C78" s="17" t="s">
        <v>28</v>
      </c>
      <c r="D78" s="41" t="s">
        <v>64</v>
      </c>
      <c r="E78" s="19">
        <v>1</v>
      </c>
      <c r="F78" s="13">
        <v>1</v>
      </c>
      <c r="G78" s="13">
        <v>1061.4100000000001</v>
      </c>
      <c r="H78" s="103">
        <f>F78*G78/1000</f>
        <v>1.0614100000000002</v>
      </c>
      <c r="I78" s="13">
        <v>0</v>
      </c>
    </row>
    <row r="79" spans="1:21" ht="21.75" hidden="1" customHeight="1">
      <c r="A79" s="33">
        <v>17</v>
      </c>
      <c r="B79" s="15" t="s">
        <v>132</v>
      </c>
      <c r="C79" s="17" t="s">
        <v>28</v>
      </c>
      <c r="D79" s="41" t="s">
        <v>64</v>
      </c>
      <c r="E79" s="19">
        <v>1</v>
      </c>
      <c r="F79" s="95">
        <f>SUM(E79)</f>
        <v>1</v>
      </c>
      <c r="G79" s="13">
        <v>446.12</v>
      </c>
      <c r="H79" s="103">
        <f t="shared" ref="H79" si="14">SUM(F79*G79/1000)</f>
        <v>0.44612000000000002</v>
      </c>
      <c r="I79" s="13">
        <v>0</v>
      </c>
    </row>
    <row r="80" spans="1:21" ht="23.25" hidden="1" customHeight="1">
      <c r="A80" s="33"/>
      <c r="B80" s="54" t="s">
        <v>73</v>
      </c>
      <c r="C80" s="42"/>
      <c r="D80" s="33"/>
      <c r="E80" s="19"/>
      <c r="F80" s="19"/>
      <c r="G80" s="40"/>
      <c r="H80" s="40"/>
      <c r="I80" s="19"/>
    </row>
    <row r="81" spans="1:9" ht="27.75" hidden="1" customHeight="1">
      <c r="A81" s="33">
        <v>39</v>
      </c>
      <c r="B81" s="56" t="s">
        <v>121</v>
      </c>
      <c r="C81" s="17" t="s">
        <v>74</v>
      </c>
      <c r="D81" s="15"/>
      <c r="E81" s="19"/>
      <c r="F81" s="13">
        <v>1.35</v>
      </c>
      <c r="G81" s="13">
        <v>3433.68</v>
      </c>
      <c r="H81" s="103">
        <f t="shared" ref="H81" si="15">SUM(F81*G81/1000)</f>
        <v>4.6354679999999995</v>
      </c>
      <c r="I81" s="13">
        <v>0</v>
      </c>
    </row>
    <row r="82" spans="1:9" ht="30" hidden="1" customHeight="1">
      <c r="A82" s="33"/>
      <c r="B82" s="79" t="s">
        <v>133</v>
      </c>
      <c r="C82" s="72"/>
      <c r="D82" s="35"/>
      <c r="E82" s="12"/>
      <c r="F82" s="12"/>
      <c r="G82" s="40"/>
      <c r="H82" s="40"/>
      <c r="I82" s="19"/>
    </row>
    <row r="83" spans="1:9" ht="28.5" hidden="1" customHeight="1">
      <c r="A83" s="33"/>
      <c r="B83" s="15" t="s">
        <v>134</v>
      </c>
      <c r="C83" s="17" t="s">
        <v>135</v>
      </c>
      <c r="D83" s="41" t="s">
        <v>64</v>
      </c>
      <c r="E83" s="19">
        <v>6</v>
      </c>
      <c r="F83" s="13">
        <f>E83</f>
        <v>6</v>
      </c>
      <c r="G83" s="13">
        <v>297.44</v>
      </c>
      <c r="H83" s="103">
        <f t="shared" ref="H83:H93" si="16">SUM(F83*G83/1000)</f>
        <v>1.7846399999999998</v>
      </c>
      <c r="I83" s="13">
        <v>0</v>
      </c>
    </row>
    <row r="84" spans="1:9" ht="27" hidden="1" customHeight="1">
      <c r="A84" s="33"/>
      <c r="B84" s="15" t="s">
        <v>136</v>
      </c>
      <c r="C84" s="17" t="s">
        <v>79</v>
      </c>
      <c r="D84" s="41" t="s">
        <v>64</v>
      </c>
      <c r="E84" s="19">
        <v>12</v>
      </c>
      <c r="F84" s="13">
        <f>E84</f>
        <v>12</v>
      </c>
      <c r="G84" s="13">
        <v>122.35</v>
      </c>
      <c r="H84" s="103">
        <f t="shared" si="16"/>
        <v>1.4681999999999997</v>
      </c>
      <c r="I84" s="13">
        <v>0</v>
      </c>
    </row>
    <row r="85" spans="1:9" ht="27" hidden="1" customHeight="1">
      <c r="A85" s="33">
        <v>12</v>
      </c>
      <c r="B85" s="15" t="s">
        <v>137</v>
      </c>
      <c r="C85" s="17" t="s">
        <v>138</v>
      </c>
      <c r="D85" s="41" t="s">
        <v>64</v>
      </c>
      <c r="E85" s="19">
        <v>9</v>
      </c>
      <c r="F85" s="13">
        <f>E85/3</f>
        <v>3</v>
      </c>
      <c r="G85" s="13">
        <v>1063.47</v>
      </c>
      <c r="H85" s="103">
        <f t="shared" si="16"/>
        <v>3.19041</v>
      </c>
      <c r="I85" s="13">
        <f>G85*((10+10+10+15+10)/3)</f>
        <v>19496.95</v>
      </c>
    </row>
    <row r="86" spans="1:9" ht="26.25" hidden="1" customHeight="1">
      <c r="A86" s="33"/>
      <c r="B86" s="15" t="s">
        <v>139</v>
      </c>
      <c r="C86" s="17" t="s">
        <v>140</v>
      </c>
      <c r="D86" s="41" t="s">
        <v>64</v>
      </c>
      <c r="E86" s="19">
        <v>10</v>
      </c>
      <c r="F86" s="13">
        <f>E86/10</f>
        <v>1</v>
      </c>
      <c r="G86" s="13">
        <v>297.99</v>
      </c>
      <c r="H86" s="103">
        <f t="shared" si="16"/>
        <v>0.29799000000000003</v>
      </c>
      <c r="I86" s="13">
        <v>0</v>
      </c>
    </row>
    <row r="87" spans="1:9" ht="21.75" hidden="1" customHeight="1">
      <c r="A87" s="33"/>
      <c r="B87" s="15" t="s">
        <v>141</v>
      </c>
      <c r="C87" s="17" t="s">
        <v>79</v>
      </c>
      <c r="D87" s="41" t="s">
        <v>64</v>
      </c>
      <c r="E87" s="19">
        <v>6</v>
      </c>
      <c r="F87" s="13">
        <f t="shared" ref="F87:F92" si="17">E87</f>
        <v>6</v>
      </c>
      <c r="G87" s="13">
        <v>1564.44</v>
      </c>
      <c r="H87" s="103">
        <f t="shared" si="16"/>
        <v>9.3866399999999999</v>
      </c>
      <c r="I87" s="13">
        <v>0</v>
      </c>
    </row>
    <row r="88" spans="1:9" ht="30" hidden="1" customHeight="1">
      <c r="A88" s="33"/>
      <c r="B88" s="15" t="s">
        <v>142</v>
      </c>
      <c r="C88" s="17" t="s">
        <v>79</v>
      </c>
      <c r="D88" s="41" t="s">
        <v>64</v>
      </c>
      <c r="E88" s="19">
        <v>6</v>
      </c>
      <c r="F88" s="13">
        <f t="shared" si="17"/>
        <v>6</v>
      </c>
      <c r="G88" s="13">
        <v>1906.89</v>
      </c>
      <c r="H88" s="103">
        <f t="shared" si="16"/>
        <v>11.44134</v>
      </c>
      <c r="I88" s="13">
        <v>0</v>
      </c>
    </row>
    <row r="89" spans="1:9" ht="29.25" hidden="1" customHeight="1">
      <c r="A89" s="33"/>
      <c r="B89" s="15" t="s">
        <v>143</v>
      </c>
      <c r="C89" s="17" t="s">
        <v>79</v>
      </c>
      <c r="D89" s="41" t="s">
        <v>64</v>
      </c>
      <c r="E89" s="19">
        <v>6</v>
      </c>
      <c r="F89" s="13">
        <f t="shared" si="17"/>
        <v>6</v>
      </c>
      <c r="G89" s="13">
        <v>664.35</v>
      </c>
      <c r="H89" s="103">
        <f t="shared" si="16"/>
        <v>3.9861000000000004</v>
      </c>
      <c r="I89" s="13">
        <v>0</v>
      </c>
    </row>
    <row r="90" spans="1:9" ht="33" hidden="1" customHeight="1">
      <c r="A90" s="33"/>
      <c r="B90" s="15" t="s">
        <v>144</v>
      </c>
      <c r="C90" s="17" t="s">
        <v>79</v>
      </c>
      <c r="D90" s="41" t="s">
        <v>64</v>
      </c>
      <c r="E90" s="19">
        <v>6</v>
      </c>
      <c r="F90" s="13">
        <f t="shared" si="17"/>
        <v>6</v>
      </c>
      <c r="G90" s="13">
        <v>778.85</v>
      </c>
      <c r="H90" s="103">
        <f t="shared" si="16"/>
        <v>4.6731000000000007</v>
      </c>
      <c r="I90" s="13">
        <v>0</v>
      </c>
    </row>
    <row r="91" spans="1:9" ht="27" hidden="1" customHeight="1">
      <c r="A91" s="33"/>
      <c r="B91" s="15" t="s">
        <v>145</v>
      </c>
      <c r="C91" s="17" t="s">
        <v>118</v>
      </c>
      <c r="D91" s="41" t="s">
        <v>64</v>
      </c>
      <c r="E91" s="19">
        <v>4</v>
      </c>
      <c r="F91" s="13">
        <f t="shared" si="17"/>
        <v>4</v>
      </c>
      <c r="G91" s="13">
        <v>498.11</v>
      </c>
      <c r="H91" s="103">
        <f t="shared" si="16"/>
        <v>1.99244</v>
      </c>
      <c r="I91" s="13">
        <v>0</v>
      </c>
    </row>
    <row r="92" spans="1:9" ht="27" hidden="1" customHeight="1">
      <c r="A92" s="33"/>
      <c r="B92" s="15" t="s">
        <v>146</v>
      </c>
      <c r="C92" s="17" t="s">
        <v>79</v>
      </c>
      <c r="D92" s="41" t="s">
        <v>64</v>
      </c>
      <c r="E92" s="19">
        <v>6</v>
      </c>
      <c r="F92" s="13">
        <f t="shared" si="17"/>
        <v>6</v>
      </c>
      <c r="G92" s="13">
        <v>1264.3399999999999</v>
      </c>
      <c r="H92" s="103">
        <f t="shared" si="16"/>
        <v>7.5860399999999988</v>
      </c>
      <c r="I92" s="13">
        <v>0</v>
      </c>
    </row>
    <row r="93" spans="1:9" ht="27.75" hidden="1" customHeight="1">
      <c r="A93" s="33">
        <v>33</v>
      </c>
      <c r="B93" s="15" t="s">
        <v>147</v>
      </c>
      <c r="C93" s="17" t="s">
        <v>27</v>
      </c>
      <c r="D93" s="15" t="s">
        <v>40</v>
      </c>
      <c r="E93" s="19">
        <v>823</v>
      </c>
      <c r="F93" s="13">
        <f>E93*2/1000</f>
        <v>1.6459999999999999</v>
      </c>
      <c r="G93" s="13">
        <v>1707.71</v>
      </c>
      <c r="H93" s="103">
        <f t="shared" si="16"/>
        <v>2.8108906600000001</v>
      </c>
      <c r="I93" s="13">
        <f>F93/2*G93</f>
        <v>1405.44533</v>
      </c>
    </row>
    <row r="94" spans="1:9" ht="15.75" customHeight="1">
      <c r="A94" s="144" t="s">
        <v>170</v>
      </c>
      <c r="B94" s="145"/>
      <c r="C94" s="145"/>
      <c r="D94" s="145"/>
      <c r="E94" s="145"/>
      <c r="F94" s="145"/>
      <c r="G94" s="145"/>
      <c r="H94" s="145"/>
      <c r="I94" s="146"/>
    </row>
    <row r="95" spans="1:9" ht="15.75" customHeight="1">
      <c r="A95" s="33">
        <v>13</v>
      </c>
      <c r="B95" s="92" t="s">
        <v>122</v>
      </c>
      <c r="C95" s="17" t="s">
        <v>52</v>
      </c>
      <c r="D95" s="108"/>
      <c r="E95" s="13">
        <v>1832</v>
      </c>
      <c r="F95" s="13">
        <f>SUM(E95*12)</f>
        <v>21984</v>
      </c>
      <c r="G95" s="13">
        <v>2.95</v>
      </c>
      <c r="H95" s="103">
        <f>SUM(F95*G95/1000)</f>
        <v>64.852800000000002</v>
      </c>
      <c r="I95" s="13">
        <f>F95/12*G95</f>
        <v>5404.4000000000005</v>
      </c>
    </row>
    <row r="96" spans="1:9" ht="31.5" customHeight="1">
      <c r="A96" s="33">
        <v>14</v>
      </c>
      <c r="B96" s="15" t="s">
        <v>75</v>
      </c>
      <c r="C96" s="17" t="s">
        <v>160</v>
      </c>
      <c r="D96" s="108"/>
      <c r="E96" s="94">
        <v>1832</v>
      </c>
      <c r="F96" s="13">
        <f>E96*12</f>
        <v>21984</v>
      </c>
      <c r="G96" s="13">
        <v>3.05</v>
      </c>
      <c r="H96" s="103">
        <f>F96*G96/1000</f>
        <v>67.051199999999994</v>
      </c>
      <c r="I96" s="13">
        <f>F96/12*G96</f>
        <v>5587.5999999999995</v>
      </c>
    </row>
    <row r="97" spans="1:9" ht="15.75" customHeight="1">
      <c r="A97" s="57"/>
      <c r="B97" s="43" t="s">
        <v>78</v>
      </c>
      <c r="C97" s="45"/>
      <c r="D97" s="16"/>
      <c r="E97" s="16"/>
      <c r="F97" s="16"/>
      <c r="G97" s="19"/>
      <c r="H97" s="19"/>
      <c r="I97" s="36">
        <f>I96+I95+I70+I69+I68+I67+I66+I33+I31+I30+I27+I18+I17+I16</f>
        <v>68578.679017000002</v>
      </c>
    </row>
    <row r="98" spans="1:9" ht="15.75" customHeight="1">
      <c r="A98" s="147" t="s">
        <v>58</v>
      </c>
      <c r="B98" s="148"/>
      <c r="C98" s="148"/>
      <c r="D98" s="148"/>
      <c r="E98" s="148"/>
      <c r="F98" s="148"/>
      <c r="G98" s="148"/>
      <c r="H98" s="148"/>
      <c r="I98" s="149"/>
    </row>
    <row r="99" spans="1:9" ht="15.75" customHeight="1">
      <c r="A99" s="109">
        <v>15</v>
      </c>
      <c r="B99" s="112" t="s">
        <v>176</v>
      </c>
      <c r="C99" s="113" t="s">
        <v>177</v>
      </c>
      <c r="D99" s="112"/>
      <c r="E99" s="114"/>
      <c r="F99" s="115">
        <v>24</v>
      </c>
      <c r="G99" s="116">
        <v>1.4</v>
      </c>
      <c r="H99" s="117">
        <f>F99*G99/1000</f>
        <v>3.3599999999999991E-2</v>
      </c>
      <c r="I99" s="118">
        <f>G99*12</f>
        <v>16.799999999999997</v>
      </c>
    </row>
    <row r="100" spans="1:9" ht="29.25" customHeight="1">
      <c r="A100" s="109">
        <v>16</v>
      </c>
      <c r="B100" s="122" t="s">
        <v>178</v>
      </c>
      <c r="C100" s="123" t="s">
        <v>36</v>
      </c>
      <c r="D100" s="15"/>
      <c r="E100" s="19"/>
      <c r="F100" s="13"/>
      <c r="G100" s="13">
        <v>3914.31</v>
      </c>
      <c r="H100" s="116"/>
      <c r="I100" s="118">
        <f>G100*0.01</f>
        <v>39.143099999999997</v>
      </c>
    </row>
    <row r="101" spans="1:9" ht="15.75" customHeight="1">
      <c r="A101" s="33"/>
      <c r="B101" s="50" t="s">
        <v>49</v>
      </c>
      <c r="C101" s="46"/>
      <c r="D101" s="58"/>
      <c r="E101" s="46">
        <v>1</v>
      </c>
      <c r="F101" s="46"/>
      <c r="G101" s="46"/>
      <c r="H101" s="46"/>
      <c r="I101" s="36">
        <f>SUM(I99:I100)</f>
        <v>55.943099999999994</v>
      </c>
    </row>
    <row r="102" spans="1:9" ht="15.75" customHeight="1">
      <c r="A102" s="33"/>
      <c r="B102" s="56" t="s">
        <v>76</v>
      </c>
      <c r="C102" s="16"/>
      <c r="D102" s="16"/>
      <c r="E102" s="47"/>
      <c r="F102" s="47"/>
      <c r="G102" s="48"/>
      <c r="H102" s="48"/>
      <c r="I102" s="18">
        <v>0</v>
      </c>
    </row>
    <row r="103" spans="1:9" ht="15.75" customHeight="1">
      <c r="A103" s="59"/>
      <c r="B103" s="51" t="s">
        <v>161</v>
      </c>
      <c r="C103" s="38"/>
      <c r="D103" s="38"/>
      <c r="E103" s="38"/>
      <c r="F103" s="38"/>
      <c r="G103" s="38"/>
      <c r="H103" s="38"/>
      <c r="I103" s="49">
        <f>I97+I101</f>
        <v>68634.622117000006</v>
      </c>
    </row>
    <row r="104" spans="1:9" ht="15.75" customHeight="1">
      <c r="A104" s="136" t="s">
        <v>231</v>
      </c>
      <c r="B104" s="136"/>
      <c r="C104" s="136"/>
      <c r="D104" s="136"/>
      <c r="E104" s="136"/>
      <c r="F104" s="136"/>
      <c r="G104" s="136"/>
      <c r="H104" s="136"/>
      <c r="I104" s="136"/>
    </row>
    <row r="105" spans="1:9" ht="15.75" customHeight="1">
      <c r="A105" s="80"/>
      <c r="B105" s="150" t="s">
        <v>232</v>
      </c>
      <c r="C105" s="150"/>
      <c r="D105" s="150"/>
      <c r="E105" s="150"/>
      <c r="F105" s="150"/>
      <c r="G105" s="150"/>
      <c r="H105" s="90"/>
      <c r="I105" s="3"/>
    </row>
    <row r="106" spans="1:9" ht="15.75" customHeight="1">
      <c r="A106" s="74"/>
      <c r="B106" s="151" t="s">
        <v>6</v>
      </c>
      <c r="C106" s="151"/>
      <c r="D106" s="151"/>
      <c r="E106" s="151"/>
      <c r="F106" s="151"/>
      <c r="G106" s="151"/>
      <c r="H106" s="28"/>
      <c r="I106" s="5"/>
    </row>
    <row r="107" spans="1:9" ht="15.75" customHeight="1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.75" customHeight="1">
      <c r="A108" s="135" t="s">
        <v>7</v>
      </c>
      <c r="B108" s="135"/>
      <c r="C108" s="135"/>
      <c r="D108" s="135"/>
      <c r="E108" s="135"/>
      <c r="F108" s="135"/>
      <c r="G108" s="135"/>
      <c r="H108" s="135"/>
      <c r="I108" s="135"/>
    </row>
    <row r="109" spans="1:9" ht="15.75" customHeight="1">
      <c r="A109" s="135" t="s">
        <v>8</v>
      </c>
      <c r="B109" s="135"/>
      <c r="C109" s="135"/>
      <c r="D109" s="135"/>
      <c r="E109" s="135"/>
      <c r="F109" s="135"/>
      <c r="G109" s="135"/>
      <c r="H109" s="135"/>
      <c r="I109" s="135"/>
    </row>
    <row r="110" spans="1:9" ht="15.75" customHeight="1">
      <c r="A110" s="155" t="s">
        <v>59</v>
      </c>
      <c r="B110" s="155"/>
      <c r="C110" s="155"/>
      <c r="D110" s="155"/>
      <c r="E110" s="155"/>
      <c r="F110" s="155"/>
      <c r="G110" s="155"/>
      <c r="H110" s="155"/>
      <c r="I110" s="155"/>
    </row>
    <row r="111" spans="1:9" ht="15.75" customHeight="1">
      <c r="A111" s="10"/>
    </row>
    <row r="112" spans="1:9" ht="15.75" customHeight="1">
      <c r="A112" s="156" t="s">
        <v>9</v>
      </c>
      <c r="B112" s="156"/>
      <c r="C112" s="156"/>
      <c r="D112" s="156"/>
      <c r="E112" s="156"/>
      <c r="F112" s="156"/>
      <c r="G112" s="156"/>
      <c r="H112" s="156"/>
      <c r="I112" s="156"/>
    </row>
    <row r="113" spans="1:9" ht="15.75" customHeight="1">
      <c r="A113" s="4"/>
    </row>
    <row r="114" spans="1:9" ht="15.75" customHeight="1">
      <c r="B114" s="77" t="s">
        <v>10</v>
      </c>
      <c r="C114" s="157" t="s">
        <v>85</v>
      </c>
      <c r="D114" s="157"/>
      <c r="E114" s="157"/>
      <c r="F114" s="88"/>
      <c r="I114" s="76"/>
    </row>
    <row r="115" spans="1:9" ht="15.75" customHeight="1">
      <c r="A115" s="74"/>
      <c r="C115" s="151" t="s">
        <v>11</v>
      </c>
      <c r="D115" s="151"/>
      <c r="E115" s="151"/>
      <c r="F115" s="28"/>
      <c r="I115" s="75" t="s">
        <v>12</v>
      </c>
    </row>
    <row r="116" spans="1:9" ht="15.75" customHeight="1">
      <c r="A116" s="29"/>
      <c r="C116" s="11"/>
      <c r="D116" s="11"/>
      <c r="G116" s="11"/>
      <c r="H116" s="11"/>
    </row>
    <row r="117" spans="1:9" ht="15.75" customHeight="1">
      <c r="B117" s="77" t="s">
        <v>13</v>
      </c>
      <c r="C117" s="152"/>
      <c r="D117" s="152"/>
      <c r="E117" s="152"/>
      <c r="F117" s="89"/>
      <c r="I117" s="76"/>
    </row>
    <row r="118" spans="1:9" ht="15.75" customHeight="1">
      <c r="A118" s="74"/>
      <c r="C118" s="131" t="s">
        <v>11</v>
      </c>
      <c r="D118" s="131"/>
      <c r="E118" s="131"/>
      <c r="F118" s="74"/>
      <c r="I118" s="75" t="s">
        <v>12</v>
      </c>
    </row>
    <row r="119" spans="1:9" ht="15.75" customHeight="1">
      <c r="A119" s="4" t="s">
        <v>14</v>
      </c>
    </row>
    <row r="120" spans="1:9" ht="15.75" customHeight="1">
      <c r="A120" s="154" t="s">
        <v>15</v>
      </c>
      <c r="B120" s="154"/>
      <c r="C120" s="154"/>
      <c r="D120" s="154"/>
      <c r="E120" s="154"/>
      <c r="F120" s="154"/>
      <c r="G120" s="154"/>
      <c r="H120" s="154"/>
      <c r="I120" s="154"/>
    </row>
    <row r="121" spans="1:9" ht="45" customHeight="1">
      <c r="A121" s="153" t="s">
        <v>16</v>
      </c>
      <c r="B121" s="153"/>
      <c r="C121" s="153"/>
      <c r="D121" s="153"/>
      <c r="E121" s="153"/>
      <c r="F121" s="153"/>
      <c r="G121" s="153"/>
      <c r="H121" s="153"/>
      <c r="I121" s="153"/>
    </row>
    <row r="122" spans="1:9" ht="30" customHeight="1">
      <c r="A122" s="153" t="s">
        <v>17</v>
      </c>
      <c r="B122" s="153"/>
      <c r="C122" s="153"/>
      <c r="D122" s="153"/>
      <c r="E122" s="153"/>
      <c r="F122" s="153"/>
      <c r="G122" s="153"/>
      <c r="H122" s="153"/>
      <c r="I122" s="153"/>
    </row>
    <row r="123" spans="1:9" ht="30" customHeight="1">
      <c r="A123" s="153" t="s">
        <v>21</v>
      </c>
      <c r="B123" s="153"/>
      <c r="C123" s="153"/>
      <c r="D123" s="153"/>
      <c r="E123" s="153"/>
      <c r="F123" s="153"/>
      <c r="G123" s="153"/>
      <c r="H123" s="153"/>
      <c r="I123" s="153"/>
    </row>
    <row r="124" spans="1:9" ht="15" customHeight="1">
      <c r="A124" s="153" t="s">
        <v>20</v>
      </c>
      <c r="B124" s="153"/>
      <c r="C124" s="153"/>
      <c r="D124" s="153"/>
      <c r="E124" s="153"/>
      <c r="F124" s="153"/>
      <c r="G124" s="153"/>
      <c r="H124" s="153"/>
      <c r="I124" s="153"/>
    </row>
  </sheetData>
  <autoFilter ref="I12:I70"/>
  <mergeCells count="29">
    <mergeCell ref="A120:I120"/>
    <mergeCell ref="A121:I121"/>
    <mergeCell ref="A122:I122"/>
    <mergeCell ref="A123:I123"/>
    <mergeCell ref="A124:I124"/>
    <mergeCell ref="R74:U74"/>
    <mergeCell ref="C118:E118"/>
    <mergeCell ref="A98:I98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U126"/>
  <sheetViews>
    <sheetView workbookViewId="0">
      <selection activeCell="J7" sqref="J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179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37" t="s">
        <v>169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123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273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43677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180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148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57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3">
        <v>1</v>
      </c>
      <c r="B16" s="92" t="s">
        <v>84</v>
      </c>
      <c r="C16" s="93" t="s">
        <v>86</v>
      </c>
      <c r="D16" s="92" t="s">
        <v>233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124</v>
      </c>
      <c r="C17" s="93" t="s">
        <v>86</v>
      </c>
      <c r="D17" s="92" t="s">
        <v>234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87</v>
      </c>
      <c r="C18" s="93" t="s">
        <v>86</v>
      </c>
      <c r="D18" s="92" t="s">
        <v>235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88</v>
      </c>
      <c r="C19" s="93" t="s">
        <v>89</v>
      </c>
      <c r="D19" s="92" t="s">
        <v>90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95</v>
      </c>
      <c r="C20" s="93" t="s">
        <v>50</v>
      </c>
      <c r="D20" s="92" t="s">
        <v>125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6</v>
      </c>
      <c r="B21" s="92" t="s">
        <v>91</v>
      </c>
      <c r="C21" s="93" t="s">
        <v>86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7</v>
      </c>
      <c r="B22" s="92" t="s">
        <v>92</v>
      </c>
      <c r="C22" s="93" t="s">
        <v>86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93</v>
      </c>
      <c r="C23" s="93" t="s">
        <v>50</v>
      </c>
      <c r="D23" s="92" t="s">
        <v>90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94</v>
      </c>
      <c r="C24" s="93" t="s">
        <v>50</v>
      </c>
      <c r="D24" s="92" t="s">
        <v>90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96</v>
      </c>
      <c r="C25" s="93" t="s">
        <v>50</v>
      </c>
      <c r="D25" s="92" t="s">
        <v>90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126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220</v>
      </c>
      <c r="C27" s="44" t="s">
        <v>177</v>
      </c>
      <c r="D27" s="127" t="s">
        <v>237</v>
      </c>
      <c r="E27" s="128">
        <v>2.5099999999999998</v>
      </c>
      <c r="F27" s="129">
        <f>E27*258</f>
        <v>647.57999999999993</v>
      </c>
      <c r="G27" s="129">
        <v>10.39</v>
      </c>
      <c r="H27" s="96">
        <f t="shared" ref="H27" si="3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3" t="s">
        <v>82</v>
      </c>
      <c r="B28" s="143"/>
      <c r="C28" s="143"/>
      <c r="D28" s="143"/>
      <c r="E28" s="143"/>
      <c r="F28" s="143"/>
      <c r="G28" s="143"/>
      <c r="H28" s="143"/>
      <c r="I28" s="143"/>
      <c r="J28" s="26"/>
      <c r="K28" s="8"/>
      <c r="L28" s="8"/>
      <c r="M28" s="8"/>
    </row>
    <row r="29" spans="1:13" ht="15.75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customHeight="1">
      <c r="A30" s="45">
        <v>5</v>
      </c>
      <c r="B30" s="92" t="s">
        <v>154</v>
      </c>
      <c r="C30" s="93" t="s">
        <v>97</v>
      </c>
      <c r="D30" s="92" t="s">
        <v>234</v>
      </c>
      <c r="E30" s="95">
        <v>306.55</v>
      </c>
      <c r="F30" s="95">
        <f>SUM(E30*52/1000)</f>
        <v>15.9406</v>
      </c>
      <c r="G30" s="95">
        <v>193.97</v>
      </c>
      <c r="H30" s="96">
        <f t="shared" ref="H30:H35" si="4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customHeight="1">
      <c r="A31" s="45">
        <v>6</v>
      </c>
      <c r="B31" s="92" t="s">
        <v>99</v>
      </c>
      <c r="C31" s="93" t="s">
        <v>97</v>
      </c>
      <c r="D31" s="92" t="s">
        <v>233</v>
      </c>
      <c r="E31" s="95">
        <v>42.5</v>
      </c>
      <c r="F31" s="95">
        <f>SUM(E31*78/1000)</f>
        <v>3.3149999999999999</v>
      </c>
      <c r="G31" s="95">
        <v>321.82</v>
      </c>
      <c r="H31" s="96">
        <f t="shared" si="4"/>
        <v>1.0668333000000001</v>
      </c>
      <c r="I31" s="13">
        <f t="shared" ref="I31:I33" si="5">F31/6*G31</f>
        <v>177.80554999999998</v>
      </c>
      <c r="J31" s="26"/>
      <c r="K31" s="8"/>
      <c r="L31" s="8"/>
      <c r="M31" s="8"/>
    </row>
    <row r="32" spans="1:13" ht="15.75" hidden="1" customHeight="1">
      <c r="A32" s="45">
        <v>16</v>
      </c>
      <c r="B32" s="92" t="s">
        <v>153</v>
      </c>
      <c r="C32" s="93" t="s">
        <v>97</v>
      </c>
      <c r="D32" s="92" t="s">
        <v>51</v>
      </c>
      <c r="E32" s="95">
        <v>306.55</v>
      </c>
      <c r="F32" s="95">
        <f>SUM(E32/1000)</f>
        <v>0.30654999999999999</v>
      </c>
      <c r="G32" s="95">
        <v>3758.28</v>
      </c>
      <c r="H32" s="96">
        <f t="shared" si="4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customHeight="1">
      <c r="A33" s="45">
        <v>7</v>
      </c>
      <c r="B33" s="92" t="s">
        <v>127</v>
      </c>
      <c r="C33" s="93" t="s">
        <v>38</v>
      </c>
      <c r="D33" s="92" t="s">
        <v>243</v>
      </c>
      <c r="E33" s="95">
        <v>3</v>
      </c>
      <c r="F33" s="95">
        <f>E33*155/100</f>
        <v>4.6500000000000004</v>
      </c>
      <c r="G33" s="95">
        <v>1620.15</v>
      </c>
      <c r="H33" s="96">
        <f t="shared" si="4"/>
        <v>7.5336975000000015</v>
      </c>
      <c r="I33" s="13">
        <f t="shared" si="5"/>
        <v>1255.61625</v>
      </c>
      <c r="J33" s="26"/>
      <c r="K33" s="8"/>
      <c r="L33" s="8"/>
      <c r="M33" s="8"/>
    </row>
    <row r="34" spans="1:14" ht="15.75" hidden="1" customHeight="1">
      <c r="A34" s="45">
        <v>4</v>
      </c>
      <c r="B34" s="92" t="s">
        <v>62</v>
      </c>
      <c r="C34" s="93" t="s">
        <v>30</v>
      </c>
      <c r="D34" s="92" t="s">
        <v>64</v>
      </c>
      <c r="E34" s="94"/>
      <c r="F34" s="95">
        <v>2</v>
      </c>
      <c r="G34" s="95">
        <v>238.07</v>
      </c>
      <c r="H34" s="96">
        <f t="shared" si="4"/>
        <v>0.47614000000000001</v>
      </c>
      <c r="I34" s="13">
        <v>0</v>
      </c>
      <c r="J34" s="26"/>
      <c r="K34" s="8"/>
    </row>
    <row r="35" spans="1:14" ht="15.75" hidden="1" customHeight="1">
      <c r="A35" s="33">
        <v>8</v>
      </c>
      <c r="B35" s="92" t="s">
        <v>63</v>
      </c>
      <c r="C35" s="93" t="s">
        <v>29</v>
      </c>
      <c r="D35" s="92" t="s">
        <v>64</v>
      </c>
      <c r="E35" s="94"/>
      <c r="F35" s="95">
        <v>3</v>
      </c>
      <c r="G35" s="95">
        <v>1413.96</v>
      </c>
      <c r="H35" s="96">
        <f t="shared" si="4"/>
        <v>4.2418800000000001</v>
      </c>
      <c r="I35" s="13">
        <v>0</v>
      </c>
      <c r="J35" s="27"/>
    </row>
    <row r="36" spans="1:14" ht="15.75" hidden="1" customHeight="1">
      <c r="A36" s="45"/>
      <c r="B36" s="53" t="s">
        <v>5</v>
      </c>
      <c r="C36" s="53"/>
      <c r="D36" s="53"/>
      <c r="E36" s="13"/>
      <c r="F36" s="13"/>
      <c r="G36" s="14"/>
      <c r="H36" s="14"/>
      <c r="I36" s="19"/>
      <c r="J36" s="27"/>
    </row>
    <row r="37" spans="1:14" ht="15.75" hidden="1" customHeight="1">
      <c r="A37" s="37">
        <v>6</v>
      </c>
      <c r="B37" s="92" t="s">
        <v>25</v>
      </c>
      <c r="C37" s="93" t="s">
        <v>29</v>
      </c>
      <c r="D37" s="92"/>
      <c r="E37" s="94"/>
      <c r="F37" s="95">
        <v>2</v>
      </c>
      <c r="G37" s="95">
        <v>1900.37</v>
      </c>
      <c r="H37" s="96">
        <f t="shared" ref="H37:H42" si="6">SUM(F37*G37/1000)</f>
        <v>3.8007399999999998</v>
      </c>
      <c r="I37" s="13">
        <f t="shared" ref="I37:I42" si="7">F37/6*G37</f>
        <v>633.45666666666659</v>
      </c>
      <c r="J37" s="27"/>
    </row>
    <row r="38" spans="1:14" ht="15.75" hidden="1" customHeight="1">
      <c r="A38" s="37">
        <v>7</v>
      </c>
      <c r="B38" s="92" t="s">
        <v>65</v>
      </c>
      <c r="C38" s="93" t="s">
        <v>27</v>
      </c>
      <c r="D38" s="92" t="s">
        <v>102</v>
      </c>
      <c r="E38" s="95">
        <v>42.5</v>
      </c>
      <c r="F38" s="95">
        <f>SUM(E38*30/1000)</f>
        <v>1.2749999999999999</v>
      </c>
      <c r="G38" s="95">
        <v>2616.4899999999998</v>
      </c>
      <c r="H38" s="96">
        <f t="shared" si="6"/>
        <v>3.3360247499999995</v>
      </c>
      <c r="I38" s="13">
        <f t="shared" si="7"/>
        <v>556.00412499999993</v>
      </c>
      <c r="J38" s="27"/>
    </row>
    <row r="39" spans="1:14" ht="15.75" hidden="1" customHeight="1">
      <c r="A39" s="37">
        <v>8</v>
      </c>
      <c r="B39" s="92" t="s">
        <v>66</v>
      </c>
      <c r="C39" s="93" t="s">
        <v>27</v>
      </c>
      <c r="D39" s="92" t="s">
        <v>103</v>
      </c>
      <c r="E39" s="95">
        <v>42.5</v>
      </c>
      <c r="F39" s="95">
        <f>SUM(E39*155/1000)</f>
        <v>6.5875000000000004</v>
      </c>
      <c r="G39" s="95">
        <v>436.45</v>
      </c>
      <c r="H39" s="96">
        <f t="shared" si="6"/>
        <v>2.8751143749999999</v>
      </c>
      <c r="I39" s="13">
        <f t="shared" si="7"/>
        <v>479.18572916666665</v>
      </c>
      <c r="J39" s="27"/>
    </row>
    <row r="40" spans="1:14" ht="47.25" hidden="1" customHeight="1">
      <c r="A40" s="37">
        <v>9</v>
      </c>
      <c r="B40" s="92" t="s">
        <v>81</v>
      </c>
      <c r="C40" s="93" t="s">
        <v>97</v>
      </c>
      <c r="D40" s="92" t="s">
        <v>104</v>
      </c>
      <c r="E40" s="95">
        <v>42.5</v>
      </c>
      <c r="F40" s="95">
        <f>SUM(E40*35/1000)</f>
        <v>1.4875</v>
      </c>
      <c r="G40" s="95">
        <v>7221.21</v>
      </c>
      <c r="H40" s="96">
        <f t="shared" si="6"/>
        <v>10.741549875</v>
      </c>
      <c r="I40" s="13">
        <f t="shared" si="7"/>
        <v>1790.2583125000001</v>
      </c>
      <c r="J40" s="27"/>
    </row>
    <row r="41" spans="1:14" ht="15.75" hidden="1" customHeight="1">
      <c r="A41" s="37">
        <v>10</v>
      </c>
      <c r="B41" s="92" t="s">
        <v>105</v>
      </c>
      <c r="C41" s="93" t="s">
        <v>97</v>
      </c>
      <c r="D41" s="92" t="s">
        <v>106</v>
      </c>
      <c r="E41" s="95">
        <v>42.5</v>
      </c>
      <c r="F41" s="95">
        <f>SUM(E41*20/1000)</f>
        <v>0.85</v>
      </c>
      <c r="G41" s="95">
        <v>533.45000000000005</v>
      </c>
      <c r="H41" s="96">
        <f t="shared" si="6"/>
        <v>0.45343250000000002</v>
      </c>
      <c r="I41" s="13">
        <f t="shared" si="7"/>
        <v>75.572083333333339</v>
      </c>
      <c r="J41" s="27"/>
      <c r="L41" s="21"/>
      <c r="M41" s="22"/>
      <c r="N41" s="23"/>
    </row>
    <row r="42" spans="1:14" ht="15.75" hidden="1" customHeight="1">
      <c r="A42" s="37">
        <v>11</v>
      </c>
      <c r="B42" s="92" t="s">
        <v>67</v>
      </c>
      <c r="C42" s="93" t="s">
        <v>30</v>
      </c>
      <c r="D42" s="92"/>
      <c r="E42" s="94"/>
      <c r="F42" s="95">
        <v>0.5</v>
      </c>
      <c r="G42" s="95">
        <v>992.97</v>
      </c>
      <c r="H42" s="96">
        <f t="shared" si="6"/>
        <v>0.49648500000000001</v>
      </c>
      <c r="I42" s="13">
        <f t="shared" si="7"/>
        <v>82.747500000000002</v>
      </c>
      <c r="J42" s="27"/>
      <c r="L42" s="21"/>
      <c r="M42" s="22"/>
      <c r="N42" s="23"/>
    </row>
    <row r="43" spans="1:14" ht="15.75" hidden="1" customHeight="1">
      <c r="A43" s="132" t="s">
        <v>150</v>
      </c>
      <c r="B43" s="133"/>
      <c r="C43" s="133"/>
      <c r="D43" s="133"/>
      <c r="E43" s="133"/>
      <c r="F43" s="133"/>
      <c r="G43" s="133"/>
      <c r="H43" s="133"/>
      <c r="I43" s="134"/>
      <c r="J43" s="27"/>
      <c r="L43" s="21"/>
      <c r="M43" s="22"/>
      <c r="N43" s="23"/>
    </row>
    <row r="44" spans="1:14" ht="15.75" hidden="1" customHeight="1">
      <c r="A44" s="45">
        <v>19</v>
      </c>
      <c r="B44" s="92" t="s">
        <v>107</v>
      </c>
      <c r="C44" s="93" t="s">
        <v>97</v>
      </c>
      <c r="D44" s="92" t="s">
        <v>40</v>
      </c>
      <c r="E44" s="94">
        <v>1060.4000000000001</v>
      </c>
      <c r="F44" s="95">
        <f>SUM(E44*2/1000)</f>
        <v>2.1208</v>
      </c>
      <c r="G44" s="13">
        <v>1283.46</v>
      </c>
      <c r="H44" s="96">
        <f t="shared" ref="H44:H54" si="8">SUM(F44*G44/1000)</f>
        <v>2.721961968</v>
      </c>
      <c r="I44" s="13">
        <f t="shared" ref="I44:I47" si="9">F44/2*G44</f>
        <v>1360.980984</v>
      </c>
      <c r="J44" s="27"/>
      <c r="L44" s="21"/>
      <c r="M44" s="22"/>
      <c r="N44" s="23"/>
    </row>
    <row r="45" spans="1:14" ht="15.75" hidden="1" customHeight="1">
      <c r="A45" s="45">
        <v>20</v>
      </c>
      <c r="B45" s="92" t="s">
        <v>33</v>
      </c>
      <c r="C45" s="93" t="s">
        <v>97</v>
      </c>
      <c r="D45" s="92" t="s">
        <v>40</v>
      </c>
      <c r="E45" s="94">
        <v>19.8</v>
      </c>
      <c r="F45" s="95">
        <f>SUM(E45*2/1000)</f>
        <v>3.9600000000000003E-2</v>
      </c>
      <c r="G45" s="13">
        <v>721.04</v>
      </c>
      <c r="H45" s="96">
        <f t="shared" si="8"/>
        <v>2.8553184000000002E-2</v>
      </c>
      <c r="I45" s="13">
        <f t="shared" si="9"/>
        <v>14.276592000000001</v>
      </c>
      <c r="J45" s="27"/>
      <c r="L45" s="21"/>
      <c r="M45" s="22"/>
      <c r="N45" s="23"/>
    </row>
    <row r="46" spans="1:14" ht="15.75" hidden="1" customHeight="1">
      <c r="A46" s="45">
        <v>21</v>
      </c>
      <c r="B46" s="92" t="s">
        <v>34</v>
      </c>
      <c r="C46" s="93" t="s">
        <v>97</v>
      </c>
      <c r="D46" s="92" t="s">
        <v>40</v>
      </c>
      <c r="E46" s="94">
        <v>660.84</v>
      </c>
      <c r="F46" s="95">
        <f>SUM(E46*2/1000)</f>
        <v>1.32168</v>
      </c>
      <c r="G46" s="13">
        <v>1711.28</v>
      </c>
      <c r="H46" s="96">
        <f t="shared" si="8"/>
        <v>2.2617645503999997</v>
      </c>
      <c r="I46" s="13">
        <f t="shared" si="9"/>
        <v>1130.8822751999999</v>
      </c>
      <c r="J46" s="27"/>
      <c r="L46" s="21"/>
      <c r="M46" s="22"/>
      <c r="N46" s="23"/>
    </row>
    <row r="47" spans="1:14" ht="15.75" hidden="1" customHeight="1">
      <c r="A47" s="45">
        <v>22</v>
      </c>
      <c r="B47" s="92" t="s">
        <v>35</v>
      </c>
      <c r="C47" s="93" t="s">
        <v>97</v>
      </c>
      <c r="D47" s="92" t="s">
        <v>40</v>
      </c>
      <c r="E47" s="94">
        <v>1156.21</v>
      </c>
      <c r="F47" s="95">
        <f>SUM(E47*2/1000)</f>
        <v>2.3124199999999999</v>
      </c>
      <c r="G47" s="13">
        <v>1179.73</v>
      </c>
      <c r="H47" s="96">
        <f t="shared" si="8"/>
        <v>2.7280312466000001</v>
      </c>
      <c r="I47" s="13">
        <f t="shared" si="9"/>
        <v>1364.0156233</v>
      </c>
      <c r="J47" s="27"/>
      <c r="L47" s="21"/>
      <c r="M47" s="22"/>
      <c r="N47" s="23"/>
    </row>
    <row r="48" spans="1:14" ht="15.75" hidden="1" customHeight="1">
      <c r="A48" s="45">
        <v>23</v>
      </c>
      <c r="B48" s="92" t="s">
        <v>31</v>
      </c>
      <c r="C48" s="93" t="s">
        <v>32</v>
      </c>
      <c r="D48" s="92" t="s">
        <v>40</v>
      </c>
      <c r="E48" s="94">
        <v>15.38</v>
      </c>
      <c r="F48" s="95">
        <f>SUM(E48*2/100)</f>
        <v>0.30760000000000004</v>
      </c>
      <c r="G48" s="13">
        <v>90.61</v>
      </c>
      <c r="H48" s="96">
        <f t="shared" si="8"/>
        <v>2.7871636000000002E-2</v>
      </c>
      <c r="I48" s="13">
        <f>F48/2*G48</f>
        <v>13.935818000000001</v>
      </c>
      <c r="J48" s="27"/>
      <c r="L48" s="21"/>
      <c r="M48" s="22"/>
      <c r="N48" s="23"/>
    </row>
    <row r="49" spans="1:14" ht="15.75" hidden="1" customHeight="1">
      <c r="A49" s="45">
        <v>24</v>
      </c>
      <c r="B49" s="92" t="s">
        <v>54</v>
      </c>
      <c r="C49" s="93" t="s">
        <v>97</v>
      </c>
      <c r="D49" s="92" t="s">
        <v>155</v>
      </c>
      <c r="E49" s="94">
        <v>823</v>
      </c>
      <c r="F49" s="95">
        <f>SUM(E49*5/1000)</f>
        <v>4.1150000000000002</v>
      </c>
      <c r="G49" s="13">
        <v>1711.28</v>
      </c>
      <c r="H49" s="96">
        <f t="shared" si="8"/>
        <v>7.0419171999999994</v>
      </c>
      <c r="I49" s="13">
        <f>F49/5*G49</f>
        <v>1408.3834400000001</v>
      </c>
      <c r="J49" s="27"/>
      <c r="L49" s="21"/>
      <c r="M49" s="22"/>
      <c r="N49" s="23"/>
    </row>
    <row r="50" spans="1:14" ht="31.5" hidden="1" customHeight="1">
      <c r="A50" s="45">
        <v>25</v>
      </c>
      <c r="B50" s="92" t="s">
        <v>108</v>
      </c>
      <c r="C50" s="93" t="s">
        <v>97</v>
      </c>
      <c r="D50" s="92" t="s">
        <v>40</v>
      </c>
      <c r="E50" s="94">
        <v>823</v>
      </c>
      <c r="F50" s="95">
        <f>SUM(E50*2/1000)</f>
        <v>1.6459999999999999</v>
      </c>
      <c r="G50" s="13">
        <v>1510.06</v>
      </c>
      <c r="H50" s="96">
        <f t="shared" si="8"/>
        <v>2.48555876</v>
      </c>
      <c r="I50" s="13">
        <f>F50/2*G50</f>
        <v>1242.7793799999999</v>
      </c>
      <c r="J50" s="27"/>
      <c r="L50" s="21"/>
      <c r="M50" s="22"/>
      <c r="N50" s="23"/>
    </row>
    <row r="51" spans="1:14" ht="31.5" hidden="1" customHeight="1">
      <c r="A51" s="45">
        <v>26</v>
      </c>
      <c r="B51" s="92" t="s">
        <v>109</v>
      </c>
      <c r="C51" s="93" t="s">
        <v>36</v>
      </c>
      <c r="D51" s="92" t="s">
        <v>40</v>
      </c>
      <c r="E51" s="94">
        <v>9</v>
      </c>
      <c r="F51" s="95">
        <f>SUM(E51*2/100)</f>
        <v>0.18</v>
      </c>
      <c r="G51" s="13">
        <v>3850.4</v>
      </c>
      <c r="H51" s="96">
        <f t="shared" si="8"/>
        <v>0.69307200000000002</v>
      </c>
      <c r="I51" s="13">
        <f t="shared" ref="I51:I52" si="10">F51/2*G51</f>
        <v>346.536</v>
      </c>
      <c r="J51" s="27"/>
      <c r="L51" s="21"/>
      <c r="M51" s="22"/>
      <c r="N51" s="23"/>
    </row>
    <row r="52" spans="1:14" ht="15.75" hidden="1" customHeight="1">
      <c r="A52" s="45">
        <v>27</v>
      </c>
      <c r="B52" s="92" t="s">
        <v>37</v>
      </c>
      <c r="C52" s="93" t="s">
        <v>38</v>
      </c>
      <c r="D52" s="92" t="s">
        <v>40</v>
      </c>
      <c r="E52" s="94">
        <v>1</v>
      </c>
      <c r="F52" s="95">
        <v>0.02</v>
      </c>
      <c r="G52" s="13">
        <v>7033.13</v>
      </c>
      <c r="H52" s="96">
        <f t="shared" si="8"/>
        <v>0.1406626</v>
      </c>
      <c r="I52" s="13">
        <f t="shared" si="10"/>
        <v>70.331299999999999</v>
      </c>
      <c r="J52" s="27"/>
      <c r="L52" s="21"/>
      <c r="M52" s="22"/>
      <c r="N52" s="23"/>
    </row>
    <row r="53" spans="1:14" ht="15.75" hidden="1" customHeight="1">
      <c r="A53" s="45">
        <v>10</v>
      </c>
      <c r="B53" s="92" t="s">
        <v>128</v>
      </c>
      <c r="C53" s="93" t="s">
        <v>110</v>
      </c>
      <c r="D53" s="92" t="s">
        <v>68</v>
      </c>
      <c r="E53" s="94">
        <v>36</v>
      </c>
      <c r="F53" s="95">
        <f>SUM(E53*3)</f>
        <v>108</v>
      </c>
      <c r="G53" s="13">
        <v>175.6</v>
      </c>
      <c r="H53" s="96">
        <f t="shared" si="8"/>
        <v>18.9648</v>
      </c>
      <c r="I53" s="13">
        <f>E53*G53</f>
        <v>6321.5999999999995</v>
      </c>
      <c r="J53" s="27"/>
      <c r="L53" s="21"/>
      <c r="M53" s="22"/>
      <c r="N53" s="23"/>
    </row>
    <row r="54" spans="1:14" ht="15.75" hidden="1" customHeight="1">
      <c r="A54" s="45">
        <v>11</v>
      </c>
      <c r="B54" s="92" t="s">
        <v>39</v>
      </c>
      <c r="C54" s="93" t="s">
        <v>110</v>
      </c>
      <c r="D54" s="92" t="s">
        <v>68</v>
      </c>
      <c r="E54" s="94">
        <v>36</v>
      </c>
      <c r="F54" s="95">
        <f>SUM(E54)*3</f>
        <v>108</v>
      </c>
      <c r="G54" s="13">
        <v>81.73</v>
      </c>
      <c r="H54" s="96">
        <f t="shared" si="8"/>
        <v>8.8268400000000007</v>
      </c>
      <c r="I54" s="13">
        <f>E54*G54</f>
        <v>2942.28</v>
      </c>
      <c r="J54" s="27"/>
      <c r="L54" s="21"/>
      <c r="M54" s="22"/>
      <c r="N54" s="23"/>
    </row>
    <row r="55" spans="1:14" ht="15.75" customHeight="1">
      <c r="A55" s="132" t="s">
        <v>151</v>
      </c>
      <c r="B55" s="133"/>
      <c r="C55" s="133"/>
      <c r="D55" s="133"/>
      <c r="E55" s="133"/>
      <c r="F55" s="133"/>
      <c r="G55" s="133"/>
      <c r="H55" s="133"/>
      <c r="I55" s="134"/>
      <c r="J55" s="27"/>
      <c r="L55" s="21"/>
      <c r="M55" s="22"/>
      <c r="N55" s="23"/>
    </row>
    <row r="56" spans="1:14" ht="15.75" hidden="1" customHeight="1">
      <c r="A56" s="57"/>
      <c r="B56" s="52" t="s">
        <v>41</v>
      </c>
      <c r="C56" s="17"/>
      <c r="D56" s="16"/>
      <c r="E56" s="16"/>
      <c r="F56" s="16"/>
      <c r="G56" s="33"/>
      <c r="H56" s="33"/>
      <c r="I56" s="19"/>
      <c r="J56" s="27"/>
      <c r="L56" s="21"/>
      <c r="M56" s="22"/>
      <c r="N56" s="23"/>
    </row>
    <row r="57" spans="1:14" ht="31.5" hidden="1" customHeight="1">
      <c r="A57" s="45">
        <v>12</v>
      </c>
      <c r="B57" s="92" t="s">
        <v>156</v>
      </c>
      <c r="C57" s="93" t="s">
        <v>86</v>
      </c>
      <c r="D57" s="92" t="s">
        <v>111</v>
      </c>
      <c r="E57" s="94">
        <v>71.02</v>
      </c>
      <c r="F57" s="95">
        <f>SUM(E57*6/100)</f>
        <v>4.2611999999999997</v>
      </c>
      <c r="G57" s="13">
        <v>2306.62</v>
      </c>
      <c r="H57" s="96">
        <f>SUM(F57*G57/1000)</f>
        <v>9.8289691439999984</v>
      </c>
      <c r="I57" s="13">
        <f>F57/6*G57</f>
        <v>1638.1615239999999</v>
      </c>
      <c r="J57" s="27"/>
      <c r="L57" s="21"/>
      <c r="M57" s="22"/>
      <c r="N57" s="23"/>
    </row>
    <row r="58" spans="1:14" ht="15.75" hidden="1" customHeight="1">
      <c r="A58" s="45"/>
      <c r="B58" s="92" t="s">
        <v>112</v>
      </c>
      <c r="C58" s="93" t="s">
        <v>157</v>
      </c>
      <c r="D58" s="92" t="s">
        <v>64</v>
      </c>
      <c r="E58" s="100"/>
      <c r="F58" s="95">
        <v>2</v>
      </c>
      <c r="G58" s="95">
        <v>1501</v>
      </c>
      <c r="H58" s="96">
        <f>SUM(F58*G58/1000)</f>
        <v>3.0019999999999998</v>
      </c>
      <c r="I58" s="13">
        <v>0</v>
      </c>
      <c r="J58" s="27"/>
      <c r="L58" s="21"/>
      <c r="M58" s="22"/>
      <c r="N58" s="23"/>
    </row>
    <row r="59" spans="1:14" ht="15.75" hidden="1" customHeight="1">
      <c r="A59" s="45"/>
      <c r="B59" s="79" t="s">
        <v>42</v>
      </c>
      <c r="C59" s="79"/>
      <c r="D59" s="79"/>
      <c r="E59" s="79"/>
      <c r="F59" s="79"/>
      <c r="G59" s="79"/>
      <c r="H59" s="79"/>
      <c r="I59" s="39"/>
      <c r="J59" s="27"/>
      <c r="L59" s="21"/>
      <c r="M59" s="22"/>
      <c r="N59" s="23"/>
    </row>
    <row r="60" spans="1:14" ht="15.75" hidden="1" customHeight="1">
      <c r="A60" s="45">
        <v>27</v>
      </c>
      <c r="B60" s="92" t="s">
        <v>158</v>
      </c>
      <c r="C60" s="93" t="s">
        <v>50</v>
      </c>
      <c r="D60" s="92" t="s">
        <v>51</v>
      </c>
      <c r="E60" s="94">
        <v>434.4</v>
      </c>
      <c r="F60" s="96">
        <f>SUM(E60/100)</f>
        <v>4.3439999999999994</v>
      </c>
      <c r="G60" s="13">
        <v>987.51</v>
      </c>
      <c r="H60" s="101">
        <f>F60*G60/1000</f>
        <v>4.2897434399999996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1" t="s">
        <v>129</v>
      </c>
      <c r="C61" s="44"/>
      <c r="D61" s="70"/>
      <c r="E61" s="67"/>
      <c r="F61" s="67"/>
      <c r="G61" s="40"/>
      <c r="H61" s="40"/>
      <c r="I61" s="20"/>
      <c r="J61" s="27"/>
      <c r="L61" s="21"/>
      <c r="M61" s="22"/>
      <c r="N61" s="23"/>
    </row>
    <row r="62" spans="1:14" ht="15.75" hidden="1" customHeight="1">
      <c r="A62" s="45"/>
      <c r="B62" s="92" t="s">
        <v>130</v>
      </c>
      <c r="C62" s="93" t="s">
        <v>110</v>
      </c>
      <c r="D62" s="41" t="s">
        <v>64</v>
      </c>
      <c r="E62" s="94">
        <v>1</v>
      </c>
      <c r="F62" s="95">
        <f>E62</f>
        <v>1</v>
      </c>
      <c r="G62" s="102">
        <v>323.38</v>
      </c>
      <c r="H62" s="96">
        <f t="shared" ref="H62" si="11">SUM(F62*G62/1000)</f>
        <v>0.32338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9" t="s">
        <v>43</v>
      </c>
      <c r="C63" s="17"/>
      <c r="D63" s="41"/>
      <c r="E63" s="16"/>
      <c r="F63" s="16"/>
      <c r="G63" s="33"/>
      <c r="H63" s="33"/>
      <c r="I63" s="19"/>
      <c r="J63" s="27"/>
      <c r="L63" s="21"/>
      <c r="M63" s="22"/>
      <c r="N63" s="23"/>
    </row>
    <row r="64" spans="1:14" ht="15.75" hidden="1" customHeight="1">
      <c r="A64" s="45">
        <v>17</v>
      </c>
      <c r="B64" s="15" t="s">
        <v>44</v>
      </c>
      <c r="C64" s="17" t="s">
        <v>110</v>
      </c>
      <c r="D64" s="41" t="s">
        <v>64</v>
      </c>
      <c r="E64" s="19">
        <v>10</v>
      </c>
      <c r="F64" s="95">
        <v>10</v>
      </c>
      <c r="G64" s="13">
        <v>276.74</v>
      </c>
      <c r="H64" s="103">
        <f t="shared" ref="H64:H71" si="12">SUM(F64*G64/1000)</f>
        <v>2.7674000000000003</v>
      </c>
      <c r="I64" s="13">
        <v>0</v>
      </c>
      <c r="J64" s="27"/>
      <c r="L64" s="21"/>
      <c r="M64" s="22"/>
      <c r="N64" s="23"/>
    </row>
    <row r="65" spans="1:21" ht="15.75" hidden="1" customHeight="1">
      <c r="A65" s="33">
        <v>29</v>
      </c>
      <c r="B65" s="15" t="s">
        <v>45</v>
      </c>
      <c r="C65" s="17" t="s">
        <v>110</v>
      </c>
      <c r="D65" s="41" t="s">
        <v>64</v>
      </c>
      <c r="E65" s="19">
        <v>3</v>
      </c>
      <c r="F65" s="95">
        <v>3</v>
      </c>
      <c r="G65" s="13">
        <v>94.89</v>
      </c>
      <c r="H65" s="103">
        <f t="shared" si="12"/>
        <v>0.28467000000000003</v>
      </c>
      <c r="I65" s="13">
        <v>0</v>
      </c>
      <c r="J65" s="27"/>
      <c r="L65" s="21"/>
      <c r="M65" s="22"/>
      <c r="N65" s="23"/>
    </row>
    <row r="66" spans="1:21" ht="15.75" hidden="1" customHeight="1">
      <c r="A66" s="33">
        <v>28</v>
      </c>
      <c r="B66" s="15" t="s">
        <v>46</v>
      </c>
      <c r="C66" s="17" t="s">
        <v>113</v>
      </c>
      <c r="D66" s="15" t="s">
        <v>51</v>
      </c>
      <c r="E66" s="94">
        <v>7265</v>
      </c>
      <c r="F66" s="13">
        <f>SUM(E66/100)</f>
        <v>72.650000000000006</v>
      </c>
      <c r="G66" s="13">
        <v>263.99</v>
      </c>
      <c r="H66" s="103">
        <f t="shared" si="12"/>
        <v>19.178873500000002</v>
      </c>
      <c r="I66" s="13">
        <f>F66*G66</f>
        <v>19178.873500000002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47</v>
      </c>
      <c r="C67" s="17" t="s">
        <v>114</v>
      </c>
      <c r="D67" s="15" t="s">
        <v>51</v>
      </c>
      <c r="E67" s="94">
        <v>7265</v>
      </c>
      <c r="F67" s="13">
        <f>SUM(E67/1000)</f>
        <v>7.2649999999999997</v>
      </c>
      <c r="G67" s="13">
        <v>205.57</v>
      </c>
      <c r="H67" s="103">
        <f t="shared" si="12"/>
        <v>1.4934660500000001</v>
      </c>
      <c r="I67" s="13">
        <f t="shared" ref="I67:I70" si="13">F67*G67</f>
        <v>1493.46605</v>
      </c>
      <c r="J67" s="27"/>
      <c r="L67" s="21"/>
      <c r="M67" s="22"/>
      <c r="N67" s="23"/>
    </row>
    <row r="68" spans="1:21" ht="15.75" hidden="1" customHeight="1">
      <c r="A68" s="33">
        <v>30</v>
      </c>
      <c r="B68" s="15" t="s">
        <v>48</v>
      </c>
      <c r="C68" s="17" t="s">
        <v>74</v>
      </c>
      <c r="D68" s="15" t="s">
        <v>51</v>
      </c>
      <c r="E68" s="94">
        <v>1090</v>
      </c>
      <c r="F68" s="13">
        <f>SUM(E68/100)</f>
        <v>10.9</v>
      </c>
      <c r="G68" s="13">
        <v>2581.5300000000002</v>
      </c>
      <c r="H68" s="103">
        <f t="shared" si="12"/>
        <v>28.138677000000005</v>
      </c>
      <c r="I68" s="13">
        <f t="shared" si="13"/>
        <v>28138.677000000003</v>
      </c>
      <c r="J68" s="27"/>
      <c r="L68" s="21"/>
    </row>
    <row r="69" spans="1:21" ht="15.75" hidden="1" customHeight="1">
      <c r="A69" s="33">
        <v>31</v>
      </c>
      <c r="B69" s="104" t="s">
        <v>115</v>
      </c>
      <c r="C69" s="17" t="s">
        <v>30</v>
      </c>
      <c r="D69" s="15"/>
      <c r="E69" s="94">
        <v>7.4</v>
      </c>
      <c r="F69" s="13">
        <f>SUM(E69)</f>
        <v>7.4</v>
      </c>
      <c r="G69" s="13">
        <v>47.45</v>
      </c>
      <c r="H69" s="103">
        <f t="shared" si="12"/>
        <v>0.35113000000000005</v>
      </c>
      <c r="I69" s="13">
        <f t="shared" si="13"/>
        <v>351.13000000000005</v>
      </c>
    </row>
    <row r="70" spans="1:21" ht="15.75" hidden="1" customHeight="1">
      <c r="A70" s="33">
        <v>32</v>
      </c>
      <c r="B70" s="104" t="s">
        <v>159</v>
      </c>
      <c r="C70" s="17" t="s">
        <v>30</v>
      </c>
      <c r="D70" s="15"/>
      <c r="E70" s="94">
        <v>7.4</v>
      </c>
      <c r="F70" s="13">
        <f>SUM(E70)</f>
        <v>7.4</v>
      </c>
      <c r="G70" s="13">
        <v>44.27</v>
      </c>
      <c r="H70" s="103">
        <f t="shared" si="12"/>
        <v>0.327598</v>
      </c>
      <c r="I70" s="13">
        <f t="shared" si="13"/>
        <v>327.59800000000001</v>
      </c>
    </row>
    <row r="71" spans="1:21" ht="15.75" hidden="1" customHeight="1">
      <c r="A71" s="33">
        <v>13</v>
      </c>
      <c r="B71" s="15" t="s">
        <v>55</v>
      </c>
      <c r="C71" s="17" t="s">
        <v>56</v>
      </c>
      <c r="D71" s="15" t="s">
        <v>51</v>
      </c>
      <c r="E71" s="19">
        <v>3</v>
      </c>
      <c r="F71" s="95">
        <f>SUM(E71)</f>
        <v>3</v>
      </c>
      <c r="G71" s="13">
        <v>62.07</v>
      </c>
      <c r="H71" s="103">
        <f t="shared" si="12"/>
        <v>0.18621000000000001</v>
      </c>
      <c r="I71" s="13">
        <v>0</v>
      </c>
    </row>
    <row r="72" spans="1:21" ht="15.75" hidden="1" customHeight="1">
      <c r="A72" s="57"/>
      <c r="B72" s="79" t="s">
        <v>116</v>
      </c>
      <c r="C72" s="79"/>
      <c r="D72" s="79"/>
      <c r="E72" s="79"/>
      <c r="F72" s="79"/>
      <c r="G72" s="79"/>
      <c r="H72" s="79"/>
      <c r="I72" s="19"/>
      <c r="J72" s="29"/>
      <c r="K72" s="29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5.75" hidden="1" customHeight="1">
      <c r="A73" s="33">
        <v>14</v>
      </c>
      <c r="B73" s="105" t="s">
        <v>117</v>
      </c>
      <c r="C73" s="25"/>
      <c r="D73" s="24"/>
      <c r="E73" s="87"/>
      <c r="F73" s="106">
        <v>1</v>
      </c>
      <c r="G73" s="106">
        <v>12171.2</v>
      </c>
      <c r="H73" s="13">
        <f>G73*F73/1000</f>
        <v>12.171200000000001</v>
      </c>
      <c r="I73" s="13">
        <f>G73</f>
        <v>12171.2</v>
      </c>
      <c r="J73" s="3"/>
      <c r="K73" s="3"/>
      <c r="L73" s="3"/>
      <c r="M73" s="3"/>
      <c r="N73" s="3"/>
      <c r="O73" s="3"/>
      <c r="P73" s="3"/>
      <c r="Q73" s="3"/>
      <c r="S73" s="3"/>
      <c r="T73" s="3"/>
      <c r="U73" s="3"/>
    </row>
    <row r="74" spans="1:21" ht="15.75" hidden="1" customHeight="1">
      <c r="A74" s="33"/>
      <c r="B74" s="53" t="s">
        <v>69</v>
      </c>
      <c r="C74" s="53"/>
      <c r="D74" s="53"/>
      <c r="E74" s="19"/>
      <c r="F74" s="19"/>
      <c r="G74" s="33"/>
      <c r="H74" s="33"/>
      <c r="I74" s="19"/>
      <c r="J74" s="5"/>
      <c r="K74" s="5"/>
      <c r="L74" s="5"/>
      <c r="M74" s="5"/>
      <c r="N74" s="5"/>
      <c r="O74" s="5"/>
      <c r="P74" s="5"/>
      <c r="Q74" s="5"/>
      <c r="R74" s="131"/>
      <c r="S74" s="131"/>
      <c r="T74" s="131"/>
      <c r="U74" s="131"/>
    </row>
    <row r="75" spans="1:21" ht="15.75" hidden="1" customHeight="1">
      <c r="A75" s="33"/>
      <c r="B75" s="15" t="s">
        <v>131</v>
      </c>
      <c r="C75" s="17" t="s">
        <v>118</v>
      </c>
      <c r="D75" s="41" t="s">
        <v>64</v>
      </c>
      <c r="E75" s="19">
        <v>1</v>
      </c>
      <c r="F75" s="13">
        <f>E75</f>
        <v>1</v>
      </c>
      <c r="G75" s="13">
        <v>976.4</v>
      </c>
      <c r="H75" s="103">
        <f>F75*G75/1000</f>
        <v>0.97639999999999993</v>
      </c>
      <c r="I75" s="13">
        <v>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5.75" hidden="1" customHeight="1">
      <c r="A76" s="33"/>
      <c r="B76" s="15" t="s">
        <v>119</v>
      </c>
      <c r="C76" s="17" t="s">
        <v>120</v>
      </c>
      <c r="D76" s="15"/>
      <c r="E76" s="19">
        <v>1</v>
      </c>
      <c r="F76" s="13">
        <v>1</v>
      </c>
      <c r="G76" s="13">
        <v>750</v>
      </c>
      <c r="H76" s="103">
        <f>F76*G76/1000</f>
        <v>0.75</v>
      </c>
      <c r="I76" s="13">
        <v>0</v>
      </c>
    </row>
    <row r="77" spans="1:21" ht="15.75" hidden="1" customHeight="1">
      <c r="A77" s="33"/>
      <c r="B77" s="15" t="s">
        <v>70</v>
      </c>
      <c r="C77" s="17" t="s">
        <v>72</v>
      </c>
      <c r="D77" s="41" t="s">
        <v>64</v>
      </c>
      <c r="E77" s="19">
        <v>3</v>
      </c>
      <c r="F77" s="13">
        <f>SUM(E77/100)</f>
        <v>0.03</v>
      </c>
      <c r="G77" s="13">
        <v>624.16999999999996</v>
      </c>
      <c r="H77" s="103">
        <f>F77*G77/1000</f>
        <v>1.8725099999999998E-2</v>
      </c>
      <c r="I77" s="13">
        <v>0</v>
      </c>
    </row>
    <row r="78" spans="1:21" ht="15.75" hidden="1" customHeight="1">
      <c r="A78" s="33"/>
      <c r="B78" s="15" t="s">
        <v>71</v>
      </c>
      <c r="C78" s="17" t="s">
        <v>28</v>
      </c>
      <c r="D78" s="41" t="s">
        <v>64</v>
      </c>
      <c r="E78" s="19">
        <v>1</v>
      </c>
      <c r="F78" s="13">
        <v>1</v>
      </c>
      <c r="G78" s="13">
        <v>1061.4100000000001</v>
      </c>
      <c r="H78" s="103">
        <f>F78*G78/1000</f>
        <v>1.0614100000000002</v>
      </c>
      <c r="I78" s="13">
        <v>0</v>
      </c>
    </row>
    <row r="79" spans="1:21" ht="15.75" hidden="1" customHeight="1">
      <c r="A79" s="33">
        <v>17</v>
      </c>
      <c r="B79" s="15" t="s">
        <v>132</v>
      </c>
      <c r="C79" s="17" t="s">
        <v>28</v>
      </c>
      <c r="D79" s="41" t="s">
        <v>64</v>
      </c>
      <c r="E79" s="19">
        <v>1</v>
      </c>
      <c r="F79" s="95">
        <f>SUM(E79)</f>
        <v>1</v>
      </c>
      <c r="G79" s="13">
        <v>446.12</v>
      </c>
      <c r="H79" s="103">
        <f t="shared" ref="H79" si="14">SUM(F79*G79/1000)</f>
        <v>0.44612000000000002</v>
      </c>
      <c r="I79" s="13">
        <v>0</v>
      </c>
    </row>
    <row r="80" spans="1:21" ht="15.75" hidden="1" customHeight="1">
      <c r="A80" s="33"/>
      <c r="B80" s="54" t="s">
        <v>73</v>
      </c>
      <c r="C80" s="42"/>
      <c r="D80" s="33"/>
      <c r="E80" s="19"/>
      <c r="F80" s="19"/>
      <c r="G80" s="40"/>
      <c r="H80" s="40"/>
      <c r="I80" s="19"/>
    </row>
    <row r="81" spans="1:9" ht="15.75" hidden="1" customHeight="1">
      <c r="A81" s="33">
        <v>39</v>
      </c>
      <c r="B81" s="56" t="s">
        <v>121</v>
      </c>
      <c r="C81" s="17" t="s">
        <v>74</v>
      </c>
      <c r="D81" s="15"/>
      <c r="E81" s="19"/>
      <c r="F81" s="13">
        <v>1.35</v>
      </c>
      <c r="G81" s="13">
        <v>3433.68</v>
      </c>
      <c r="H81" s="103">
        <f t="shared" ref="H81" si="15">SUM(F81*G81/1000)</f>
        <v>4.6354679999999995</v>
      </c>
      <c r="I81" s="13">
        <v>0</v>
      </c>
    </row>
    <row r="82" spans="1:9" ht="15.75" customHeight="1">
      <c r="A82" s="33"/>
      <c r="B82" s="79" t="s">
        <v>133</v>
      </c>
      <c r="C82" s="72"/>
      <c r="D82" s="35"/>
      <c r="E82" s="12"/>
      <c r="F82" s="12"/>
      <c r="G82" s="40"/>
      <c r="H82" s="40"/>
      <c r="I82" s="19"/>
    </row>
    <row r="83" spans="1:9" ht="31.5" hidden="1" customHeight="1">
      <c r="A83" s="33"/>
      <c r="B83" s="15" t="s">
        <v>134</v>
      </c>
      <c r="C83" s="17" t="s">
        <v>135</v>
      </c>
      <c r="D83" s="41" t="s">
        <v>64</v>
      </c>
      <c r="E83" s="19">
        <v>6</v>
      </c>
      <c r="F83" s="13">
        <f>E83</f>
        <v>6</v>
      </c>
      <c r="G83" s="13">
        <v>297.44</v>
      </c>
      <c r="H83" s="103">
        <f t="shared" ref="H83:H93" si="16">SUM(F83*G83/1000)</f>
        <v>1.7846399999999998</v>
      </c>
      <c r="I83" s="13">
        <v>0</v>
      </c>
    </row>
    <row r="84" spans="1:9" ht="15.75" customHeight="1">
      <c r="A84" s="33">
        <v>8</v>
      </c>
      <c r="B84" s="15" t="s">
        <v>136</v>
      </c>
      <c r="C84" s="17" t="s">
        <v>79</v>
      </c>
      <c r="D84" s="41" t="s">
        <v>64</v>
      </c>
      <c r="E84" s="19">
        <v>12</v>
      </c>
      <c r="F84" s="13">
        <f>E84</f>
        <v>12</v>
      </c>
      <c r="G84" s="13">
        <v>122.35</v>
      </c>
      <c r="H84" s="103">
        <f t="shared" si="16"/>
        <v>1.4681999999999997</v>
      </c>
      <c r="I84" s="13">
        <f>G84*6</f>
        <v>734.09999999999991</v>
      </c>
    </row>
    <row r="85" spans="1:9" ht="15.75" hidden="1" customHeight="1">
      <c r="A85" s="33">
        <v>12</v>
      </c>
      <c r="B85" s="15" t="s">
        <v>137</v>
      </c>
      <c r="C85" s="17" t="s">
        <v>138</v>
      </c>
      <c r="D85" s="41" t="s">
        <v>64</v>
      </c>
      <c r="E85" s="19">
        <v>9</v>
      </c>
      <c r="F85" s="13">
        <f>E85/3</f>
        <v>3</v>
      </c>
      <c r="G85" s="13">
        <v>1063.47</v>
      </c>
      <c r="H85" s="103">
        <f t="shared" si="16"/>
        <v>3.19041</v>
      </c>
      <c r="I85" s="13">
        <f>G85*((10+10+10+15+10)/3)</f>
        <v>19496.95</v>
      </c>
    </row>
    <row r="86" spans="1:9" ht="31.5" hidden="1" customHeight="1">
      <c r="A86" s="33"/>
      <c r="B86" s="15" t="s">
        <v>139</v>
      </c>
      <c r="C86" s="17" t="s">
        <v>140</v>
      </c>
      <c r="D86" s="41" t="s">
        <v>64</v>
      </c>
      <c r="E86" s="19">
        <v>10</v>
      </c>
      <c r="F86" s="13">
        <f>E86/10</f>
        <v>1</v>
      </c>
      <c r="G86" s="13">
        <v>297.99</v>
      </c>
      <c r="H86" s="103">
        <f t="shared" si="16"/>
        <v>0.29799000000000003</v>
      </c>
      <c r="I86" s="13">
        <v>0</v>
      </c>
    </row>
    <row r="87" spans="1:9" ht="31.5" hidden="1" customHeight="1">
      <c r="A87" s="33"/>
      <c r="B87" s="15" t="s">
        <v>141</v>
      </c>
      <c r="C87" s="17" t="s">
        <v>79</v>
      </c>
      <c r="D87" s="41" t="s">
        <v>64</v>
      </c>
      <c r="E87" s="19">
        <v>6</v>
      </c>
      <c r="F87" s="13">
        <f t="shared" ref="F87:F92" si="17">E87</f>
        <v>6</v>
      </c>
      <c r="G87" s="13">
        <v>1564.44</v>
      </c>
      <c r="H87" s="103">
        <f t="shared" si="16"/>
        <v>9.3866399999999999</v>
      </c>
      <c r="I87" s="13">
        <v>0</v>
      </c>
    </row>
    <row r="88" spans="1:9" ht="31.5" hidden="1" customHeight="1">
      <c r="A88" s="33"/>
      <c r="B88" s="15" t="s">
        <v>142</v>
      </c>
      <c r="C88" s="17" t="s">
        <v>79</v>
      </c>
      <c r="D88" s="41" t="s">
        <v>64</v>
      </c>
      <c r="E88" s="19">
        <v>6</v>
      </c>
      <c r="F88" s="13">
        <f t="shared" si="17"/>
        <v>6</v>
      </c>
      <c r="G88" s="13">
        <v>1906.89</v>
      </c>
      <c r="H88" s="103">
        <f t="shared" si="16"/>
        <v>11.44134</v>
      </c>
      <c r="I88" s="13">
        <v>0</v>
      </c>
    </row>
    <row r="89" spans="1:9" ht="31.5" hidden="1" customHeight="1">
      <c r="A89" s="33"/>
      <c r="B89" s="15" t="s">
        <v>143</v>
      </c>
      <c r="C89" s="17" t="s">
        <v>79</v>
      </c>
      <c r="D89" s="41" t="s">
        <v>64</v>
      </c>
      <c r="E89" s="19">
        <v>6</v>
      </c>
      <c r="F89" s="13">
        <f t="shared" si="17"/>
        <v>6</v>
      </c>
      <c r="G89" s="13">
        <v>664.35</v>
      </c>
      <c r="H89" s="103">
        <f t="shared" si="16"/>
        <v>3.9861000000000004</v>
      </c>
      <c r="I89" s="13">
        <v>0</v>
      </c>
    </row>
    <row r="90" spans="1:9" ht="31.5" hidden="1" customHeight="1">
      <c r="A90" s="33"/>
      <c r="B90" s="15" t="s">
        <v>144</v>
      </c>
      <c r="C90" s="17" t="s">
        <v>79</v>
      </c>
      <c r="D90" s="41" t="s">
        <v>64</v>
      </c>
      <c r="E90" s="19">
        <v>6</v>
      </c>
      <c r="F90" s="13">
        <f t="shared" si="17"/>
        <v>6</v>
      </c>
      <c r="G90" s="13">
        <v>778.85</v>
      </c>
      <c r="H90" s="103">
        <f t="shared" si="16"/>
        <v>4.6731000000000007</v>
      </c>
      <c r="I90" s="13">
        <v>0</v>
      </c>
    </row>
    <row r="91" spans="1:9" ht="15.75" hidden="1" customHeight="1">
      <c r="A91" s="33"/>
      <c r="B91" s="15" t="s">
        <v>145</v>
      </c>
      <c r="C91" s="17" t="s">
        <v>118</v>
      </c>
      <c r="D91" s="41" t="s">
        <v>64</v>
      </c>
      <c r="E91" s="19">
        <v>4</v>
      </c>
      <c r="F91" s="13">
        <f t="shared" si="17"/>
        <v>4</v>
      </c>
      <c r="G91" s="13">
        <v>498.11</v>
      </c>
      <c r="H91" s="103">
        <f t="shared" si="16"/>
        <v>1.99244</v>
      </c>
      <c r="I91" s="13">
        <v>0</v>
      </c>
    </row>
    <row r="92" spans="1:9" ht="31.5" hidden="1" customHeight="1">
      <c r="A92" s="33"/>
      <c r="B92" s="15" t="s">
        <v>146</v>
      </c>
      <c r="C92" s="17" t="s">
        <v>79</v>
      </c>
      <c r="D92" s="41" t="s">
        <v>64</v>
      </c>
      <c r="E92" s="19">
        <v>6</v>
      </c>
      <c r="F92" s="13">
        <f t="shared" si="17"/>
        <v>6</v>
      </c>
      <c r="G92" s="13">
        <v>1264.3399999999999</v>
      </c>
      <c r="H92" s="103">
        <f t="shared" si="16"/>
        <v>7.5860399999999988</v>
      </c>
      <c r="I92" s="13">
        <v>0</v>
      </c>
    </row>
    <row r="93" spans="1:9" ht="15.75" hidden="1" customHeight="1">
      <c r="A93" s="33">
        <v>33</v>
      </c>
      <c r="B93" s="15" t="s">
        <v>147</v>
      </c>
      <c r="C93" s="17" t="s">
        <v>27</v>
      </c>
      <c r="D93" s="15" t="s">
        <v>40</v>
      </c>
      <c r="E93" s="19">
        <v>823</v>
      </c>
      <c r="F93" s="13">
        <f>E93*2/1000</f>
        <v>1.6459999999999999</v>
      </c>
      <c r="G93" s="13">
        <v>1707.71</v>
      </c>
      <c r="H93" s="103">
        <f t="shared" si="16"/>
        <v>2.8108906600000001</v>
      </c>
      <c r="I93" s="13">
        <f>F93/2*G93</f>
        <v>1405.44533</v>
      </c>
    </row>
    <row r="94" spans="1:9" ht="15.75" customHeight="1">
      <c r="A94" s="144" t="s">
        <v>170</v>
      </c>
      <c r="B94" s="145"/>
      <c r="C94" s="145"/>
      <c r="D94" s="145"/>
      <c r="E94" s="145"/>
      <c r="F94" s="145"/>
      <c r="G94" s="145"/>
      <c r="H94" s="145"/>
      <c r="I94" s="146"/>
    </row>
    <row r="95" spans="1:9" ht="15.75" customHeight="1">
      <c r="A95" s="33">
        <v>9</v>
      </c>
      <c r="B95" s="92" t="s">
        <v>122</v>
      </c>
      <c r="C95" s="17" t="s">
        <v>52</v>
      </c>
      <c r="D95" s="108"/>
      <c r="E95" s="13">
        <v>1832</v>
      </c>
      <c r="F95" s="13">
        <f>SUM(E95*12)</f>
        <v>21984</v>
      </c>
      <c r="G95" s="13">
        <v>2.95</v>
      </c>
      <c r="H95" s="103">
        <f>SUM(F95*G95/1000)</f>
        <v>64.852800000000002</v>
      </c>
      <c r="I95" s="13">
        <f>F95/12*G95</f>
        <v>5404.4000000000005</v>
      </c>
    </row>
    <row r="96" spans="1:9" ht="31.5" customHeight="1">
      <c r="A96" s="33">
        <v>10</v>
      </c>
      <c r="B96" s="15" t="s">
        <v>75</v>
      </c>
      <c r="C96" s="17" t="s">
        <v>160</v>
      </c>
      <c r="D96" s="108"/>
      <c r="E96" s="94">
        <v>1832</v>
      </c>
      <c r="F96" s="13">
        <f>E96*12</f>
        <v>21984</v>
      </c>
      <c r="G96" s="13">
        <v>3.05</v>
      </c>
      <c r="H96" s="103">
        <f>F96*G96/1000</f>
        <v>67.051199999999994</v>
      </c>
      <c r="I96" s="13">
        <f>F96/12*G96</f>
        <v>5587.5999999999995</v>
      </c>
    </row>
    <row r="97" spans="1:9" ht="15.75" customHeight="1">
      <c r="A97" s="57"/>
      <c r="B97" s="43" t="s">
        <v>78</v>
      </c>
      <c r="C97" s="45"/>
      <c r="D97" s="16"/>
      <c r="E97" s="16"/>
      <c r="F97" s="16"/>
      <c r="G97" s="19"/>
      <c r="H97" s="19"/>
      <c r="I97" s="36">
        <f>I96+I95+I33+I31+I30+I27+I18+I17+I16+I84</f>
        <v>19823.034466999994</v>
      </c>
    </row>
    <row r="98" spans="1:9" ht="15.75" customHeight="1">
      <c r="A98" s="147" t="s">
        <v>58</v>
      </c>
      <c r="B98" s="148"/>
      <c r="C98" s="148"/>
      <c r="D98" s="148"/>
      <c r="E98" s="148"/>
      <c r="F98" s="148"/>
      <c r="G98" s="148"/>
      <c r="H98" s="148"/>
      <c r="I98" s="149"/>
    </row>
    <row r="99" spans="1:9" ht="15.75" customHeight="1">
      <c r="A99" s="46">
        <v>11</v>
      </c>
      <c r="B99" s="112" t="s">
        <v>176</v>
      </c>
      <c r="C99" s="113" t="s">
        <v>177</v>
      </c>
      <c r="D99" s="112"/>
      <c r="E99" s="114"/>
      <c r="F99" s="115">
        <v>24</v>
      </c>
      <c r="G99" s="116">
        <v>1.4</v>
      </c>
      <c r="H99" s="117">
        <f>F99*G99/1000</f>
        <v>3.3599999999999991E-2</v>
      </c>
      <c r="I99" s="118">
        <f>G99*12</f>
        <v>16.799999999999997</v>
      </c>
    </row>
    <row r="100" spans="1:9" ht="31.5" customHeight="1">
      <c r="A100" s="33">
        <v>12</v>
      </c>
      <c r="B100" s="69" t="s">
        <v>178</v>
      </c>
      <c r="C100" s="73" t="s">
        <v>36</v>
      </c>
      <c r="D100" s="46"/>
      <c r="E100" s="46"/>
      <c r="F100" s="46"/>
      <c r="G100" s="121">
        <v>3914.31</v>
      </c>
      <c r="H100" s="46"/>
      <c r="I100" s="33">
        <f>G100*0.01</f>
        <v>39.143099999999997</v>
      </c>
    </row>
    <row r="101" spans="1:9" ht="17.25" customHeight="1">
      <c r="A101" s="33">
        <v>13</v>
      </c>
      <c r="B101" s="122" t="s">
        <v>80</v>
      </c>
      <c r="C101" s="123" t="s">
        <v>110</v>
      </c>
      <c r="D101" s="46"/>
      <c r="E101" s="46"/>
      <c r="F101" s="46"/>
      <c r="G101" s="121">
        <v>207.55</v>
      </c>
      <c r="H101" s="46"/>
      <c r="I101" s="33">
        <f>G101*1</f>
        <v>207.55</v>
      </c>
    </row>
    <row r="102" spans="1:9" ht="17.25" customHeight="1">
      <c r="A102" s="33">
        <v>14</v>
      </c>
      <c r="B102" s="122" t="s">
        <v>190</v>
      </c>
      <c r="C102" s="123" t="s">
        <v>191</v>
      </c>
      <c r="D102" s="46"/>
      <c r="E102" s="46"/>
      <c r="F102" s="46"/>
      <c r="G102" s="40">
        <v>218</v>
      </c>
      <c r="H102" s="46"/>
      <c r="I102" s="125">
        <f>G102*1</f>
        <v>218</v>
      </c>
    </row>
    <row r="103" spans="1:9" ht="15.75" customHeight="1">
      <c r="A103" s="33"/>
      <c r="B103" s="50" t="s">
        <v>49</v>
      </c>
      <c r="C103" s="46"/>
      <c r="D103" s="58"/>
      <c r="E103" s="46">
        <v>1</v>
      </c>
      <c r="F103" s="46"/>
      <c r="G103" s="46"/>
      <c r="H103" s="46"/>
      <c r="I103" s="36">
        <f>SUM(I99:I102)</f>
        <v>481.49310000000003</v>
      </c>
    </row>
    <row r="104" spans="1:9" ht="15.75" customHeight="1">
      <c r="A104" s="33"/>
      <c r="B104" s="56" t="s">
        <v>76</v>
      </c>
      <c r="C104" s="16"/>
      <c r="D104" s="16"/>
      <c r="E104" s="47"/>
      <c r="F104" s="47"/>
      <c r="G104" s="48"/>
      <c r="H104" s="48"/>
      <c r="I104" s="18">
        <v>0</v>
      </c>
    </row>
    <row r="105" spans="1:9" ht="15.75" customHeight="1">
      <c r="A105" s="59"/>
      <c r="B105" s="51" t="s">
        <v>161</v>
      </c>
      <c r="C105" s="38"/>
      <c r="D105" s="38"/>
      <c r="E105" s="38"/>
      <c r="F105" s="38"/>
      <c r="G105" s="38"/>
      <c r="H105" s="38"/>
      <c r="I105" s="49">
        <f>I97+I103</f>
        <v>20304.527566999994</v>
      </c>
    </row>
    <row r="106" spans="1:9" ht="15.75" customHeight="1">
      <c r="A106" s="136" t="s">
        <v>246</v>
      </c>
      <c r="B106" s="136"/>
      <c r="C106" s="136"/>
      <c r="D106" s="136"/>
      <c r="E106" s="136"/>
      <c r="F106" s="136"/>
      <c r="G106" s="136"/>
      <c r="H106" s="136"/>
      <c r="I106" s="136"/>
    </row>
    <row r="107" spans="1:9" ht="15.75" customHeight="1">
      <c r="A107" s="80"/>
      <c r="B107" s="150" t="s">
        <v>247</v>
      </c>
      <c r="C107" s="150"/>
      <c r="D107" s="150"/>
      <c r="E107" s="150"/>
      <c r="F107" s="150"/>
      <c r="G107" s="150"/>
      <c r="H107" s="90"/>
      <c r="I107" s="3"/>
    </row>
    <row r="108" spans="1:9" ht="15.75" customHeight="1">
      <c r="A108" s="74"/>
      <c r="B108" s="151" t="s">
        <v>6</v>
      </c>
      <c r="C108" s="151"/>
      <c r="D108" s="151"/>
      <c r="E108" s="151"/>
      <c r="F108" s="151"/>
      <c r="G108" s="151"/>
      <c r="H108" s="28"/>
      <c r="I108" s="5"/>
    </row>
    <row r="109" spans="1:9" ht="15.75" customHeight="1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5.75" customHeight="1">
      <c r="A110" s="135" t="s">
        <v>7</v>
      </c>
      <c r="B110" s="135"/>
      <c r="C110" s="135"/>
      <c r="D110" s="135"/>
      <c r="E110" s="135"/>
      <c r="F110" s="135"/>
      <c r="G110" s="135"/>
      <c r="H110" s="135"/>
      <c r="I110" s="135"/>
    </row>
    <row r="111" spans="1:9" ht="15.75" customHeight="1">
      <c r="A111" s="135" t="s">
        <v>8</v>
      </c>
      <c r="B111" s="135"/>
      <c r="C111" s="135"/>
      <c r="D111" s="135"/>
      <c r="E111" s="135"/>
      <c r="F111" s="135"/>
      <c r="G111" s="135"/>
      <c r="H111" s="135"/>
      <c r="I111" s="135"/>
    </row>
    <row r="112" spans="1:9" ht="15.75" customHeight="1">
      <c r="A112" s="155" t="s">
        <v>59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15.75" customHeight="1">
      <c r="A113" s="10"/>
    </row>
    <row r="114" spans="1:9" ht="15.75" customHeight="1">
      <c r="A114" s="156" t="s">
        <v>9</v>
      </c>
      <c r="B114" s="156"/>
      <c r="C114" s="156"/>
      <c r="D114" s="156"/>
      <c r="E114" s="156"/>
      <c r="F114" s="156"/>
      <c r="G114" s="156"/>
      <c r="H114" s="156"/>
      <c r="I114" s="156"/>
    </row>
    <row r="115" spans="1:9" ht="15.75" customHeight="1">
      <c r="A115" s="4"/>
    </row>
    <row r="116" spans="1:9" ht="15.75" customHeight="1">
      <c r="B116" s="77" t="s">
        <v>10</v>
      </c>
      <c r="C116" s="157" t="s">
        <v>85</v>
      </c>
      <c r="D116" s="157"/>
      <c r="E116" s="157"/>
      <c r="F116" s="88"/>
      <c r="I116" s="76"/>
    </row>
    <row r="117" spans="1:9" ht="15.75" customHeight="1">
      <c r="A117" s="74"/>
      <c r="C117" s="151" t="s">
        <v>11</v>
      </c>
      <c r="D117" s="151"/>
      <c r="E117" s="151"/>
      <c r="F117" s="28"/>
      <c r="I117" s="75" t="s">
        <v>12</v>
      </c>
    </row>
    <row r="118" spans="1:9" ht="15.75" customHeight="1">
      <c r="A118" s="29"/>
      <c r="C118" s="11"/>
      <c r="D118" s="11"/>
      <c r="G118" s="11"/>
      <c r="H118" s="11"/>
    </row>
    <row r="119" spans="1:9" ht="15.75" customHeight="1">
      <c r="B119" s="77" t="s">
        <v>13</v>
      </c>
      <c r="C119" s="152"/>
      <c r="D119" s="152"/>
      <c r="E119" s="152"/>
      <c r="F119" s="89"/>
      <c r="I119" s="76"/>
    </row>
    <row r="120" spans="1:9" ht="15.75" customHeight="1">
      <c r="A120" s="74"/>
      <c r="C120" s="131" t="s">
        <v>11</v>
      </c>
      <c r="D120" s="131"/>
      <c r="E120" s="131"/>
      <c r="F120" s="74"/>
      <c r="I120" s="75" t="s">
        <v>12</v>
      </c>
    </row>
    <row r="121" spans="1:9" ht="15.75" customHeight="1">
      <c r="A121" s="4" t="s">
        <v>14</v>
      </c>
    </row>
    <row r="122" spans="1:9" ht="15.75" customHeight="1">
      <c r="A122" s="154" t="s">
        <v>15</v>
      </c>
      <c r="B122" s="154"/>
      <c r="C122" s="154"/>
      <c r="D122" s="154"/>
      <c r="E122" s="154"/>
      <c r="F122" s="154"/>
      <c r="G122" s="154"/>
      <c r="H122" s="154"/>
      <c r="I122" s="154"/>
    </row>
    <row r="123" spans="1:9" ht="45" customHeight="1">
      <c r="A123" s="153" t="s">
        <v>16</v>
      </c>
      <c r="B123" s="153"/>
      <c r="C123" s="153"/>
      <c r="D123" s="153"/>
      <c r="E123" s="153"/>
      <c r="F123" s="153"/>
      <c r="G123" s="153"/>
      <c r="H123" s="153"/>
      <c r="I123" s="153"/>
    </row>
    <row r="124" spans="1:9" ht="30" customHeight="1">
      <c r="A124" s="153" t="s">
        <v>17</v>
      </c>
      <c r="B124" s="153"/>
      <c r="C124" s="153"/>
      <c r="D124" s="153"/>
      <c r="E124" s="153"/>
      <c r="F124" s="153"/>
      <c r="G124" s="153"/>
      <c r="H124" s="153"/>
      <c r="I124" s="153"/>
    </row>
    <row r="125" spans="1:9" ht="30" customHeight="1">
      <c r="A125" s="153" t="s">
        <v>21</v>
      </c>
      <c r="B125" s="153"/>
      <c r="C125" s="153"/>
      <c r="D125" s="153"/>
      <c r="E125" s="153"/>
      <c r="F125" s="153"/>
      <c r="G125" s="153"/>
      <c r="H125" s="153"/>
      <c r="I125" s="153"/>
    </row>
    <row r="126" spans="1:9" ht="15" customHeight="1">
      <c r="A126" s="153" t="s">
        <v>20</v>
      </c>
      <c r="B126" s="153"/>
      <c r="C126" s="153"/>
      <c r="D126" s="153"/>
      <c r="E126" s="153"/>
      <c r="F126" s="153"/>
      <c r="G126" s="153"/>
      <c r="H126" s="153"/>
      <c r="I126" s="153"/>
    </row>
  </sheetData>
  <autoFilter ref="I12:I70"/>
  <mergeCells count="29">
    <mergeCell ref="A122:I122"/>
    <mergeCell ref="A123:I123"/>
    <mergeCell ref="A124:I124"/>
    <mergeCell ref="A125:I125"/>
    <mergeCell ref="A126:I126"/>
    <mergeCell ref="R74:U74"/>
    <mergeCell ref="C120:E120"/>
    <mergeCell ref="A98:I98"/>
    <mergeCell ref="A106:I106"/>
    <mergeCell ref="B107:G107"/>
    <mergeCell ref="B108:G108"/>
    <mergeCell ref="A110:I110"/>
    <mergeCell ref="A111:I111"/>
    <mergeCell ref="A112:I112"/>
    <mergeCell ref="A114:I114"/>
    <mergeCell ref="C116:E116"/>
    <mergeCell ref="C117:E117"/>
    <mergeCell ref="C119:E119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U129"/>
  <sheetViews>
    <sheetView workbookViewId="0">
      <selection activeCell="B30" sqref="B30:I3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179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37" t="s">
        <v>171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123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248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43708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180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148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57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3">
        <v>1</v>
      </c>
      <c r="B16" s="92" t="s">
        <v>84</v>
      </c>
      <c r="C16" s="93" t="s">
        <v>86</v>
      </c>
      <c r="D16" s="92" t="s">
        <v>233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124</v>
      </c>
      <c r="C17" s="93" t="s">
        <v>86</v>
      </c>
      <c r="D17" s="92" t="s">
        <v>234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87</v>
      </c>
      <c r="C18" s="93" t="s">
        <v>86</v>
      </c>
      <c r="D18" s="92" t="s">
        <v>235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88</v>
      </c>
      <c r="C19" s="93" t="s">
        <v>89</v>
      </c>
      <c r="D19" s="92" t="s">
        <v>90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95</v>
      </c>
      <c r="C20" s="93" t="s">
        <v>50</v>
      </c>
      <c r="D20" s="92" t="s">
        <v>125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6</v>
      </c>
      <c r="B21" s="92" t="s">
        <v>91</v>
      </c>
      <c r="C21" s="93" t="s">
        <v>86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7</v>
      </c>
      <c r="B22" s="92" t="s">
        <v>92</v>
      </c>
      <c r="C22" s="93" t="s">
        <v>86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93</v>
      </c>
      <c r="C23" s="93" t="s">
        <v>50</v>
      </c>
      <c r="D23" s="92" t="s">
        <v>90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94</v>
      </c>
      <c r="C24" s="93" t="s">
        <v>50</v>
      </c>
      <c r="D24" s="92" t="s">
        <v>90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96</v>
      </c>
      <c r="C25" s="93" t="s">
        <v>50</v>
      </c>
      <c r="D25" s="92" t="s">
        <v>90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126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220</v>
      </c>
      <c r="C27" s="44" t="s">
        <v>177</v>
      </c>
      <c r="D27" s="127" t="s">
        <v>237</v>
      </c>
      <c r="E27" s="128">
        <v>2.5099999999999998</v>
      </c>
      <c r="F27" s="129">
        <f>E27*258</f>
        <v>647.57999999999993</v>
      </c>
      <c r="G27" s="129">
        <v>10.39</v>
      </c>
      <c r="H27" s="96">
        <f t="shared" ref="H27" si="3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3" t="s">
        <v>82</v>
      </c>
      <c r="B28" s="143"/>
      <c r="C28" s="143"/>
      <c r="D28" s="143"/>
      <c r="E28" s="143"/>
      <c r="F28" s="143"/>
      <c r="G28" s="143"/>
      <c r="H28" s="143"/>
      <c r="I28" s="143"/>
      <c r="J28" s="26"/>
      <c r="K28" s="8"/>
      <c r="L28" s="8"/>
      <c r="M28" s="8"/>
    </row>
    <row r="29" spans="1:13" ht="15.75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customHeight="1">
      <c r="A30" s="45">
        <v>5</v>
      </c>
      <c r="B30" s="92" t="s">
        <v>154</v>
      </c>
      <c r="C30" s="93" t="s">
        <v>97</v>
      </c>
      <c r="D30" s="92" t="s">
        <v>234</v>
      </c>
      <c r="E30" s="95">
        <v>306.55</v>
      </c>
      <c r="F30" s="95">
        <f>SUM(E30*52/1000)</f>
        <v>15.9406</v>
      </c>
      <c r="G30" s="95">
        <v>193.97</v>
      </c>
      <c r="H30" s="96">
        <f t="shared" ref="H30:H35" si="4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customHeight="1">
      <c r="A31" s="45">
        <v>6</v>
      </c>
      <c r="B31" s="92" t="s">
        <v>99</v>
      </c>
      <c r="C31" s="93" t="s">
        <v>97</v>
      </c>
      <c r="D31" s="92" t="s">
        <v>233</v>
      </c>
      <c r="E31" s="95">
        <v>42.5</v>
      </c>
      <c r="F31" s="95">
        <f>SUM(E31*78/1000)</f>
        <v>3.3149999999999999</v>
      </c>
      <c r="G31" s="95">
        <v>321.82</v>
      </c>
      <c r="H31" s="96">
        <f t="shared" si="4"/>
        <v>1.0668333000000001</v>
      </c>
      <c r="I31" s="13">
        <f t="shared" ref="I31:I33" si="5">F31/6*G31</f>
        <v>177.80554999999998</v>
      </c>
      <c r="J31" s="26"/>
      <c r="K31" s="8"/>
      <c r="L31" s="8"/>
      <c r="M31" s="8"/>
    </row>
    <row r="32" spans="1:13" ht="15.75" hidden="1" customHeight="1">
      <c r="A32" s="45">
        <v>16</v>
      </c>
      <c r="B32" s="92" t="s">
        <v>153</v>
      </c>
      <c r="C32" s="93" t="s">
        <v>97</v>
      </c>
      <c r="D32" s="92" t="s">
        <v>51</v>
      </c>
      <c r="E32" s="95">
        <v>306.55</v>
      </c>
      <c r="F32" s="95">
        <f>SUM(E32/1000)</f>
        <v>0.30654999999999999</v>
      </c>
      <c r="G32" s="95">
        <v>3758.28</v>
      </c>
      <c r="H32" s="96">
        <f t="shared" si="4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customHeight="1">
      <c r="A33" s="45">
        <v>7</v>
      </c>
      <c r="B33" s="92" t="s">
        <v>127</v>
      </c>
      <c r="C33" s="93" t="s">
        <v>38</v>
      </c>
      <c r="D33" s="92" t="s">
        <v>243</v>
      </c>
      <c r="E33" s="95">
        <v>3</v>
      </c>
      <c r="F33" s="95">
        <f>E33*155/100</f>
        <v>4.6500000000000004</v>
      </c>
      <c r="G33" s="95">
        <v>1620.15</v>
      </c>
      <c r="H33" s="96">
        <f t="shared" si="4"/>
        <v>7.5336975000000015</v>
      </c>
      <c r="I33" s="13">
        <f t="shared" si="5"/>
        <v>1255.61625</v>
      </c>
      <c r="J33" s="26"/>
      <c r="K33" s="8"/>
      <c r="L33" s="8"/>
      <c r="M33" s="8"/>
    </row>
    <row r="34" spans="1:14" ht="15.75" hidden="1" customHeight="1">
      <c r="A34" s="45">
        <v>4</v>
      </c>
      <c r="B34" s="92" t="s">
        <v>62</v>
      </c>
      <c r="C34" s="93" t="s">
        <v>30</v>
      </c>
      <c r="D34" s="92" t="s">
        <v>64</v>
      </c>
      <c r="E34" s="94"/>
      <c r="F34" s="95">
        <v>2</v>
      </c>
      <c r="G34" s="95">
        <v>238.07</v>
      </c>
      <c r="H34" s="96">
        <f t="shared" si="4"/>
        <v>0.47614000000000001</v>
      </c>
      <c r="I34" s="13">
        <v>0</v>
      </c>
      <c r="J34" s="26"/>
      <c r="K34" s="8"/>
    </row>
    <row r="35" spans="1:14" ht="15.75" hidden="1" customHeight="1">
      <c r="A35" s="33">
        <v>8</v>
      </c>
      <c r="B35" s="92" t="s">
        <v>63</v>
      </c>
      <c r="C35" s="93" t="s">
        <v>29</v>
      </c>
      <c r="D35" s="92" t="s">
        <v>64</v>
      </c>
      <c r="E35" s="94"/>
      <c r="F35" s="95">
        <v>3</v>
      </c>
      <c r="G35" s="95">
        <v>1413.96</v>
      </c>
      <c r="H35" s="96">
        <f t="shared" si="4"/>
        <v>4.2418800000000001</v>
      </c>
      <c r="I35" s="13">
        <v>0</v>
      </c>
      <c r="J35" s="27"/>
    </row>
    <row r="36" spans="1:14" ht="15.75" hidden="1" customHeight="1">
      <c r="A36" s="45"/>
      <c r="B36" s="53" t="s">
        <v>5</v>
      </c>
      <c r="C36" s="53"/>
      <c r="D36" s="53"/>
      <c r="E36" s="13"/>
      <c r="F36" s="13"/>
      <c r="G36" s="14"/>
      <c r="H36" s="14"/>
      <c r="I36" s="19"/>
      <c r="J36" s="27"/>
    </row>
    <row r="37" spans="1:14" ht="15.75" hidden="1" customHeight="1">
      <c r="A37" s="37">
        <v>6</v>
      </c>
      <c r="B37" s="92" t="s">
        <v>25</v>
      </c>
      <c r="C37" s="93" t="s">
        <v>29</v>
      </c>
      <c r="D37" s="92"/>
      <c r="E37" s="94"/>
      <c r="F37" s="95">
        <v>2</v>
      </c>
      <c r="G37" s="95">
        <v>1900.37</v>
      </c>
      <c r="H37" s="96">
        <f t="shared" ref="H37:H42" si="6">SUM(F37*G37/1000)</f>
        <v>3.8007399999999998</v>
      </c>
      <c r="I37" s="13">
        <f t="shared" ref="I37:I42" si="7">F37/6*G37</f>
        <v>633.45666666666659</v>
      </c>
      <c r="J37" s="27"/>
    </row>
    <row r="38" spans="1:14" ht="15.75" hidden="1" customHeight="1">
      <c r="A38" s="37">
        <v>7</v>
      </c>
      <c r="B38" s="92" t="s">
        <v>65</v>
      </c>
      <c r="C38" s="93" t="s">
        <v>27</v>
      </c>
      <c r="D38" s="92" t="s">
        <v>102</v>
      </c>
      <c r="E38" s="95">
        <v>42.5</v>
      </c>
      <c r="F38" s="95">
        <f>SUM(E38*30/1000)</f>
        <v>1.2749999999999999</v>
      </c>
      <c r="G38" s="95">
        <v>2616.4899999999998</v>
      </c>
      <c r="H38" s="96">
        <f t="shared" si="6"/>
        <v>3.3360247499999995</v>
      </c>
      <c r="I38" s="13">
        <f t="shared" si="7"/>
        <v>556.00412499999993</v>
      </c>
      <c r="J38" s="27"/>
    </row>
    <row r="39" spans="1:14" ht="15.75" hidden="1" customHeight="1">
      <c r="A39" s="37">
        <v>8</v>
      </c>
      <c r="B39" s="92" t="s">
        <v>66</v>
      </c>
      <c r="C39" s="93" t="s">
        <v>27</v>
      </c>
      <c r="D39" s="92" t="s">
        <v>103</v>
      </c>
      <c r="E39" s="95">
        <v>42.5</v>
      </c>
      <c r="F39" s="95">
        <f>SUM(E39*155/1000)</f>
        <v>6.5875000000000004</v>
      </c>
      <c r="G39" s="95">
        <v>436.45</v>
      </c>
      <c r="H39" s="96">
        <f t="shared" si="6"/>
        <v>2.8751143749999999</v>
      </c>
      <c r="I39" s="13">
        <f t="shared" si="7"/>
        <v>479.18572916666665</v>
      </c>
      <c r="J39" s="27"/>
    </row>
    <row r="40" spans="1:14" ht="47.25" hidden="1" customHeight="1">
      <c r="A40" s="37">
        <v>9</v>
      </c>
      <c r="B40" s="92" t="s">
        <v>81</v>
      </c>
      <c r="C40" s="93" t="s">
        <v>97</v>
      </c>
      <c r="D40" s="92" t="s">
        <v>104</v>
      </c>
      <c r="E40" s="95">
        <v>42.5</v>
      </c>
      <c r="F40" s="95">
        <f>SUM(E40*35/1000)</f>
        <v>1.4875</v>
      </c>
      <c r="G40" s="95">
        <v>7221.21</v>
      </c>
      <c r="H40" s="96">
        <f t="shared" si="6"/>
        <v>10.741549875</v>
      </c>
      <c r="I40" s="13">
        <f t="shared" si="7"/>
        <v>1790.2583125000001</v>
      </c>
      <c r="J40" s="27"/>
    </row>
    <row r="41" spans="1:14" ht="15.75" hidden="1" customHeight="1">
      <c r="A41" s="37">
        <v>10</v>
      </c>
      <c r="B41" s="92" t="s">
        <v>105</v>
      </c>
      <c r="C41" s="93" t="s">
        <v>97</v>
      </c>
      <c r="D41" s="92" t="s">
        <v>106</v>
      </c>
      <c r="E41" s="95">
        <v>42.5</v>
      </c>
      <c r="F41" s="95">
        <f>SUM(E41*20/1000)</f>
        <v>0.85</v>
      </c>
      <c r="G41" s="95">
        <v>533.45000000000005</v>
      </c>
      <c r="H41" s="96">
        <f t="shared" si="6"/>
        <v>0.45343250000000002</v>
      </c>
      <c r="I41" s="13">
        <f t="shared" si="7"/>
        <v>75.572083333333339</v>
      </c>
      <c r="J41" s="27"/>
      <c r="L41" s="21"/>
      <c r="M41" s="22"/>
      <c r="N41" s="23"/>
    </row>
    <row r="42" spans="1:14" ht="15.75" hidden="1" customHeight="1">
      <c r="A42" s="37">
        <v>11</v>
      </c>
      <c r="B42" s="92" t="s">
        <v>67</v>
      </c>
      <c r="C42" s="93" t="s">
        <v>30</v>
      </c>
      <c r="D42" s="92"/>
      <c r="E42" s="94"/>
      <c r="F42" s="95">
        <v>0.5</v>
      </c>
      <c r="G42" s="95">
        <v>992.97</v>
      </c>
      <c r="H42" s="96">
        <f t="shared" si="6"/>
        <v>0.49648500000000001</v>
      </c>
      <c r="I42" s="13">
        <f t="shared" si="7"/>
        <v>82.747500000000002</v>
      </c>
      <c r="J42" s="27"/>
      <c r="L42" s="21"/>
      <c r="M42" s="22"/>
      <c r="N42" s="23"/>
    </row>
    <row r="43" spans="1:14" ht="15.75" customHeight="1">
      <c r="A43" s="132" t="s">
        <v>150</v>
      </c>
      <c r="B43" s="133"/>
      <c r="C43" s="133"/>
      <c r="D43" s="133"/>
      <c r="E43" s="133"/>
      <c r="F43" s="133"/>
      <c r="G43" s="133"/>
      <c r="H43" s="133"/>
      <c r="I43" s="134"/>
      <c r="J43" s="27"/>
      <c r="L43" s="21"/>
      <c r="M43" s="22"/>
      <c r="N43" s="23"/>
    </row>
    <row r="44" spans="1:14" ht="15.75" hidden="1" customHeight="1">
      <c r="A44" s="45">
        <v>19</v>
      </c>
      <c r="B44" s="92" t="s">
        <v>107</v>
      </c>
      <c r="C44" s="93" t="s">
        <v>97</v>
      </c>
      <c r="D44" s="92" t="s">
        <v>40</v>
      </c>
      <c r="E44" s="94">
        <v>1060.4000000000001</v>
      </c>
      <c r="F44" s="95">
        <f>SUM(E44*2/1000)</f>
        <v>2.1208</v>
      </c>
      <c r="G44" s="13">
        <v>1283.46</v>
      </c>
      <c r="H44" s="96">
        <f t="shared" ref="H44:H54" si="8">SUM(F44*G44/1000)</f>
        <v>2.721961968</v>
      </c>
      <c r="I44" s="13">
        <f t="shared" ref="I44:I47" si="9">F44/2*G44</f>
        <v>1360.980984</v>
      </c>
      <c r="J44" s="27"/>
      <c r="L44" s="21"/>
      <c r="M44" s="22"/>
      <c r="N44" s="23"/>
    </row>
    <row r="45" spans="1:14" ht="15.75" hidden="1" customHeight="1">
      <c r="A45" s="45">
        <v>20</v>
      </c>
      <c r="B45" s="92" t="s">
        <v>33</v>
      </c>
      <c r="C45" s="93" t="s">
        <v>97</v>
      </c>
      <c r="D45" s="92" t="s">
        <v>40</v>
      </c>
      <c r="E45" s="94">
        <v>19.8</v>
      </c>
      <c r="F45" s="95">
        <f>SUM(E45*2/1000)</f>
        <v>3.9600000000000003E-2</v>
      </c>
      <c r="G45" s="13">
        <v>721.04</v>
      </c>
      <c r="H45" s="96">
        <f t="shared" si="8"/>
        <v>2.8553184000000002E-2</v>
      </c>
      <c r="I45" s="13">
        <f t="shared" si="9"/>
        <v>14.276592000000001</v>
      </c>
      <c r="J45" s="27"/>
      <c r="L45" s="21"/>
      <c r="M45" s="22"/>
      <c r="N45" s="23"/>
    </row>
    <row r="46" spans="1:14" ht="15.75" hidden="1" customHeight="1">
      <c r="A46" s="45">
        <v>21</v>
      </c>
      <c r="B46" s="92" t="s">
        <v>34</v>
      </c>
      <c r="C46" s="93" t="s">
        <v>97</v>
      </c>
      <c r="D46" s="92" t="s">
        <v>40</v>
      </c>
      <c r="E46" s="94">
        <v>660.84</v>
      </c>
      <c r="F46" s="95">
        <f>SUM(E46*2/1000)</f>
        <v>1.32168</v>
      </c>
      <c r="G46" s="13">
        <v>1711.28</v>
      </c>
      <c r="H46" s="96">
        <f t="shared" si="8"/>
        <v>2.2617645503999997</v>
      </c>
      <c r="I46" s="13">
        <f t="shared" si="9"/>
        <v>1130.8822751999999</v>
      </c>
      <c r="J46" s="27"/>
      <c r="L46" s="21"/>
      <c r="M46" s="22"/>
      <c r="N46" s="23"/>
    </row>
    <row r="47" spans="1:14" ht="15.75" hidden="1" customHeight="1">
      <c r="A47" s="45">
        <v>22</v>
      </c>
      <c r="B47" s="92" t="s">
        <v>35</v>
      </c>
      <c r="C47" s="93" t="s">
        <v>97</v>
      </c>
      <c r="D47" s="92" t="s">
        <v>40</v>
      </c>
      <c r="E47" s="94">
        <v>1156.21</v>
      </c>
      <c r="F47" s="95">
        <f>SUM(E47*2/1000)</f>
        <v>2.3124199999999999</v>
      </c>
      <c r="G47" s="13">
        <v>1179.73</v>
      </c>
      <c r="H47" s="96">
        <f t="shared" si="8"/>
        <v>2.7280312466000001</v>
      </c>
      <c r="I47" s="13">
        <f t="shared" si="9"/>
        <v>1364.0156233</v>
      </c>
      <c r="J47" s="27"/>
      <c r="L47" s="21"/>
      <c r="M47" s="22"/>
      <c r="N47" s="23"/>
    </row>
    <row r="48" spans="1:14" ht="15.75" hidden="1" customHeight="1">
      <c r="A48" s="45">
        <v>23</v>
      </c>
      <c r="B48" s="92" t="s">
        <v>31</v>
      </c>
      <c r="C48" s="93" t="s">
        <v>32</v>
      </c>
      <c r="D48" s="92" t="s">
        <v>40</v>
      </c>
      <c r="E48" s="94">
        <v>15.38</v>
      </c>
      <c r="F48" s="95">
        <f>SUM(E48*2/100)</f>
        <v>0.30760000000000004</v>
      </c>
      <c r="G48" s="13">
        <v>90.61</v>
      </c>
      <c r="H48" s="96">
        <f t="shared" si="8"/>
        <v>2.7871636000000002E-2</v>
      </c>
      <c r="I48" s="13">
        <f>F48/2*G48</f>
        <v>13.935818000000001</v>
      </c>
      <c r="J48" s="27"/>
      <c r="L48" s="21"/>
      <c r="M48" s="22"/>
      <c r="N48" s="23"/>
    </row>
    <row r="49" spans="1:14" ht="15.75" hidden="1" customHeight="1">
      <c r="A49" s="45">
        <v>24</v>
      </c>
      <c r="B49" s="92" t="s">
        <v>54</v>
      </c>
      <c r="C49" s="93" t="s">
        <v>97</v>
      </c>
      <c r="D49" s="92" t="s">
        <v>155</v>
      </c>
      <c r="E49" s="94">
        <v>823</v>
      </c>
      <c r="F49" s="95">
        <f>SUM(E49*5/1000)</f>
        <v>4.1150000000000002</v>
      </c>
      <c r="G49" s="13">
        <v>1711.28</v>
      </c>
      <c r="H49" s="96">
        <f t="shared" si="8"/>
        <v>7.0419171999999994</v>
      </c>
      <c r="I49" s="13">
        <f>F49/5*G49</f>
        <v>1408.3834400000001</v>
      </c>
      <c r="J49" s="27"/>
      <c r="L49" s="21"/>
      <c r="M49" s="22"/>
      <c r="N49" s="23"/>
    </row>
    <row r="50" spans="1:14" ht="31.5" hidden="1" customHeight="1">
      <c r="A50" s="45">
        <v>25</v>
      </c>
      <c r="B50" s="92" t="s">
        <v>108</v>
      </c>
      <c r="C50" s="93" t="s">
        <v>97</v>
      </c>
      <c r="D50" s="92" t="s">
        <v>40</v>
      </c>
      <c r="E50" s="94">
        <v>823</v>
      </c>
      <c r="F50" s="95">
        <f>SUM(E50*2/1000)</f>
        <v>1.6459999999999999</v>
      </c>
      <c r="G50" s="13">
        <v>1510.06</v>
      </c>
      <c r="H50" s="96">
        <f t="shared" si="8"/>
        <v>2.48555876</v>
      </c>
      <c r="I50" s="13">
        <f>F50/2*G50</f>
        <v>1242.7793799999999</v>
      </c>
      <c r="J50" s="27"/>
      <c r="L50" s="21"/>
      <c r="M50" s="22"/>
      <c r="N50" s="23"/>
    </row>
    <row r="51" spans="1:14" ht="31.5" hidden="1" customHeight="1">
      <c r="A51" s="45">
        <v>26</v>
      </c>
      <c r="B51" s="92" t="s">
        <v>109</v>
      </c>
      <c r="C51" s="93" t="s">
        <v>36</v>
      </c>
      <c r="D51" s="92" t="s">
        <v>40</v>
      </c>
      <c r="E51" s="94">
        <v>9</v>
      </c>
      <c r="F51" s="95">
        <f>SUM(E51*2/100)</f>
        <v>0.18</v>
      </c>
      <c r="G51" s="13">
        <v>3850.4</v>
      </c>
      <c r="H51" s="96">
        <f t="shared" si="8"/>
        <v>0.69307200000000002</v>
      </c>
      <c r="I51" s="13">
        <f t="shared" ref="I51:I52" si="10">F51/2*G51</f>
        <v>346.536</v>
      </c>
      <c r="J51" s="27"/>
      <c r="L51" s="21"/>
      <c r="M51" s="22"/>
      <c r="N51" s="23"/>
    </row>
    <row r="52" spans="1:14" ht="15.75" hidden="1" customHeight="1">
      <c r="A52" s="45">
        <v>27</v>
      </c>
      <c r="B52" s="92" t="s">
        <v>37</v>
      </c>
      <c r="C52" s="93" t="s">
        <v>38</v>
      </c>
      <c r="D52" s="92" t="s">
        <v>40</v>
      </c>
      <c r="E52" s="94">
        <v>1</v>
      </c>
      <c r="F52" s="95">
        <v>0.02</v>
      </c>
      <c r="G52" s="13">
        <v>7033.13</v>
      </c>
      <c r="H52" s="96">
        <f t="shared" si="8"/>
        <v>0.1406626</v>
      </c>
      <c r="I52" s="13">
        <f t="shared" si="10"/>
        <v>70.331299999999999</v>
      </c>
      <c r="J52" s="27"/>
      <c r="L52" s="21"/>
      <c r="M52" s="22"/>
      <c r="N52" s="23"/>
    </row>
    <row r="53" spans="1:14" ht="15.75" customHeight="1">
      <c r="A53" s="45">
        <v>8</v>
      </c>
      <c r="B53" s="92" t="s">
        <v>128</v>
      </c>
      <c r="C53" s="93" t="s">
        <v>110</v>
      </c>
      <c r="D53" s="92" t="s">
        <v>68</v>
      </c>
      <c r="E53" s="94">
        <v>36</v>
      </c>
      <c r="F53" s="95">
        <f>SUM(E53*3)</f>
        <v>108</v>
      </c>
      <c r="G53" s="13">
        <v>175.6</v>
      </c>
      <c r="H53" s="96">
        <f t="shared" si="8"/>
        <v>18.9648</v>
      </c>
      <c r="I53" s="13">
        <f>E53*G53</f>
        <v>6321.5999999999995</v>
      </c>
      <c r="J53" s="27"/>
      <c r="L53" s="21"/>
      <c r="M53" s="22"/>
      <c r="N53" s="23"/>
    </row>
    <row r="54" spans="1:14" ht="15.75" customHeight="1">
      <c r="A54" s="45">
        <v>9</v>
      </c>
      <c r="B54" s="92" t="s">
        <v>39</v>
      </c>
      <c r="C54" s="93" t="s">
        <v>110</v>
      </c>
      <c r="D54" s="92" t="s">
        <v>68</v>
      </c>
      <c r="E54" s="94">
        <v>36</v>
      </c>
      <c r="F54" s="95">
        <f>SUM(E54)*3</f>
        <v>108</v>
      </c>
      <c r="G54" s="13">
        <v>81.73</v>
      </c>
      <c r="H54" s="96">
        <f t="shared" si="8"/>
        <v>8.8268400000000007</v>
      </c>
      <c r="I54" s="13">
        <f>E54*G54</f>
        <v>2942.28</v>
      </c>
      <c r="J54" s="27"/>
      <c r="L54" s="21"/>
      <c r="M54" s="22"/>
      <c r="N54" s="23"/>
    </row>
    <row r="55" spans="1:14" ht="15.75" customHeight="1">
      <c r="A55" s="132" t="s">
        <v>164</v>
      </c>
      <c r="B55" s="133"/>
      <c r="C55" s="133"/>
      <c r="D55" s="133"/>
      <c r="E55" s="133"/>
      <c r="F55" s="133"/>
      <c r="G55" s="133"/>
      <c r="H55" s="133"/>
      <c r="I55" s="134"/>
      <c r="J55" s="27"/>
      <c r="L55" s="21"/>
      <c r="M55" s="22"/>
      <c r="N55" s="23"/>
    </row>
    <row r="56" spans="1:14" ht="15.75" customHeight="1">
      <c r="A56" s="57"/>
      <c r="B56" s="52" t="s">
        <v>41</v>
      </c>
      <c r="C56" s="17"/>
      <c r="D56" s="16"/>
      <c r="E56" s="16"/>
      <c r="F56" s="16"/>
      <c r="G56" s="33"/>
      <c r="H56" s="33"/>
      <c r="I56" s="19"/>
      <c r="J56" s="27"/>
      <c r="L56" s="21"/>
      <c r="M56" s="22"/>
      <c r="N56" s="23"/>
    </row>
    <row r="57" spans="1:14" ht="31.5" hidden="1" customHeight="1">
      <c r="A57" s="45">
        <v>12</v>
      </c>
      <c r="B57" s="92" t="s">
        <v>156</v>
      </c>
      <c r="C57" s="93" t="s">
        <v>86</v>
      </c>
      <c r="D57" s="92" t="s">
        <v>111</v>
      </c>
      <c r="E57" s="94">
        <v>71.02</v>
      </c>
      <c r="F57" s="95">
        <f>SUM(E57*6/100)</f>
        <v>4.2611999999999997</v>
      </c>
      <c r="G57" s="13">
        <v>2306.62</v>
      </c>
      <c r="H57" s="96">
        <f>SUM(F57*G57/1000)</f>
        <v>9.8289691439999984</v>
      </c>
      <c r="I57" s="13">
        <f>F57/6*G57</f>
        <v>1638.1615239999999</v>
      </c>
      <c r="J57" s="27"/>
      <c r="L57" s="21"/>
      <c r="M57" s="22"/>
      <c r="N57" s="23"/>
    </row>
    <row r="58" spans="1:14" ht="15.75" customHeight="1">
      <c r="A58" s="45">
        <v>10</v>
      </c>
      <c r="B58" s="92" t="s">
        <v>112</v>
      </c>
      <c r="C58" s="93" t="s">
        <v>157</v>
      </c>
      <c r="D58" s="92" t="s">
        <v>249</v>
      </c>
      <c r="E58" s="100"/>
      <c r="F58" s="95">
        <v>2</v>
      </c>
      <c r="G58" s="95">
        <v>1501</v>
      </c>
      <c r="H58" s="96">
        <f>SUM(F58*G58/1000)</f>
        <v>3.0019999999999998</v>
      </c>
      <c r="I58" s="13">
        <f>G58*1</f>
        <v>1501</v>
      </c>
      <c r="J58" s="27"/>
      <c r="L58" s="21"/>
      <c r="M58" s="22"/>
      <c r="N58" s="23"/>
    </row>
    <row r="59" spans="1:14" ht="15.75" hidden="1" customHeight="1">
      <c r="A59" s="45"/>
      <c r="B59" s="79" t="s">
        <v>42</v>
      </c>
      <c r="C59" s="79"/>
      <c r="D59" s="79"/>
      <c r="E59" s="79"/>
      <c r="F59" s="79"/>
      <c r="G59" s="79"/>
      <c r="H59" s="79"/>
      <c r="I59" s="39"/>
      <c r="J59" s="27"/>
      <c r="L59" s="21"/>
      <c r="M59" s="22"/>
      <c r="N59" s="23"/>
    </row>
    <row r="60" spans="1:14" ht="15.75" hidden="1" customHeight="1">
      <c r="A60" s="45">
        <v>27</v>
      </c>
      <c r="B60" s="92" t="s">
        <v>158</v>
      </c>
      <c r="C60" s="93" t="s">
        <v>50</v>
      </c>
      <c r="D60" s="92" t="s">
        <v>51</v>
      </c>
      <c r="E60" s="94">
        <v>434.4</v>
      </c>
      <c r="F60" s="96">
        <f>SUM(E60/100)</f>
        <v>4.3439999999999994</v>
      </c>
      <c r="G60" s="13">
        <v>987.51</v>
      </c>
      <c r="H60" s="101">
        <f>F60*G60/1000</f>
        <v>4.2897434399999996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1" t="s">
        <v>129</v>
      </c>
      <c r="C61" s="44"/>
      <c r="D61" s="70"/>
      <c r="E61" s="67"/>
      <c r="F61" s="67"/>
      <c r="G61" s="40"/>
      <c r="H61" s="40"/>
      <c r="I61" s="20"/>
      <c r="J61" s="27"/>
      <c r="L61" s="21"/>
      <c r="M61" s="22"/>
      <c r="N61" s="23"/>
    </row>
    <row r="62" spans="1:14" ht="15.75" hidden="1" customHeight="1">
      <c r="A62" s="45"/>
      <c r="B62" s="92" t="s">
        <v>130</v>
      </c>
      <c r="C62" s="93" t="s">
        <v>110</v>
      </c>
      <c r="D62" s="41" t="s">
        <v>64</v>
      </c>
      <c r="E62" s="94">
        <v>1</v>
      </c>
      <c r="F62" s="95">
        <f>E62</f>
        <v>1</v>
      </c>
      <c r="G62" s="102">
        <v>323.38</v>
      </c>
      <c r="H62" s="96">
        <f t="shared" ref="H62" si="11">SUM(F62*G62/1000)</f>
        <v>0.32338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9" t="s">
        <v>43</v>
      </c>
      <c r="C63" s="17"/>
      <c r="D63" s="41"/>
      <c r="E63" s="16"/>
      <c r="F63" s="16"/>
      <c r="G63" s="33"/>
      <c r="H63" s="33"/>
      <c r="I63" s="19"/>
      <c r="J63" s="27"/>
      <c r="L63" s="21"/>
      <c r="M63" s="22"/>
      <c r="N63" s="23"/>
    </row>
    <row r="64" spans="1:14" ht="15.75" hidden="1" customHeight="1">
      <c r="A64" s="45">
        <v>17</v>
      </c>
      <c r="B64" s="15" t="s">
        <v>44</v>
      </c>
      <c r="C64" s="17" t="s">
        <v>110</v>
      </c>
      <c r="D64" s="41" t="s">
        <v>64</v>
      </c>
      <c r="E64" s="19">
        <v>10</v>
      </c>
      <c r="F64" s="95">
        <v>10</v>
      </c>
      <c r="G64" s="13">
        <v>276.74</v>
      </c>
      <c r="H64" s="103">
        <f t="shared" ref="H64:H71" si="12">SUM(F64*G64/1000)</f>
        <v>2.7674000000000003</v>
      </c>
      <c r="I64" s="13">
        <v>0</v>
      </c>
      <c r="J64" s="27"/>
      <c r="L64" s="21"/>
      <c r="M64" s="22"/>
      <c r="N64" s="23"/>
    </row>
    <row r="65" spans="1:21" ht="15.75" hidden="1" customHeight="1">
      <c r="A65" s="33">
        <v>29</v>
      </c>
      <c r="B65" s="15" t="s">
        <v>45</v>
      </c>
      <c r="C65" s="17" t="s">
        <v>110</v>
      </c>
      <c r="D65" s="41" t="s">
        <v>64</v>
      </c>
      <c r="E65" s="19">
        <v>3</v>
      </c>
      <c r="F65" s="95">
        <v>3</v>
      </c>
      <c r="G65" s="13">
        <v>94.89</v>
      </c>
      <c r="H65" s="103">
        <f t="shared" si="12"/>
        <v>0.28467000000000003</v>
      </c>
      <c r="I65" s="13">
        <v>0</v>
      </c>
      <c r="J65" s="27"/>
      <c r="L65" s="21"/>
      <c r="M65" s="22"/>
      <c r="N65" s="23"/>
    </row>
    <row r="66" spans="1:21" ht="15.75" hidden="1" customHeight="1">
      <c r="A66" s="33">
        <v>28</v>
      </c>
      <c r="B66" s="15" t="s">
        <v>46</v>
      </c>
      <c r="C66" s="17" t="s">
        <v>113</v>
      </c>
      <c r="D66" s="15" t="s">
        <v>51</v>
      </c>
      <c r="E66" s="94">
        <v>7265</v>
      </c>
      <c r="F66" s="13">
        <f>SUM(E66/100)</f>
        <v>72.650000000000006</v>
      </c>
      <c r="G66" s="13">
        <v>263.99</v>
      </c>
      <c r="H66" s="103">
        <f t="shared" si="12"/>
        <v>19.178873500000002</v>
      </c>
      <c r="I66" s="13">
        <f>F66*G66</f>
        <v>19178.873500000002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47</v>
      </c>
      <c r="C67" s="17" t="s">
        <v>114</v>
      </c>
      <c r="D67" s="15" t="s">
        <v>51</v>
      </c>
      <c r="E67" s="94">
        <v>7265</v>
      </c>
      <c r="F67" s="13">
        <f>SUM(E67/1000)</f>
        <v>7.2649999999999997</v>
      </c>
      <c r="G67" s="13">
        <v>205.57</v>
      </c>
      <c r="H67" s="103">
        <f t="shared" si="12"/>
        <v>1.4934660500000001</v>
      </c>
      <c r="I67" s="13">
        <f t="shared" ref="I67:I70" si="13">F67*G67</f>
        <v>1493.46605</v>
      </c>
      <c r="J67" s="27"/>
      <c r="L67" s="21"/>
      <c r="M67" s="22"/>
      <c r="N67" s="23"/>
    </row>
    <row r="68" spans="1:21" ht="15.75" hidden="1" customHeight="1">
      <c r="A68" s="33">
        <v>30</v>
      </c>
      <c r="B68" s="15" t="s">
        <v>48</v>
      </c>
      <c r="C68" s="17" t="s">
        <v>74</v>
      </c>
      <c r="D68" s="15" t="s">
        <v>51</v>
      </c>
      <c r="E68" s="94">
        <v>1090</v>
      </c>
      <c r="F68" s="13">
        <f>SUM(E68/100)</f>
        <v>10.9</v>
      </c>
      <c r="G68" s="13">
        <v>2581.5300000000002</v>
      </c>
      <c r="H68" s="103">
        <f t="shared" si="12"/>
        <v>28.138677000000005</v>
      </c>
      <c r="I68" s="13">
        <f t="shared" si="13"/>
        <v>28138.677000000003</v>
      </c>
      <c r="J68" s="27"/>
      <c r="L68" s="21"/>
    </row>
    <row r="69" spans="1:21" ht="15.75" hidden="1" customHeight="1">
      <c r="A69" s="33">
        <v>31</v>
      </c>
      <c r="B69" s="104" t="s">
        <v>115</v>
      </c>
      <c r="C69" s="17" t="s">
        <v>30</v>
      </c>
      <c r="D69" s="15"/>
      <c r="E69" s="94">
        <v>7.4</v>
      </c>
      <c r="F69" s="13">
        <f>SUM(E69)</f>
        <v>7.4</v>
      </c>
      <c r="G69" s="13">
        <v>47.45</v>
      </c>
      <c r="H69" s="103">
        <f t="shared" si="12"/>
        <v>0.35113000000000005</v>
      </c>
      <c r="I69" s="13">
        <f t="shared" si="13"/>
        <v>351.13000000000005</v>
      </c>
    </row>
    <row r="70" spans="1:21" ht="15.75" hidden="1" customHeight="1">
      <c r="A70" s="33">
        <v>32</v>
      </c>
      <c r="B70" s="104" t="s">
        <v>159</v>
      </c>
      <c r="C70" s="17" t="s">
        <v>30</v>
      </c>
      <c r="D70" s="15"/>
      <c r="E70" s="94">
        <v>7.4</v>
      </c>
      <c r="F70" s="13">
        <f>SUM(E70)</f>
        <v>7.4</v>
      </c>
      <c r="G70" s="13">
        <v>44.27</v>
      </c>
      <c r="H70" s="103">
        <f t="shared" si="12"/>
        <v>0.327598</v>
      </c>
      <c r="I70" s="13">
        <f t="shared" si="13"/>
        <v>327.59800000000001</v>
      </c>
    </row>
    <row r="71" spans="1:21" ht="15.75" hidden="1" customHeight="1">
      <c r="A71" s="33">
        <v>13</v>
      </c>
      <c r="B71" s="15" t="s">
        <v>55</v>
      </c>
      <c r="C71" s="17" t="s">
        <v>56</v>
      </c>
      <c r="D71" s="15" t="s">
        <v>51</v>
      </c>
      <c r="E71" s="19">
        <v>3</v>
      </c>
      <c r="F71" s="95">
        <f>SUM(E71)</f>
        <v>3</v>
      </c>
      <c r="G71" s="13">
        <v>62.07</v>
      </c>
      <c r="H71" s="103">
        <f t="shared" si="12"/>
        <v>0.18621000000000001</v>
      </c>
      <c r="I71" s="13">
        <v>0</v>
      </c>
    </row>
    <row r="72" spans="1:21" ht="15.75" hidden="1" customHeight="1">
      <c r="A72" s="57"/>
      <c r="B72" s="79" t="s">
        <v>116</v>
      </c>
      <c r="C72" s="79"/>
      <c r="D72" s="79"/>
      <c r="E72" s="79"/>
      <c r="F72" s="79"/>
      <c r="G72" s="79"/>
      <c r="H72" s="79"/>
      <c r="I72" s="19"/>
      <c r="J72" s="29"/>
      <c r="K72" s="29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5.75" hidden="1" customHeight="1">
      <c r="A73" s="33">
        <v>14</v>
      </c>
      <c r="B73" s="105" t="s">
        <v>117</v>
      </c>
      <c r="C73" s="25"/>
      <c r="D73" s="24"/>
      <c r="E73" s="87"/>
      <c r="F73" s="106">
        <v>1</v>
      </c>
      <c r="G73" s="106">
        <v>12171.2</v>
      </c>
      <c r="H73" s="13">
        <f>G73*F73/1000</f>
        <v>12.171200000000001</v>
      </c>
      <c r="I73" s="13">
        <f>G73</f>
        <v>12171.2</v>
      </c>
      <c r="J73" s="3"/>
      <c r="K73" s="3"/>
      <c r="L73" s="3"/>
      <c r="M73" s="3"/>
      <c r="N73" s="3"/>
      <c r="O73" s="3"/>
      <c r="P73" s="3"/>
      <c r="Q73" s="3"/>
      <c r="S73" s="3"/>
      <c r="T73" s="3"/>
      <c r="U73" s="3"/>
    </row>
    <row r="74" spans="1:21" ht="15.75" hidden="1" customHeight="1">
      <c r="A74" s="33"/>
      <c r="B74" s="53" t="s">
        <v>69</v>
      </c>
      <c r="C74" s="53"/>
      <c r="D74" s="53"/>
      <c r="E74" s="19"/>
      <c r="F74" s="19"/>
      <c r="G74" s="33"/>
      <c r="H74" s="33"/>
      <c r="I74" s="19"/>
      <c r="J74" s="5"/>
      <c r="K74" s="5"/>
      <c r="L74" s="5"/>
      <c r="M74" s="5"/>
      <c r="N74" s="5"/>
      <c r="O74" s="5"/>
      <c r="P74" s="5"/>
      <c r="Q74" s="5"/>
      <c r="R74" s="131"/>
      <c r="S74" s="131"/>
      <c r="T74" s="131"/>
      <c r="U74" s="131"/>
    </row>
    <row r="75" spans="1:21" ht="15.75" hidden="1" customHeight="1">
      <c r="A75" s="33"/>
      <c r="B75" s="15" t="s">
        <v>131</v>
      </c>
      <c r="C75" s="17" t="s">
        <v>118</v>
      </c>
      <c r="D75" s="41" t="s">
        <v>64</v>
      </c>
      <c r="E75" s="19">
        <v>1</v>
      </c>
      <c r="F75" s="13">
        <f>E75</f>
        <v>1</v>
      </c>
      <c r="G75" s="13">
        <v>976.4</v>
      </c>
      <c r="H75" s="103">
        <f>F75*G75/1000</f>
        <v>0.97639999999999993</v>
      </c>
      <c r="I75" s="13">
        <v>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5.75" hidden="1" customHeight="1">
      <c r="A76" s="33"/>
      <c r="B76" s="15" t="s">
        <v>119</v>
      </c>
      <c r="C76" s="17" t="s">
        <v>120</v>
      </c>
      <c r="D76" s="15"/>
      <c r="E76" s="19">
        <v>1</v>
      </c>
      <c r="F76" s="13">
        <v>1</v>
      </c>
      <c r="G76" s="13">
        <v>750</v>
      </c>
      <c r="H76" s="103">
        <f>F76*G76/1000</f>
        <v>0.75</v>
      </c>
      <c r="I76" s="13">
        <v>0</v>
      </c>
    </row>
    <row r="77" spans="1:21" ht="15.75" hidden="1" customHeight="1">
      <c r="A77" s="33"/>
      <c r="B77" s="15" t="s">
        <v>70</v>
      </c>
      <c r="C77" s="17" t="s">
        <v>72</v>
      </c>
      <c r="D77" s="41" t="s">
        <v>64</v>
      </c>
      <c r="E77" s="19">
        <v>3</v>
      </c>
      <c r="F77" s="13">
        <f>SUM(E77/100)</f>
        <v>0.03</v>
      </c>
      <c r="G77" s="13">
        <v>624.16999999999996</v>
      </c>
      <c r="H77" s="103">
        <f>F77*G77/1000</f>
        <v>1.8725099999999998E-2</v>
      </c>
      <c r="I77" s="13">
        <v>0</v>
      </c>
    </row>
    <row r="78" spans="1:21" ht="15.75" hidden="1" customHeight="1">
      <c r="A78" s="33"/>
      <c r="B78" s="15" t="s">
        <v>71</v>
      </c>
      <c r="C78" s="17" t="s">
        <v>28</v>
      </c>
      <c r="D78" s="41" t="s">
        <v>64</v>
      </c>
      <c r="E78" s="19">
        <v>1</v>
      </c>
      <c r="F78" s="13">
        <v>1</v>
      </c>
      <c r="G78" s="13">
        <v>1061.4100000000001</v>
      </c>
      <c r="H78" s="103">
        <f>F78*G78/1000</f>
        <v>1.0614100000000002</v>
      </c>
      <c r="I78" s="13">
        <v>0</v>
      </c>
    </row>
    <row r="79" spans="1:21" ht="15.75" hidden="1" customHeight="1">
      <c r="A79" s="33">
        <v>17</v>
      </c>
      <c r="B79" s="15" t="s">
        <v>132</v>
      </c>
      <c r="C79" s="17" t="s">
        <v>28</v>
      </c>
      <c r="D79" s="41" t="s">
        <v>64</v>
      </c>
      <c r="E79" s="19">
        <v>1</v>
      </c>
      <c r="F79" s="95">
        <f>SUM(E79)</f>
        <v>1</v>
      </c>
      <c r="G79" s="13">
        <v>446.12</v>
      </c>
      <c r="H79" s="103">
        <f t="shared" ref="H79" si="14">SUM(F79*G79/1000)</f>
        <v>0.44612000000000002</v>
      </c>
      <c r="I79" s="13">
        <v>0</v>
      </c>
    </row>
    <row r="80" spans="1:21" ht="15.75" hidden="1" customHeight="1">
      <c r="A80" s="33"/>
      <c r="B80" s="54" t="s">
        <v>73</v>
      </c>
      <c r="C80" s="42"/>
      <c r="D80" s="33"/>
      <c r="E80" s="19"/>
      <c r="F80" s="19"/>
      <c r="G80" s="40"/>
      <c r="H80" s="40"/>
      <c r="I80" s="19"/>
    </row>
    <row r="81" spans="1:9" ht="15.75" hidden="1" customHeight="1">
      <c r="A81" s="33">
        <v>39</v>
      </c>
      <c r="B81" s="56" t="s">
        <v>121</v>
      </c>
      <c r="C81" s="17" t="s">
        <v>74</v>
      </c>
      <c r="D81" s="15"/>
      <c r="E81" s="19"/>
      <c r="F81" s="13">
        <v>1.35</v>
      </c>
      <c r="G81" s="13">
        <v>3433.68</v>
      </c>
      <c r="H81" s="103">
        <f t="shared" ref="H81" si="15">SUM(F81*G81/1000)</f>
        <v>4.6354679999999995</v>
      </c>
      <c r="I81" s="13">
        <v>0</v>
      </c>
    </row>
    <row r="82" spans="1:9" ht="15.75" hidden="1" customHeight="1">
      <c r="A82" s="33"/>
      <c r="B82" s="79" t="s">
        <v>133</v>
      </c>
      <c r="C82" s="72"/>
      <c r="D82" s="35"/>
      <c r="E82" s="12"/>
      <c r="F82" s="12"/>
      <c r="G82" s="40"/>
      <c r="H82" s="40"/>
      <c r="I82" s="19"/>
    </row>
    <row r="83" spans="1:9" ht="31.5" hidden="1" customHeight="1">
      <c r="A83" s="33"/>
      <c r="B83" s="15" t="s">
        <v>134</v>
      </c>
      <c r="C83" s="17" t="s">
        <v>135</v>
      </c>
      <c r="D83" s="41" t="s">
        <v>64</v>
      </c>
      <c r="E83" s="19">
        <v>6</v>
      </c>
      <c r="F83" s="13">
        <f>E83</f>
        <v>6</v>
      </c>
      <c r="G83" s="13">
        <v>297.44</v>
      </c>
      <c r="H83" s="103">
        <f t="shared" ref="H83:H93" si="16">SUM(F83*G83/1000)</f>
        <v>1.7846399999999998</v>
      </c>
      <c r="I83" s="13">
        <v>0</v>
      </c>
    </row>
    <row r="84" spans="1:9" ht="15.75" hidden="1" customHeight="1">
      <c r="A84" s="33"/>
      <c r="B84" s="15" t="s">
        <v>136</v>
      </c>
      <c r="C84" s="17" t="s">
        <v>79</v>
      </c>
      <c r="D84" s="41" t="s">
        <v>64</v>
      </c>
      <c r="E84" s="19">
        <v>12</v>
      </c>
      <c r="F84" s="13">
        <f>E84</f>
        <v>12</v>
      </c>
      <c r="G84" s="13">
        <v>122.35</v>
      </c>
      <c r="H84" s="103">
        <f t="shared" si="16"/>
        <v>1.4681999999999997</v>
      </c>
      <c r="I84" s="13">
        <v>0</v>
      </c>
    </row>
    <row r="85" spans="1:9" ht="15.75" hidden="1" customHeight="1">
      <c r="A85" s="33">
        <v>12</v>
      </c>
      <c r="B85" s="15" t="s">
        <v>137</v>
      </c>
      <c r="C85" s="17" t="s">
        <v>138</v>
      </c>
      <c r="D85" s="41" t="s">
        <v>64</v>
      </c>
      <c r="E85" s="19">
        <v>9</v>
      </c>
      <c r="F85" s="13">
        <f>E85/3</f>
        <v>3</v>
      </c>
      <c r="G85" s="13">
        <v>1063.47</v>
      </c>
      <c r="H85" s="103">
        <f t="shared" si="16"/>
        <v>3.19041</v>
      </c>
      <c r="I85" s="13">
        <f>G85*((10+10+10+15+10)/3)</f>
        <v>19496.95</v>
      </c>
    </row>
    <row r="86" spans="1:9" ht="31.5" hidden="1" customHeight="1">
      <c r="A86" s="33"/>
      <c r="B86" s="15" t="s">
        <v>139</v>
      </c>
      <c r="C86" s="17" t="s">
        <v>140</v>
      </c>
      <c r="D86" s="41" t="s">
        <v>64</v>
      </c>
      <c r="E86" s="19">
        <v>10</v>
      </c>
      <c r="F86" s="13">
        <f>E86/10</f>
        <v>1</v>
      </c>
      <c r="G86" s="13">
        <v>297.99</v>
      </c>
      <c r="H86" s="103">
        <f t="shared" si="16"/>
        <v>0.29799000000000003</v>
      </c>
      <c r="I86" s="13">
        <v>0</v>
      </c>
    </row>
    <row r="87" spans="1:9" ht="31.5" hidden="1" customHeight="1">
      <c r="A87" s="33"/>
      <c r="B87" s="15" t="s">
        <v>141</v>
      </c>
      <c r="C87" s="17" t="s">
        <v>79</v>
      </c>
      <c r="D87" s="41" t="s">
        <v>64</v>
      </c>
      <c r="E87" s="19">
        <v>6</v>
      </c>
      <c r="F87" s="13">
        <f t="shared" ref="F87:F92" si="17">E87</f>
        <v>6</v>
      </c>
      <c r="G87" s="13">
        <v>1564.44</v>
      </c>
      <c r="H87" s="103">
        <f t="shared" si="16"/>
        <v>9.3866399999999999</v>
      </c>
      <c r="I87" s="13">
        <v>0</v>
      </c>
    </row>
    <row r="88" spans="1:9" ht="31.5" hidden="1" customHeight="1">
      <c r="A88" s="33"/>
      <c r="B88" s="15" t="s">
        <v>142</v>
      </c>
      <c r="C88" s="17" t="s">
        <v>79</v>
      </c>
      <c r="D88" s="41" t="s">
        <v>64</v>
      </c>
      <c r="E88" s="19">
        <v>6</v>
      </c>
      <c r="F88" s="13">
        <f t="shared" si="17"/>
        <v>6</v>
      </c>
      <c r="G88" s="13">
        <v>1906.89</v>
      </c>
      <c r="H88" s="103">
        <f t="shared" si="16"/>
        <v>11.44134</v>
      </c>
      <c r="I88" s="13">
        <v>0</v>
      </c>
    </row>
    <row r="89" spans="1:9" ht="31.5" hidden="1" customHeight="1">
      <c r="A89" s="33"/>
      <c r="B89" s="15" t="s">
        <v>143</v>
      </c>
      <c r="C89" s="17" t="s">
        <v>79</v>
      </c>
      <c r="D89" s="41" t="s">
        <v>64</v>
      </c>
      <c r="E89" s="19">
        <v>6</v>
      </c>
      <c r="F89" s="13">
        <f t="shared" si="17"/>
        <v>6</v>
      </c>
      <c r="G89" s="13">
        <v>664.35</v>
      </c>
      <c r="H89" s="103">
        <f t="shared" si="16"/>
        <v>3.9861000000000004</v>
      </c>
      <c r="I89" s="13">
        <v>0</v>
      </c>
    </row>
    <row r="90" spans="1:9" ht="31.5" hidden="1" customHeight="1">
      <c r="A90" s="33"/>
      <c r="B90" s="15" t="s">
        <v>144</v>
      </c>
      <c r="C90" s="17" t="s">
        <v>79</v>
      </c>
      <c r="D90" s="41" t="s">
        <v>64</v>
      </c>
      <c r="E90" s="19">
        <v>6</v>
      </c>
      <c r="F90" s="13">
        <f t="shared" si="17"/>
        <v>6</v>
      </c>
      <c r="G90" s="13">
        <v>778.85</v>
      </c>
      <c r="H90" s="103">
        <f t="shared" si="16"/>
        <v>4.6731000000000007</v>
      </c>
      <c r="I90" s="13">
        <v>0</v>
      </c>
    </row>
    <row r="91" spans="1:9" ht="15.75" hidden="1" customHeight="1">
      <c r="A91" s="33"/>
      <c r="B91" s="15" t="s">
        <v>145</v>
      </c>
      <c r="C91" s="17" t="s">
        <v>118</v>
      </c>
      <c r="D91" s="41" t="s">
        <v>64</v>
      </c>
      <c r="E91" s="19">
        <v>4</v>
      </c>
      <c r="F91" s="13">
        <f t="shared" si="17"/>
        <v>4</v>
      </c>
      <c r="G91" s="13">
        <v>498.11</v>
      </c>
      <c r="H91" s="103">
        <f t="shared" si="16"/>
        <v>1.99244</v>
      </c>
      <c r="I91" s="13">
        <v>0</v>
      </c>
    </row>
    <row r="92" spans="1:9" ht="31.5" hidden="1" customHeight="1">
      <c r="A92" s="33"/>
      <c r="B92" s="15" t="s">
        <v>146</v>
      </c>
      <c r="C92" s="17" t="s">
        <v>79</v>
      </c>
      <c r="D92" s="41" t="s">
        <v>64</v>
      </c>
      <c r="E92" s="19">
        <v>6</v>
      </c>
      <c r="F92" s="13">
        <f t="shared" si="17"/>
        <v>6</v>
      </c>
      <c r="G92" s="13">
        <v>1264.3399999999999</v>
      </c>
      <c r="H92" s="103">
        <f t="shared" si="16"/>
        <v>7.5860399999999988</v>
      </c>
      <c r="I92" s="13">
        <v>0</v>
      </c>
    </row>
    <row r="93" spans="1:9" ht="15.75" hidden="1" customHeight="1">
      <c r="A93" s="33">
        <v>33</v>
      </c>
      <c r="B93" s="15" t="s">
        <v>147</v>
      </c>
      <c r="C93" s="17" t="s">
        <v>27</v>
      </c>
      <c r="D93" s="15" t="s">
        <v>40</v>
      </c>
      <c r="E93" s="19">
        <v>823</v>
      </c>
      <c r="F93" s="13">
        <f>E93*2/1000</f>
        <v>1.6459999999999999</v>
      </c>
      <c r="G93" s="13">
        <v>1707.71</v>
      </c>
      <c r="H93" s="103">
        <f t="shared" si="16"/>
        <v>2.8108906600000001</v>
      </c>
      <c r="I93" s="13">
        <f>F93/2*G93</f>
        <v>1405.44533</v>
      </c>
    </row>
    <row r="94" spans="1:9" ht="15.75" customHeight="1">
      <c r="A94" s="144" t="s">
        <v>165</v>
      </c>
      <c r="B94" s="145"/>
      <c r="C94" s="145"/>
      <c r="D94" s="145"/>
      <c r="E94" s="145"/>
      <c r="F94" s="145"/>
      <c r="G94" s="145"/>
      <c r="H94" s="145"/>
      <c r="I94" s="146"/>
    </row>
    <row r="95" spans="1:9" ht="15.75" customHeight="1">
      <c r="A95" s="33">
        <v>11</v>
      </c>
      <c r="B95" s="92" t="s">
        <v>122</v>
      </c>
      <c r="C95" s="17" t="s">
        <v>52</v>
      </c>
      <c r="D95" s="108"/>
      <c r="E95" s="13">
        <v>1832</v>
      </c>
      <c r="F95" s="13">
        <f>SUM(E95*12)</f>
        <v>21984</v>
      </c>
      <c r="G95" s="13">
        <v>2.95</v>
      </c>
      <c r="H95" s="103">
        <f>SUM(F95*G95/1000)</f>
        <v>64.852800000000002</v>
      </c>
      <c r="I95" s="13">
        <f>F95/12*G95</f>
        <v>5404.4000000000005</v>
      </c>
    </row>
    <row r="96" spans="1:9" ht="31.5" customHeight="1">
      <c r="A96" s="33">
        <v>12</v>
      </c>
      <c r="B96" s="15" t="s">
        <v>75</v>
      </c>
      <c r="C96" s="17" t="s">
        <v>160</v>
      </c>
      <c r="D96" s="108"/>
      <c r="E96" s="94">
        <v>1832</v>
      </c>
      <c r="F96" s="13">
        <f>E96*12</f>
        <v>21984</v>
      </c>
      <c r="G96" s="13">
        <v>3.05</v>
      </c>
      <c r="H96" s="103">
        <f>F96*G96/1000</f>
        <v>67.051199999999994</v>
      </c>
      <c r="I96" s="13">
        <f>F96/12*G96</f>
        <v>5587.5999999999995</v>
      </c>
    </row>
    <row r="97" spans="1:9" ht="15.75" customHeight="1">
      <c r="A97" s="57"/>
      <c r="B97" s="43" t="s">
        <v>78</v>
      </c>
      <c r="C97" s="45"/>
      <c r="D97" s="16"/>
      <c r="E97" s="16"/>
      <c r="F97" s="16"/>
      <c r="G97" s="19"/>
      <c r="H97" s="19"/>
      <c r="I97" s="36">
        <f>I96+I95+I58+I33+I31+I30+I27+I18+I17+I16+I54+I53</f>
        <v>29853.814466999997</v>
      </c>
    </row>
    <row r="98" spans="1:9" ht="15.75" customHeight="1">
      <c r="A98" s="147" t="s">
        <v>58</v>
      </c>
      <c r="B98" s="148"/>
      <c r="C98" s="148"/>
      <c r="D98" s="148"/>
      <c r="E98" s="148"/>
      <c r="F98" s="148"/>
      <c r="G98" s="148"/>
      <c r="H98" s="148"/>
      <c r="I98" s="149"/>
    </row>
    <row r="99" spans="1:9" ht="15.75" customHeight="1">
      <c r="A99" s="124">
        <v>13</v>
      </c>
      <c r="B99" s="112" t="s">
        <v>176</v>
      </c>
      <c r="C99" s="113" t="s">
        <v>177</v>
      </c>
      <c r="D99" s="112"/>
      <c r="E99" s="114"/>
      <c r="F99" s="115">
        <v>24</v>
      </c>
      <c r="G99" s="116">
        <v>1.4</v>
      </c>
      <c r="H99" s="117">
        <f>F99*G99/1000</f>
        <v>3.3599999999999991E-2</v>
      </c>
      <c r="I99" s="118">
        <f>G99*12</f>
        <v>16.799999999999997</v>
      </c>
    </row>
    <row r="100" spans="1:9" ht="15.75" customHeight="1">
      <c r="A100" s="109">
        <v>14</v>
      </c>
      <c r="B100" s="111" t="s">
        <v>181</v>
      </c>
      <c r="C100" s="45" t="s">
        <v>89</v>
      </c>
      <c r="D100" s="68"/>
      <c r="E100" s="40"/>
      <c r="F100" s="40">
        <v>1</v>
      </c>
      <c r="G100" s="40">
        <v>3587.49</v>
      </c>
      <c r="H100" s="107">
        <f t="shared" ref="H100" si="18">G100*F100/1000</f>
        <v>3.5874899999999998</v>
      </c>
      <c r="I100" s="110">
        <f>G100*0.196</f>
        <v>703.14804000000004</v>
      </c>
    </row>
    <row r="101" spans="1:9" ht="33" customHeight="1">
      <c r="A101" s="109">
        <v>15</v>
      </c>
      <c r="B101" s="122" t="s">
        <v>250</v>
      </c>
      <c r="C101" s="123" t="s">
        <v>211</v>
      </c>
      <c r="D101" s="42"/>
      <c r="E101" s="40"/>
      <c r="F101" s="40"/>
      <c r="G101" s="40">
        <v>1367</v>
      </c>
      <c r="H101" s="107"/>
      <c r="I101" s="110">
        <f>G101*1.5</f>
        <v>2050.5</v>
      </c>
    </row>
    <row r="102" spans="1:9" ht="15.75" customHeight="1">
      <c r="A102" s="109">
        <v>16</v>
      </c>
      <c r="B102" s="122" t="s">
        <v>107</v>
      </c>
      <c r="C102" s="123" t="s">
        <v>27</v>
      </c>
      <c r="D102" s="68"/>
      <c r="E102" s="40"/>
      <c r="F102" s="40"/>
      <c r="G102" s="40">
        <v>1160.81</v>
      </c>
      <c r="H102" s="107"/>
      <c r="I102" s="110">
        <f>G102*0.12</f>
        <v>139.29719999999998</v>
      </c>
    </row>
    <row r="103" spans="1:9" ht="31.5" customHeight="1">
      <c r="A103" s="109">
        <v>17</v>
      </c>
      <c r="B103" s="122" t="s">
        <v>251</v>
      </c>
      <c r="C103" s="123" t="s">
        <v>135</v>
      </c>
      <c r="D103" s="68"/>
      <c r="E103" s="40"/>
      <c r="F103" s="40"/>
      <c r="G103" s="40">
        <v>1498.31</v>
      </c>
      <c r="H103" s="107"/>
      <c r="I103" s="110">
        <f>G103*1</f>
        <v>1498.31</v>
      </c>
    </row>
    <row r="104" spans="1:9" ht="28.5" customHeight="1">
      <c r="A104" s="109">
        <v>18</v>
      </c>
      <c r="B104" s="122" t="s">
        <v>252</v>
      </c>
      <c r="C104" s="123" t="s">
        <v>253</v>
      </c>
      <c r="D104" s="68"/>
      <c r="E104" s="40"/>
      <c r="F104" s="40"/>
      <c r="G104" s="40">
        <v>4742.7700000000004</v>
      </c>
      <c r="H104" s="107"/>
      <c r="I104" s="110">
        <f>G104*0.25</f>
        <v>1185.6925000000001</v>
      </c>
    </row>
    <row r="105" spans="1:9" ht="15.75" customHeight="1">
      <c r="A105" s="109">
        <v>19</v>
      </c>
      <c r="B105" s="122" t="s">
        <v>254</v>
      </c>
      <c r="C105" s="123" t="s">
        <v>110</v>
      </c>
      <c r="D105" s="68"/>
      <c r="E105" s="40"/>
      <c r="F105" s="40"/>
      <c r="G105" s="40">
        <v>330</v>
      </c>
      <c r="H105" s="107"/>
      <c r="I105" s="110">
        <f>G105*1.5</f>
        <v>495</v>
      </c>
    </row>
    <row r="106" spans="1:9" ht="15.75" customHeight="1">
      <c r="A106" s="33"/>
      <c r="B106" s="50" t="s">
        <v>49</v>
      </c>
      <c r="C106" s="46"/>
      <c r="D106" s="58"/>
      <c r="E106" s="46">
        <v>1</v>
      </c>
      <c r="F106" s="46"/>
      <c r="G106" s="46"/>
      <c r="H106" s="46"/>
      <c r="I106" s="36">
        <f>SUM(I99:I105)</f>
        <v>6088.7477399999998</v>
      </c>
    </row>
    <row r="107" spans="1:9" ht="15.75" customHeight="1">
      <c r="A107" s="33"/>
      <c r="B107" s="56" t="s">
        <v>76</v>
      </c>
      <c r="C107" s="16"/>
      <c r="D107" s="16"/>
      <c r="E107" s="47"/>
      <c r="F107" s="47"/>
      <c r="G107" s="48"/>
      <c r="H107" s="48"/>
      <c r="I107" s="18">
        <v>0</v>
      </c>
    </row>
    <row r="108" spans="1:9" ht="15.75" customHeight="1">
      <c r="A108" s="59"/>
      <c r="B108" s="51" t="s">
        <v>161</v>
      </c>
      <c r="C108" s="38"/>
      <c r="D108" s="38"/>
      <c r="E108" s="38"/>
      <c r="F108" s="38"/>
      <c r="G108" s="38"/>
      <c r="H108" s="38"/>
      <c r="I108" s="49">
        <f>I97+I106</f>
        <v>35942.562206999995</v>
      </c>
    </row>
    <row r="109" spans="1:9" ht="15.75" customHeight="1">
      <c r="A109" s="136" t="s">
        <v>255</v>
      </c>
      <c r="B109" s="136"/>
      <c r="C109" s="136"/>
      <c r="D109" s="136"/>
      <c r="E109" s="136"/>
      <c r="F109" s="136"/>
      <c r="G109" s="136"/>
      <c r="H109" s="136"/>
      <c r="I109" s="136"/>
    </row>
    <row r="110" spans="1:9" ht="15.75" customHeight="1">
      <c r="A110" s="80"/>
      <c r="B110" s="150" t="s">
        <v>256</v>
      </c>
      <c r="C110" s="150"/>
      <c r="D110" s="150"/>
      <c r="E110" s="150"/>
      <c r="F110" s="150"/>
      <c r="G110" s="150"/>
      <c r="H110" s="90"/>
      <c r="I110" s="3"/>
    </row>
    <row r="111" spans="1:9" ht="15.75" customHeight="1">
      <c r="A111" s="74"/>
      <c r="B111" s="151" t="s">
        <v>6</v>
      </c>
      <c r="C111" s="151"/>
      <c r="D111" s="151"/>
      <c r="E111" s="151"/>
      <c r="F111" s="151"/>
      <c r="G111" s="151"/>
      <c r="H111" s="28"/>
      <c r="I111" s="5"/>
    </row>
    <row r="112" spans="1:9" ht="15.75" customHeight="1">
      <c r="A112" s="9"/>
      <c r="B112" s="9"/>
      <c r="C112" s="9"/>
      <c r="D112" s="9"/>
      <c r="E112" s="9"/>
      <c r="F112" s="9"/>
      <c r="G112" s="9"/>
      <c r="H112" s="9"/>
      <c r="I112" s="9"/>
    </row>
    <row r="113" spans="1:9" ht="15.75" customHeight="1">
      <c r="A113" s="135" t="s">
        <v>7</v>
      </c>
      <c r="B113" s="135"/>
      <c r="C113" s="135"/>
      <c r="D113" s="135"/>
      <c r="E113" s="135"/>
      <c r="F113" s="135"/>
      <c r="G113" s="135"/>
      <c r="H113" s="135"/>
      <c r="I113" s="135"/>
    </row>
    <row r="114" spans="1:9" ht="15.75" customHeight="1">
      <c r="A114" s="135" t="s">
        <v>8</v>
      </c>
      <c r="B114" s="135"/>
      <c r="C114" s="135"/>
      <c r="D114" s="135"/>
      <c r="E114" s="135"/>
      <c r="F114" s="135"/>
      <c r="G114" s="135"/>
      <c r="H114" s="135"/>
      <c r="I114" s="135"/>
    </row>
    <row r="115" spans="1:9" ht="15.75" customHeight="1">
      <c r="A115" s="155" t="s">
        <v>59</v>
      </c>
      <c r="B115" s="155"/>
      <c r="C115" s="155"/>
      <c r="D115" s="155"/>
      <c r="E115" s="155"/>
      <c r="F115" s="155"/>
      <c r="G115" s="155"/>
      <c r="H115" s="155"/>
      <c r="I115" s="155"/>
    </row>
    <row r="116" spans="1:9" ht="15.75" customHeight="1">
      <c r="A116" s="10"/>
    </row>
    <row r="117" spans="1:9" ht="15.75" customHeight="1">
      <c r="A117" s="156" t="s">
        <v>9</v>
      </c>
      <c r="B117" s="156"/>
      <c r="C117" s="156"/>
      <c r="D117" s="156"/>
      <c r="E117" s="156"/>
      <c r="F117" s="156"/>
      <c r="G117" s="156"/>
      <c r="H117" s="156"/>
      <c r="I117" s="156"/>
    </row>
    <row r="118" spans="1:9" ht="15.75" customHeight="1">
      <c r="A118" s="4"/>
    </row>
    <row r="119" spans="1:9" ht="15.75" customHeight="1">
      <c r="B119" s="77" t="s">
        <v>10</v>
      </c>
      <c r="C119" s="157" t="s">
        <v>85</v>
      </c>
      <c r="D119" s="157"/>
      <c r="E119" s="157"/>
      <c r="F119" s="88"/>
      <c r="I119" s="76"/>
    </row>
    <row r="120" spans="1:9" ht="15.75" customHeight="1">
      <c r="A120" s="74"/>
      <c r="C120" s="151" t="s">
        <v>11</v>
      </c>
      <c r="D120" s="151"/>
      <c r="E120" s="151"/>
      <c r="F120" s="28"/>
      <c r="I120" s="75" t="s">
        <v>12</v>
      </c>
    </row>
    <row r="121" spans="1:9" ht="15.75" customHeight="1">
      <c r="A121" s="29"/>
      <c r="C121" s="11"/>
      <c r="D121" s="11"/>
      <c r="G121" s="11"/>
      <c r="H121" s="11"/>
    </row>
    <row r="122" spans="1:9" ht="15.75" customHeight="1">
      <c r="B122" s="77" t="s">
        <v>13</v>
      </c>
      <c r="C122" s="152"/>
      <c r="D122" s="152"/>
      <c r="E122" s="152"/>
      <c r="F122" s="89"/>
      <c r="I122" s="76"/>
    </row>
    <row r="123" spans="1:9" ht="15.75" customHeight="1">
      <c r="A123" s="74"/>
      <c r="C123" s="131" t="s">
        <v>11</v>
      </c>
      <c r="D123" s="131"/>
      <c r="E123" s="131"/>
      <c r="F123" s="74"/>
      <c r="I123" s="75" t="s">
        <v>12</v>
      </c>
    </row>
    <row r="124" spans="1:9" ht="15.75" customHeight="1">
      <c r="A124" s="4" t="s">
        <v>14</v>
      </c>
    </row>
    <row r="125" spans="1:9" ht="15.75" customHeight="1">
      <c r="A125" s="154" t="s">
        <v>15</v>
      </c>
      <c r="B125" s="154"/>
      <c r="C125" s="154"/>
      <c r="D125" s="154"/>
      <c r="E125" s="154"/>
      <c r="F125" s="154"/>
      <c r="G125" s="154"/>
      <c r="H125" s="154"/>
      <c r="I125" s="154"/>
    </row>
    <row r="126" spans="1:9" ht="45" customHeight="1">
      <c r="A126" s="153" t="s">
        <v>16</v>
      </c>
      <c r="B126" s="153"/>
      <c r="C126" s="153"/>
      <c r="D126" s="153"/>
      <c r="E126" s="153"/>
      <c r="F126" s="153"/>
      <c r="G126" s="153"/>
      <c r="H126" s="153"/>
      <c r="I126" s="153"/>
    </row>
    <row r="127" spans="1:9" ht="30" customHeight="1">
      <c r="A127" s="153" t="s">
        <v>17</v>
      </c>
      <c r="B127" s="153"/>
      <c r="C127" s="153"/>
      <c r="D127" s="153"/>
      <c r="E127" s="153"/>
      <c r="F127" s="153"/>
      <c r="G127" s="153"/>
      <c r="H127" s="153"/>
      <c r="I127" s="153"/>
    </row>
    <row r="128" spans="1:9" ht="30" customHeight="1">
      <c r="A128" s="153" t="s">
        <v>21</v>
      </c>
      <c r="B128" s="153"/>
      <c r="C128" s="153"/>
      <c r="D128" s="153"/>
      <c r="E128" s="153"/>
      <c r="F128" s="153"/>
      <c r="G128" s="153"/>
      <c r="H128" s="153"/>
      <c r="I128" s="153"/>
    </row>
    <row r="129" spans="1:9" ht="15" customHeight="1">
      <c r="A129" s="153" t="s">
        <v>20</v>
      </c>
      <c r="B129" s="153"/>
      <c r="C129" s="153"/>
      <c r="D129" s="153"/>
      <c r="E129" s="153"/>
      <c r="F129" s="153"/>
      <c r="G129" s="153"/>
      <c r="H129" s="153"/>
      <c r="I129" s="153"/>
    </row>
  </sheetData>
  <autoFilter ref="I12:I70"/>
  <mergeCells count="29">
    <mergeCell ref="A125:I125"/>
    <mergeCell ref="A126:I126"/>
    <mergeCell ref="A127:I127"/>
    <mergeCell ref="A128:I128"/>
    <mergeCell ref="A129:I129"/>
    <mergeCell ref="R74:U74"/>
    <mergeCell ref="C123:E123"/>
    <mergeCell ref="A98:I98"/>
    <mergeCell ref="A109:I109"/>
    <mergeCell ref="B110:G110"/>
    <mergeCell ref="B111:G111"/>
    <mergeCell ref="A113:I113"/>
    <mergeCell ref="A114:I114"/>
    <mergeCell ref="A115:I115"/>
    <mergeCell ref="A117:I117"/>
    <mergeCell ref="C119:E119"/>
    <mergeCell ref="C120:E120"/>
    <mergeCell ref="C122:E122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U125"/>
  <sheetViews>
    <sheetView workbookViewId="0">
      <selection activeCell="I107" sqref="I10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179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37" t="s">
        <v>172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123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257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43738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180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148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57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3">
        <v>1</v>
      </c>
      <c r="B16" s="92" t="s">
        <v>84</v>
      </c>
      <c r="C16" s="93" t="s">
        <v>86</v>
      </c>
      <c r="D16" s="92" t="s">
        <v>233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18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124</v>
      </c>
      <c r="C17" s="93" t="s">
        <v>86</v>
      </c>
      <c r="D17" s="92" t="s">
        <v>234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87</v>
      </c>
      <c r="C18" s="93" t="s">
        <v>86</v>
      </c>
      <c r="D18" s="92" t="s">
        <v>235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88</v>
      </c>
      <c r="C19" s="93" t="s">
        <v>89</v>
      </c>
      <c r="D19" s="92" t="s">
        <v>90</v>
      </c>
      <c r="E19" s="94">
        <v>15.3</v>
      </c>
      <c r="F19" s="95">
        <f>SUM(E19/10)</f>
        <v>1.53</v>
      </c>
      <c r="G19" s="95">
        <v>211.74</v>
      </c>
      <c r="H19" s="96">
        <f t="shared" ref="H19:H26" si="1">SUM(F19*G19/1000)</f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95</v>
      </c>
      <c r="C20" s="93" t="s">
        <v>50</v>
      </c>
      <c r="D20" s="92" t="s">
        <v>125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customHeight="1">
      <c r="A21" s="33">
        <v>4</v>
      </c>
      <c r="B21" s="92" t="s">
        <v>91</v>
      </c>
      <c r="C21" s="93" t="s">
        <v>86</v>
      </c>
      <c r="D21" s="92" t="s">
        <v>240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1"/>
        <v>0.106387488</v>
      </c>
      <c r="I21" s="13">
        <f t="shared" ref="I21:I22" si="2">F21/2*G21</f>
        <v>53.193744000000002</v>
      </c>
      <c r="J21" s="26"/>
      <c r="K21" s="8"/>
      <c r="L21" s="8"/>
      <c r="M21" s="8"/>
    </row>
    <row r="22" spans="1:13" ht="15.75" customHeight="1">
      <c r="A22" s="33">
        <v>5</v>
      </c>
      <c r="B22" s="92" t="s">
        <v>92</v>
      </c>
      <c r="C22" s="93" t="s">
        <v>86</v>
      </c>
      <c r="D22" s="92" t="s">
        <v>240</v>
      </c>
      <c r="E22" s="94">
        <v>8.68</v>
      </c>
      <c r="F22" s="95">
        <f>SUM(E22*2/100)</f>
        <v>0.1736</v>
      </c>
      <c r="G22" s="95">
        <v>268.92</v>
      </c>
      <c r="H22" s="96">
        <f t="shared" si="1"/>
        <v>4.6684512000000004E-2</v>
      </c>
      <c r="I22" s="13">
        <f t="shared" si="2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93</v>
      </c>
      <c r="C23" s="93" t="s">
        <v>50</v>
      </c>
      <c r="D23" s="92" t="s">
        <v>90</v>
      </c>
      <c r="E23" s="94">
        <v>215</v>
      </c>
      <c r="F23" s="95">
        <f>SUM(E23/100)</f>
        <v>2.15</v>
      </c>
      <c r="G23" s="95">
        <v>335.05</v>
      </c>
      <c r="H23" s="96">
        <f t="shared" si="1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94</v>
      </c>
      <c r="C24" s="93" t="s">
        <v>50</v>
      </c>
      <c r="D24" s="92" t="s">
        <v>90</v>
      </c>
      <c r="E24" s="97">
        <v>17.64</v>
      </c>
      <c r="F24" s="95">
        <f>SUM(E24/100)</f>
        <v>0.1764</v>
      </c>
      <c r="G24" s="95">
        <v>55.1</v>
      </c>
      <c r="H24" s="96">
        <f t="shared" si="1"/>
        <v>9.7196399999999999E-3</v>
      </c>
      <c r="I24" s="13">
        <f t="shared" ref="I24:I26" si="3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96</v>
      </c>
      <c r="C25" s="93" t="s">
        <v>50</v>
      </c>
      <c r="D25" s="92" t="s">
        <v>90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3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126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1"/>
        <v>2.42028E-2</v>
      </c>
      <c r="I26" s="13">
        <f t="shared" si="3"/>
        <v>24.2028</v>
      </c>
      <c r="J26" s="26"/>
      <c r="K26" s="8"/>
      <c r="L26" s="8"/>
      <c r="M26" s="8"/>
    </row>
    <row r="27" spans="1:13" ht="15.75" customHeight="1">
      <c r="A27" s="33">
        <v>6</v>
      </c>
      <c r="B27" s="92" t="s">
        <v>220</v>
      </c>
      <c r="C27" s="44" t="s">
        <v>177</v>
      </c>
      <c r="D27" s="127" t="s">
        <v>237</v>
      </c>
      <c r="E27" s="128">
        <v>2.5099999999999998</v>
      </c>
      <c r="F27" s="129">
        <f>E27*258</f>
        <v>647.57999999999993</v>
      </c>
      <c r="G27" s="129">
        <v>10.39</v>
      </c>
      <c r="H27" s="96">
        <f t="shared" ref="H27" si="4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3" t="s">
        <v>82</v>
      </c>
      <c r="B28" s="143"/>
      <c r="C28" s="143"/>
      <c r="D28" s="143"/>
      <c r="E28" s="143"/>
      <c r="F28" s="143"/>
      <c r="G28" s="143"/>
      <c r="H28" s="143"/>
      <c r="I28" s="143"/>
      <c r="J28" s="26"/>
      <c r="K28" s="8"/>
      <c r="L28" s="8"/>
      <c r="M28" s="8"/>
    </row>
    <row r="29" spans="1:13" ht="15.75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customHeight="1">
      <c r="A30" s="45">
        <v>7</v>
      </c>
      <c r="B30" s="92" t="s">
        <v>154</v>
      </c>
      <c r="C30" s="93" t="s">
        <v>97</v>
      </c>
      <c r="D30" s="92" t="s">
        <v>234</v>
      </c>
      <c r="E30" s="95">
        <v>306.55</v>
      </c>
      <c r="F30" s="95">
        <f>SUM(E30*52/1000)</f>
        <v>15.9406</v>
      </c>
      <c r="G30" s="95">
        <v>193.97</v>
      </c>
      <c r="H30" s="96">
        <f t="shared" ref="H30:H35" si="5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customHeight="1">
      <c r="A31" s="45">
        <v>8</v>
      </c>
      <c r="B31" s="92" t="s">
        <v>99</v>
      </c>
      <c r="C31" s="93" t="s">
        <v>97</v>
      </c>
      <c r="D31" s="92" t="s">
        <v>233</v>
      </c>
      <c r="E31" s="95">
        <v>42.5</v>
      </c>
      <c r="F31" s="95">
        <f>SUM(E31*78/1000)</f>
        <v>3.3149999999999999</v>
      </c>
      <c r="G31" s="95">
        <v>321.82</v>
      </c>
      <c r="H31" s="96">
        <f t="shared" si="5"/>
        <v>1.0668333000000001</v>
      </c>
      <c r="I31" s="13">
        <f t="shared" ref="I31:I33" si="6">F31/6*G31</f>
        <v>177.80554999999998</v>
      </c>
      <c r="J31" s="26"/>
      <c r="K31" s="8"/>
      <c r="L31" s="8"/>
      <c r="M31" s="8"/>
    </row>
    <row r="32" spans="1:13" ht="15.75" hidden="1" customHeight="1">
      <c r="A32" s="45">
        <v>16</v>
      </c>
      <c r="B32" s="92" t="s">
        <v>153</v>
      </c>
      <c r="C32" s="93" t="s">
        <v>97</v>
      </c>
      <c r="D32" s="92" t="s">
        <v>51</v>
      </c>
      <c r="E32" s="95">
        <v>306.55</v>
      </c>
      <c r="F32" s="95">
        <f>SUM(E32/1000)</f>
        <v>0.30654999999999999</v>
      </c>
      <c r="G32" s="95">
        <v>3758.28</v>
      </c>
      <c r="H32" s="96">
        <f t="shared" si="5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customHeight="1">
      <c r="A33" s="45">
        <v>9</v>
      </c>
      <c r="B33" s="92" t="s">
        <v>127</v>
      </c>
      <c r="C33" s="93" t="s">
        <v>38</v>
      </c>
      <c r="D33" s="92" t="s">
        <v>243</v>
      </c>
      <c r="E33" s="95">
        <v>3</v>
      </c>
      <c r="F33" s="95">
        <f>E33*155/100</f>
        <v>4.6500000000000004</v>
      </c>
      <c r="G33" s="95">
        <v>1620.15</v>
      </c>
      <c r="H33" s="96">
        <f t="shared" si="5"/>
        <v>7.5336975000000015</v>
      </c>
      <c r="I33" s="13">
        <f t="shared" si="6"/>
        <v>1255.61625</v>
      </c>
      <c r="J33" s="26"/>
      <c r="K33" s="8"/>
      <c r="L33" s="8"/>
      <c r="M33" s="8"/>
    </row>
    <row r="34" spans="1:14" ht="15.75" hidden="1" customHeight="1">
      <c r="A34" s="45">
        <v>4</v>
      </c>
      <c r="B34" s="92" t="s">
        <v>62</v>
      </c>
      <c r="C34" s="93" t="s">
        <v>30</v>
      </c>
      <c r="D34" s="92" t="s">
        <v>64</v>
      </c>
      <c r="E34" s="94"/>
      <c r="F34" s="95">
        <v>2</v>
      </c>
      <c r="G34" s="95">
        <v>238.07</v>
      </c>
      <c r="H34" s="96">
        <f t="shared" si="5"/>
        <v>0.47614000000000001</v>
      </c>
      <c r="I34" s="13">
        <v>0</v>
      </c>
      <c r="J34" s="26"/>
      <c r="K34" s="8"/>
    </row>
    <row r="35" spans="1:14" ht="15.75" hidden="1" customHeight="1">
      <c r="A35" s="33">
        <v>8</v>
      </c>
      <c r="B35" s="92" t="s">
        <v>63</v>
      </c>
      <c r="C35" s="93" t="s">
        <v>29</v>
      </c>
      <c r="D35" s="92" t="s">
        <v>64</v>
      </c>
      <c r="E35" s="94"/>
      <c r="F35" s="95">
        <v>3</v>
      </c>
      <c r="G35" s="95">
        <v>1413.96</v>
      </c>
      <c r="H35" s="96">
        <f t="shared" si="5"/>
        <v>4.2418800000000001</v>
      </c>
      <c r="I35" s="13">
        <v>0</v>
      </c>
      <c r="J35" s="27"/>
    </row>
    <row r="36" spans="1:14" ht="15.75" hidden="1" customHeight="1">
      <c r="A36" s="45"/>
      <c r="B36" s="53" t="s">
        <v>5</v>
      </c>
      <c r="C36" s="53"/>
      <c r="D36" s="53"/>
      <c r="E36" s="13"/>
      <c r="F36" s="13"/>
      <c r="G36" s="14"/>
      <c r="H36" s="14"/>
      <c r="I36" s="19"/>
      <c r="J36" s="27"/>
    </row>
    <row r="37" spans="1:14" ht="15.75" hidden="1" customHeight="1">
      <c r="A37" s="37">
        <v>6</v>
      </c>
      <c r="B37" s="92" t="s">
        <v>25</v>
      </c>
      <c r="C37" s="93" t="s">
        <v>29</v>
      </c>
      <c r="D37" s="92"/>
      <c r="E37" s="94"/>
      <c r="F37" s="95">
        <v>2</v>
      </c>
      <c r="G37" s="95">
        <v>1900.37</v>
      </c>
      <c r="H37" s="96">
        <f t="shared" ref="H37:H42" si="7">SUM(F37*G37/1000)</f>
        <v>3.8007399999999998</v>
      </c>
      <c r="I37" s="13">
        <f t="shared" ref="I37:I42" si="8">F37/6*G37</f>
        <v>633.45666666666659</v>
      </c>
      <c r="J37" s="27"/>
    </row>
    <row r="38" spans="1:14" ht="15.75" hidden="1" customHeight="1">
      <c r="A38" s="37">
        <v>7</v>
      </c>
      <c r="B38" s="92" t="s">
        <v>65</v>
      </c>
      <c r="C38" s="93" t="s">
        <v>27</v>
      </c>
      <c r="D38" s="92" t="s">
        <v>102</v>
      </c>
      <c r="E38" s="95">
        <v>42.5</v>
      </c>
      <c r="F38" s="95">
        <f>SUM(E38*30/1000)</f>
        <v>1.2749999999999999</v>
      </c>
      <c r="G38" s="95">
        <v>2616.4899999999998</v>
      </c>
      <c r="H38" s="96">
        <f t="shared" si="7"/>
        <v>3.3360247499999995</v>
      </c>
      <c r="I38" s="13">
        <f t="shared" si="8"/>
        <v>556.00412499999993</v>
      </c>
      <c r="J38" s="27"/>
    </row>
    <row r="39" spans="1:14" ht="15.75" hidden="1" customHeight="1">
      <c r="A39" s="37">
        <v>8</v>
      </c>
      <c r="B39" s="92" t="s">
        <v>66</v>
      </c>
      <c r="C39" s="93" t="s">
        <v>27</v>
      </c>
      <c r="D39" s="92" t="s">
        <v>103</v>
      </c>
      <c r="E39" s="95">
        <v>42.5</v>
      </c>
      <c r="F39" s="95">
        <f>SUM(E39*155/1000)</f>
        <v>6.5875000000000004</v>
      </c>
      <c r="G39" s="95">
        <v>436.45</v>
      </c>
      <c r="H39" s="96">
        <f t="shared" si="7"/>
        <v>2.8751143749999999</v>
      </c>
      <c r="I39" s="13">
        <f t="shared" si="8"/>
        <v>479.18572916666665</v>
      </c>
      <c r="J39" s="27"/>
    </row>
    <row r="40" spans="1:14" ht="47.25" hidden="1" customHeight="1">
      <c r="A40" s="37">
        <v>9</v>
      </c>
      <c r="B40" s="92" t="s">
        <v>81</v>
      </c>
      <c r="C40" s="93" t="s">
        <v>97</v>
      </c>
      <c r="D40" s="92" t="s">
        <v>104</v>
      </c>
      <c r="E40" s="95">
        <v>42.5</v>
      </c>
      <c r="F40" s="95">
        <f>SUM(E40*35/1000)</f>
        <v>1.4875</v>
      </c>
      <c r="G40" s="95">
        <v>7221.21</v>
      </c>
      <c r="H40" s="96">
        <f t="shared" si="7"/>
        <v>10.741549875</v>
      </c>
      <c r="I40" s="13">
        <f t="shared" si="8"/>
        <v>1790.2583125000001</v>
      </c>
      <c r="J40" s="27"/>
    </row>
    <row r="41" spans="1:14" ht="15.75" hidden="1" customHeight="1">
      <c r="A41" s="37">
        <v>10</v>
      </c>
      <c r="B41" s="92" t="s">
        <v>105</v>
      </c>
      <c r="C41" s="93" t="s">
        <v>97</v>
      </c>
      <c r="D41" s="92" t="s">
        <v>106</v>
      </c>
      <c r="E41" s="95">
        <v>42.5</v>
      </c>
      <c r="F41" s="95">
        <f>SUM(E41*20/1000)</f>
        <v>0.85</v>
      </c>
      <c r="G41" s="95">
        <v>533.45000000000005</v>
      </c>
      <c r="H41" s="96">
        <f t="shared" si="7"/>
        <v>0.45343250000000002</v>
      </c>
      <c r="I41" s="13">
        <f t="shared" si="8"/>
        <v>75.572083333333339</v>
      </c>
      <c r="J41" s="27"/>
      <c r="L41" s="21"/>
      <c r="M41" s="22"/>
      <c r="N41" s="23"/>
    </row>
    <row r="42" spans="1:14" ht="15.75" hidden="1" customHeight="1">
      <c r="A42" s="37">
        <v>11</v>
      </c>
      <c r="B42" s="92" t="s">
        <v>67</v>
      </c>
      <c r="C42" s="93" t="s">
        <v>30</v>
      </c>
      <c r="D42" s="92"/>
      <c r="E42" s="94"/>
      <c r="F42" s="95">
        <v>0.5</v>
      </c>
      <c r="G42" s="95">
        <v>992.97</v>
      </c>
      <c r="H42" s="96">
        <f t="shared" si="7"/>
        <v>0.49648500000000001</v>
      </c>
      <c r="I42" s="13">
        <f t="shared" si="8"/>
        <v>82.747500000000002</v>
      </c>
      <c r="J42" s="27"/>
      <c r="L42" s="21"/>
      <c r="M42" s="22"/>
      <c r="N42" s="23"/>
    </row>
    <row r="43" spans="1:14" ht="15.75" customHeight="1">
      <c r="A43" s="132" t="s">
        <v>150</v>
      </c>
      <c r="B43" s="133"/>
      <c r="C43" s="133"/>
      <c r="D43" s="133"/>
      <c r="E43" s="133"/>
      <c r="F43" s="133"/>
      <c r="G43" s="133"/>
      <c r="H43" s="133"/>
      <c r="I43" s="134"/>
      <c r="J43" s="27"/>
      <c r="L43" s="21"/>
      <c r="M43" s="22"/>
      <c r="N43" s="23"/>
    </row>
    <row r="44" spans="1:14" ht="15.75" customHeight="1">
      <c r="A44" s="45">
        <v>10</v>
      </c>
      <c r="B44" s="92" t="s">
        <v>107</v>
      </c>
      <c r="C44" s="93" t="s">
        <v>97</v>
      </c>
      <c r="D44" s="92" t="s">
        <v>240</v>
      </c>
      <c r="E44" s="94">
        <v>1060.4000000000001</v>
      </c>
      <c r="F44" s="95">
        <f>SUM(E44*2/1000)</f>
        <v>2.1208</v>
      </c>
      <c r="G44" s="13">
        <v>1283.46</v>
      </c>
      <c r="H44" s="96">
        <f t="shared" ref="H44:H54" si="9">SUM(F44*G44/1000)</f>
        <v>2.721961968</v>
      </c>
      <c r="I44" s="13">
        <f t="shared" ref="I44:I47" si="10">F44/2*G44</f>
        <v>1360.980984</v>
      </c>
      <c r="J44" s="27"/>
      <c r="L44" s="21"/>
      <c r="M44" s="22"/>
      <c r="N44" s="23"/>
    </row>
    <row r="45" spans="1:14" ht="15.75" customHeight="1">
      <c r="A45" s="45">
        <v>11</v>
      </c>
      <c r="B45" s="92" t="s">
        <v>33</v>
      </c>
      <c r="C45" s="93" t="s">
        <v>97</v>
      </c>
      <c r="D45" s="92" t="s">
        <v>240</v>
      </c>
      <c r="E45" s="94">
        <v>19.8</v>
      </c>
      <c r="F45" s="95">
        <f>SUM(E45*2/1000)</f>
        <v>3.9600000000000003E-2</v>
      </c>
      <c r="G45" s="13">
        <v>721.04</v>
      </c>
      <c r="H45" s="96">
        <f t="shared" si="9"/>
        <v>2.8553184000000002E-2</v>
      </c>
      <c r="I45" s="13">
        <f t="shared" si="10"/>
        <v>14.276592000000001</v>
      </c>
      <c r="J45" s="27"/>
      <c r="L45" s="21"/>
      <c r="M45" s="22"/>
      <c r="N45" s="23"/>
    </row>
    <row r="46" spans="1:14" ht="15.75" customHeight="1">
      <c r="A46" s="45">
        <v>12</v>
      </c>
      <c r="B46" s="92" t="s">
        <v>34</v>
      </c>
      <c r="C46" s="93" t="s">
        <v>97</v>
      </c>
      <c r="D46" s="92" t="s">
        <v>240</v>
      </c>
      <c r="E46" s="94">
        <v>660.84</v>
      </c>
      <c r="F46" s="95">
        <f>SUM(E46*2/1000)</f>
        <v>1.32168</v>
      </c>
      <c r="G46" s="13">
        <v>1711.28</v>
      </c>
      <c r="H46" s="96">
        <f t="shared" si="9"/>
        <v>2.2617645503999997</v>
      </c>
      <c r="I46" s="13">
        <f t="shared" si="10"/>
        <v>1130.8822751999999</v>
      </c>
      <c r="J46" s="27"/>
      <c r="L46" s="21"/>
      <c r="M46" s="22"/>
      <c r="N46" s="23"/>
    </row>
    <row r="47" spans="1:14" ht="15.75" customHeight="1">
      <c r="A47" s="45">
        <v>13</v>
      </c>
      <c r="B47" s="92" t="s">
        <v>35</v>
      </c>
      <c r="C47" s="93" t="s">
        <v>97</v>
      </c>
      <c r="D47" s="92" t="s">
        <v>240</v>
      </c>
      <c r="E47" s="94">
        <v>1156.21</v>
      </c>
      <c r="F47" s="95">
        <f>SUM(E47*2/1000)</f>
        <v>2.3124199999999999</v>
      </c>
      <c r="G47" s="13">
        <v>1179.73</v>
      </c>
      <c r="H47" s="96">
        <f t="shared" si="9"/>
        <v>2.7280312466000001</v>
      </c>
      <c r="I47" s="13">
        <f t="shared" si="10"/>
        <v>1364.0156233</v>
      </c>
      <c r="J47" s="27"/>
      <c r="L47" s="21"/>
      <c r="M47" s="22"/>
      <c r="N47" s="23"/>
    </row>
    <row r="48" spans="1:14" ht="15.75" customHeight="1">
      <c r="A48" s="45">
        <v>14</v>
      </c>
      <c r="B48" s="92" t="s">
        <v>31</v>
      </c>
      <c r="C48" s="93" t="s">
        <v>32</v>
      </c>
      <c r="D48" s="92" t="s">
        <v>240</v>
      </c>
      <c r="E48" s="94">
        <v>15.38</v>
      </c>
      <c r="F48" s="95">
        <f>SUM(E48*2/100)</f>
        <v>0.30760000000000004</v>
      </c>
      <c r="G48" s="13">
        <v>90.61</v>
      </c>
      <c r="H48" s="96">
        <f t="shared" si="9"/>
        <v>2.7871636000000002E-2</v>
      </c>
      <c r="I48" s="13">
        <f>F48/2*G48</f>
        <v>13.935818000000001</v>
      </c>
      <c r="J48" s="27"/>
      <c r="L48" s="21"/>
      <c r="M48" s="22"/>
      <c r="N48" s="23"/>
    </row>
    <row r="49" spans="1:14" ht="15.75" customHeight="1">
      <c r="A49" s="45">
        <v>15</v>
      </c>
      <c r="B49" s="92" t="s">
        <v>54</v>
      </c>
      <c r="C49" s="93" t="s">
        <v>97</v>
      </c>
      <c r="D49" s="92" t="s">
        <v>240</v>
      </c>
      <c r="E49" s="94">
        <v>823</v>
      </c>
      <c r="F49" s="95">
        <f>SUM(E49*5/1000)</f>
        <v>4.1150000000000002</v>
      </c>
      <c r="G49" s="13">
        <v>1711.28</v>
      </c>
      <c r="H49" s="96">
        <f t="shared" si="9"/>
        <v>7.0419171999999994</v>
      </c>
      <c r="I49" s="13">
        <f>F49/5*G49</f>
        <v>1408.3834400000001</v>
      </c>
      <c r="J49" s="27"/>
      <c r="L49" s="21"/>
      <c r="M49" s="22"/>
      <c r="N49" s="23"/>
    </row>
    <row r="50" spans="1:14" ht="31.5" customHeight="1">
      <c r="A50" s="45">
        <v>16</v>
      </c>
      <c r="B50" s="92" t="s">
        <v>108</v>
      </c>
      <c r="C50" s="93" t="s">
        <v>97</v>
      </c>
      <c r="D50" s="92" t="s">
        <v>240</v>
      </c>
      <c r="E50" s="94">
        <v>823</v>
      </c>
      <c r="F50" s="95">
        <f>SUM(E50*2/1000)</f>
        <v>1.6459999999999999</v>
      </c>
      <c r="G50" s="13">
        <v>1510.06</v>
      </c>
      <c r="H50" s="96">
        <f t="shared" si="9"/>
        <v>2.48555876</v>
      </c>
      <c r="I50" s="13">
        <f>F50/2*G50</f>
        <v>1242.7793799999999</v>
      </c>
      <c r="J50" s="27"/>
      <c r="L50" s="21"/>
      <c r="M50" s="22"/>
      <c r="N50" s="23"/>
    </row>
    <row r="51" spans="1:14" ht="31.5" customHeight="1">
      <c r="A51" s="45">
        <v>17</v>
      </c>
      <c r="B51" s="92" t="s">
        <v>109</v>
      </c>
      <c r="C51" s="93" t="s">
        <v>36</v>
      </c>
      <c r="D51" s="92" t="s">
        <v>240</v>
      </c>
      <c r="E51" s="94">
        <v>9</v>
      </c>
      <c r="F51" s="95">
        <f>SUM(E51*2/100)</f>
        <v>0.18</v>
      </c>
      <c r="G51" s="13">
        <v>3850.4</v>
      </c>
      <c r="H51" s="96">
        <f t="shared" si="9"/>
        <v>0.69307200000000002</v>
      </c>
      <c r="I51" s="13">
        <f t="shared" ref="I51:I52" si="11">F51/2*G51</f>
        <v>346.536</v>
      </c>
      <c r="J51" s="27"/>
      <c r="L51" s="21"/>
      <c r="M51" s="22"/>
      <c r="N51" s="23"/>
    </row>
    <row r="52" spans="1:14" ht="15.75" customHeight="1">
      <c r="A52" s="45">
        <v>18</v>
      </c>
      <c r="B52" s="92" t="s">
        <v>37</v>
      </c>
      <c r="C52" s="93" t="s">
        <v>38</v>
      </c>
      <c r="D52" s="92" t="s">
        <v>240</v>
      </c>
      <c r="E52" s="94">
        <v>1</v>
      </c>
      <c r="F52" s="95">
        <v>0.02</v>
      </c>
      <c r="G52" s="13">
        <v>7033.13</v>
      </c>
      <c r="H52" s="96">
        <f t="shared" si="9"/>
        <v>0.1406626</v>
      </c>
      <c r="I52" s="13">
        <f t="shared" si="11"/>
        <v>70.331299999999999</v>
      </c>
      <c r="J52" s="27"/>
      <c r="L52" s="21"/>
      <c r="M52" s="22"/>
      <c r="N52" s="23"/>
    </row>
    <row r="53" spans="1:14" ht="15.75" hidden="1" customHeight="1">
      <c r="A53" s="45">
        <v>10</v>
      </c>
      <c r="B53" s="92" t="s">
        <v>128</v>
      </c>
      <c r="C53" s="93" t="s">
        <v>110</v>
      </c>
      <c r="D53" s="92" t="s">
        <v>68</v>
      </c>
      <c r="E53" s="94">
        <v>36</v>
      </c>
      <c r="F53" s="95">
        <f>SUM(E53*3)</f>
        <v>108</v>
      </c>
      <c r="G53" s="13">
        <v>175.6</v>
      </c>
      <c r="H53" s="96">
        <f t="shared" si="9"/>
        <v>18.9648</v>
      </c>
      <c r="I53" s="13">
        <f>E53*G53</f>
        <v>6321.5999999999995</v>
      </c>
      <c r="J53" s="27"/>
      <c r="L53" s="21"/>
      <c r="M53" s="22"/>
      <c r="N53" s="23"/>
    </row>
    <row r="54" spans="1:14" ht="15.75" hidden="1" customHeight="1">
      <c r="A54" s="45">
        <v>11</v>
      </c>
      <c r="B54" s="92" t="s">
        <v>39</v>
      </c>
      <c r="C54" s="93" t="s">
        <v>110</v>
      </c>
      <c r="D54" s="92" t="s">
        <v>68</v>
      </c>
      <c r="E54" s="94">
        <v>36</v>
      </c>
      <c r="F54" s="95">
        <f>SUM(E54)*3</f>
        <v>108</v>
      </c>
      <c r="G54" s="13">
        <v>81.73</v>
      </c>
      <c r="H54" s="96">
        <f t="shared" si="9"/>
        <v>8.8268400000000007</v>
      </c>
      <c r="I54" s="13">
        <f>E54*G54</f>
        <v>2942.28</v>
      </c>
      <c r="J54" s="27"/>
      <c r="L54" s="21"/>
      <c r="M54" s="22"/>
      <c r="N54" s="23"/>
    </row>
    <row r="55" spans="1:14" ht="15.75" customHeight="1">
      <c r="A55" s="132" t="s">
        <v>151</v>
      </c>
      <c r="B55" s="133"/>
      <c r="C55" s="133"/>
      <c r="D55" s="133"/>
      <c r="E55" s="133"/>
      <c r="F55" s="133"/>
      <c r="G55" s="133"/>
      <c r="H55" s="133"/>
      <c r="I55" s="134"/>
      <c r="J55" s="27"/>
      <c r="L55" s="21"/>
      <c r="M55" s="22"/>
      <c r="N55" s="23"/>
    </row>
    <row r="56" spans="1:14" ht="15.75" hidden="1" customHeight="1">
      <c r="A56" s="57"/>
      <c r="B56" s="52" t="s">
        <v>41</v>
      </c>
      <c r="C56" s="17"/>
      <c r="D56" s="16"/>
      <c r="E56" s="16"/>
      <c r="F56" s="16"/>
      <c r="G56" s="33"/>
      <c r="H56" s="33"/>
      <c r="I56" s="19"/>
      <c r="J56" s="27"/>
      <c r="L56" s="21"/>
      <c r="M56" s="22"/>
      <c r="N56" s="23"/>
    </row>
    <row r="57" spans="1:14" ht="31.5" hidden="1" customHeight="1">
      <c r="A57" s="45">
        <v>12</v>
      </c>
      <c r="B57" s="92" t="s">
        <v>156</v>
      </c>
      <c r="C57" s="93" t="s">
        <v>86</v>
      </c>
      <c r="D57" s="92" t="s">
        <v>111</v>
      </c>
      <c r="E57" s="94">
        <v>71.02</v>
      </c>
      <c r="F57" s="95">
        <f>SUM(E57*6/100)</f>
        <v>4.2611999999999997</v>
      </c>
      <c r="G57" s="13">
        <v>2306.62</v>
      </c>
      <c r="H57" s="96">
        <f>SUM(F57*G57/1000)</f>
        <v>9.8289691439999984</v>
      </c>
      <c r="I57" s="13">
        <f>F57/6*G57</f>
        <v>1638.1615239999999</v>
      </c>
      <c r="J57" s="27"/>
      <c r="L57" s="21"/>
      <c r="M57" s="22"/>
      <c r="N57" s="23"/>
    </row>
    <row r="58" spans="1:14" ht="15.75" hidden="1" customHeight="1">
      <c r="A58" s="45"/>
      <c r="B58" s="92" t="s">
        <v>112</v>
      </c>
      <c r="C58" s="93" t="s">
        <v>157</v>
      </c>
      <c r="D58" s="92" t="s">
        <v>64</v>
      </c>
      <c r="E58" s="100"/>
      <c r="F58" s="95">
        <v>2</v>
      </c>
      <c r="G58" s="95">
        <v>1501</v>
      </c>
      <c r="H58" s="96">
        <f>SUM(F58*G58/1000)</f>
        <v>3.0019999999999998</v>
      </c>
      <c r="I58" s="13">
        <v>0</v>
      </c>
      <c r="J58" s="27"/>
      <c r="L58" s="21"/>
      <c r="M58" s="22"/>
      <c r="N58" s="23"/>
    </row>
    <row r="59" spans="1:14" ht="15.75" hidden="1" customHeight="1">
      <c r="A59" s="45"/>
      <c r="B59" s="79" t="s">
        <v>42</v>
      </c>
      <c r="C59" s="79"/>
      <c r="D59" s="79"/>
      <c r="E59" s="79"/>
      <c r="F59" s="79"/>
      <c r="G59" s="79"/>
      <c r="H59" s="79"/>
      <c r="I59" s="39"/>
      <c r="J59" s="27"/>
      <c r="L59" s="21"/>
      <c r="M59" s="22"/>
      <c r="N59" s="23"/>
    </row>
    <row r="60" spans="1:14" ht="15.75" hidden="1" customHeight="1">
      <c r="A60" s="45">
        <v>27</v>
      </c>
      <c r="B60" s="92" t="s">
        <v>158</v>
      </c>
      <c r="C60" s="93" t="s">
        <v>50</v>
      </c>
      <c r="D60" s="92" t="s">
        <v>51</v>
      </c>
      <c r="E60" s="94">
        <v>434.4</v>
      </c>
      <c r="F60" s="96">
        <f>SUM(E60/100)</f>
        <v>4.3439999999999994</v>
      </c>
      <c r="G60" s="13">
        <v>987.51</v>
      </c>
      <c r="H60" s="101">
        <f>F60*G60/1000</f>
        <v>4.2897434399999996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1" t="s">
        <v>129</v>
      </c>
      <c r="C61" s="44"/>
      <c r="D61" s="70"/>
      <c r="E61" s="67"/>
      <c r="F61" s="67"/>
      <c r="G61" s="40"/>
      <c r="H61" s="40"/>
      <c r="I61" s="20"/>
      <c r="J61" s="27"/>
      <c r="L61" s="21"/>
      <c r="M61" s="22"/>
      <c r="N61" s="23"/>
    </row>
    <row r="62" spans="1:14" ht="15.75" hidden="1" customHeight="1">
      <c r="A62" s="45"/>
      <c r="B62" s="92" t="s">
        <v>130</v>
      </c>
      <c r="C62" s="93" t="s">
        <v>110</v>
      </c>
      <c r="D62" s="41" t="s">
        <v>64</v>
      </c>
      <c r="E62" s="94">
        <v>1</v>
      </c>
      <c r="F62" s="95">
        <f>E62</f>
        <v>1</v>
      </c>
      <c r="G62" s="102">
        <v>323.38</v>
      </c>
      <c r="H62" s="96">
        <f t="shared" ref="H62" si="12">SUM(F62*G62/1000)</f>
        <v>0.32338</v>
      </c>
      <c r="I62" s="13">
        <v>0</v>
      </c>
      <c r="J62" s="27"/>
      <c r="L62" s="21"/>
      <c r="M62" s="22"/>
      <c r="N62" s="23"/>
    </row>
    <row r="63" spans="1:14" ht="15.75" customHeight="1">
      <c r="A63" s="45"/>
      <c r="B63" s="79" t="s">
        <v>43</v>
      </c>
      <c r="C63" s="17"/>
      <c r="D63" s="41"/>
      <c r="E63" s="16"/>
      <c r="F63" s="16"/>
      <c r="G63" s="33"/>
      <c r="H63" s="33"/>
      <c r="I63" s="19"/>
      <c r="J63" s="27"/>
      <c r="L63" s="21"/>
      <c r="M63" s="22"/>
      <c r="N63" s="23"/>
    </row>
    <row r="64" spans="1:14" ht="15.75" hidden="1" customHeight="1">
      <c r="A64" s="45">
        <v>17</v>
      </c>
      <c r="B64" s="15" t="s">
        <v>44</v>
      </c>
      <c r="C64" s="17" t="s">
        <v>110</v>
      </c>
      <c r="D64" s="41" t="s">
        <v>64</v>
      </c>
      <c r="E64" s="19">
        <v>10</v>
      </c>
      <c r="F64" s="95">
        <v>10</v>
      </c>
      <c r="G64" s="13">
        <v>276.74</v>
      </c>
      <c r="H64" s="103">
        <f t="shared" ref="H64:H71" si="13">SUM(F64*G64/1000)</f>
        <v>2.7674000000000003</v>
      </c>
      <c r="I64" s="13">
        <v>0</v>
      </c>
      <c r="J64" s="27"/>
      <c r="L64" s="21"/>
      <c r="M64" s="22"/>
      <c r="N64" s="23"/>
    </row>
    <row r="65" spans="1:21" ht="15.75" hidden="1" customHeight="1">
      <c r="A65" s="33">
        <v>29</v>
      </c>
      <c r="B65" s="15" t="s">
        <v>45</v>
      </c>
      <c r="C65" s="17" t="s">
        <v>110</v>
      </c>
      <c r="D65" s="41" t="s">
        <v>64</v>
      </c>
      <c r="E65" s="19">
        <v>3</v>
      </c>
      <c r="F65" s="95">
        <v>3</v>
      </c>
      <c r="G65" s="13">
        <v>94.89</v>
      </c>
      <c r="H65" s="103">
        <f t="shared" si="13"/>
        <v>0.28467000000000003</v>
      </c>
      <c r="I65" s="13">
        <v>0</v>
      </c>
      <c r="J65" s="27"/>
      <c r="L65" s="21"/>
      <c r="M65" s="22"/>
      <c r="N65" s="23"/>
    </row>
    <row r="66" spans="1:21" ht="15.75" hidden="1" customHeight="1">
      <c r="A66" s="33">
        <v>28</v>
      </c>
      <c r="B66" s="15" t="s">
        <v>46</v>
      </c>
      <c r="C66" s="17" t="s">
        <v>113</v>
      </c>
      <c r="D66" s="15" t="s">
        <v>51</v>
      </c>
      <c r="E66" s="94">
        <v>7265</v>
      </c>
      <c r="F66" s="13">
        <f>SUM(E66/100)</f>
        <v>72.650000000000006</v>
      </c>
      <c r="G66" s="13">
        <v>263.99</v>
      </c>
      <c r="H66" s="103">
        <f t="shared" si="13"/>
        <v>19.178873500000002</v>
      </c>
      <c r="I66" s="13">
        <f>F66*G66</f>
        <v>19178.873500000002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47</v>
      </c>
      <c r="C67" s="17" t="s">
        <v>114</v>
      </c>
      <c r="D67" s="15" t="s">
        <v>51</v>
      </c>
      <c r="E67" s="94">
        <v>7265</v>
      </c>
      <c r="F67" s="13">
        <f>SUM(E67/1000)</f>
        <v>7.2649999999999997</v>
      </c>
      <c r="G67" s="13">
        <v>205.57</v>
      </c>
      <c r="H67" s="103">
        <f t="shared" si="13"/>
        <v>1.4934660500000001</v>
      </c>
      <c r="I67" s="13">
        <f t="shared" ref="I67:I70" si="14">F67*G67</f>
        <v>1493.46605</v>
      </c>
      <c r="J67" s="27"/>
      <c r="L67" s="21"/>
      <c r="M67" s="22"/>
      <c r="N67" s="23"/>
    </row>
    <row r="68" spans="1:21" ht="15.75" hidden="1" customHeight="1">
      <c r="A68" s="33">
        <v>30</v>
      </c>
      <c r="B68" s="15" t="s">
        <v>48</v>
      </c>
      <c r="C68" s="17" t="s">
        <v>74</v>
      </c>
      <c r="D68" s="15" t="s">
        <v>51</v>
      </c>
      <c r="E68" s="94">
        <v>1090</v>
      </c>
      <c r="F68" s="13">
        <f>SUM(E68/100)</f>
        <v>10.9</v>
      </c>
      <c r="G68" s="13">
        <v>2581.5300000000002</v>
      </c>
      <c r="H68" s="103">
        <f t="shared" si="13"/>
        <v>28.138677000000005</v>
      </c>
      <c r="I68" s="13">
        <f t="shared" si="14"/>
        <v>28138.677000000003</v>
      </c>
      <c r="J68" s="27"/>
      <c r="L68" s="21"/>
    </row>
    <row r="69" spans="1:21" ht="15.75" hidden="1" customHeight="1">
      <c r="A69" s="33">
        <v>31</v>
      </c>
      <c r="B69" s="104" t="s">
        <v>115</v>
      </c>
      <c r="C69" s="17" t="s">
        <v>30</v>
      </c>
      <c r="D69" s="15"/>
      <c r="E69" s="94">
        <v>7.4</v>
      </c>
      <c r="F69" s="13">
        <f>SUM(E69)</f>
        <v>7.4</v>
      </c>
      <c r="G69" s="13">
        <v>47.45</v>
      </c>
      <c r="H69" s="103">
        <f t="shared" si="13"/>
        <v>0.35113000000000005</v>
      </c>
      <c r="I69" s="13">
        <f t="shared" si="14"/>
        <v>351.13000000000005</v>
      </c>
    </row>
    <row r="70" spans="1:21" ht="15.75" hidden="1" customHeight="1">
      <c r="A70" s="33">
        <v>32</v>
      </c>
      <c r="B70" s="104" t="s">
        <v>159</v>
      </c>
      <c r="C70" s="17" t="s">
        <v>30</v>
      </c>
      <c r="D70" s="15"/>
      <c r="E70" s="94">
        <v>7.4</v>
      </c>
      <c r="F70" s="13">
        <f>SUM(E70)</f>
        <v>7.4</v>
      </c>
      <c r="G70" s="13">
        <v>44.27</v>
      </c>
      <c r="H70" s="103">
        <f t="shared" si="13"/>
        <v>0.327598</v>
      </c>
      <c r="I70" s="13">
        <f t="shared" si="14"/>
        <v>327.59800000000001</v>
      </c>
    </row>
    <row r="71" spans="1:21" ht="15.75" customHeight="1">
      <c r="A71" s="33">
        <v>19</v>
      </c>
      <c r="B71" s="15" t="s">
        <v>55</v>
      </c>
      <c r="C71" s="17" t="s">
        <v>56</v>
      </c>
      <c r="D71" s="15" t="s">
        <v>239</v>
      </c>
      <c r="E71" s="19">
        <v>3</v>
      </c>
      <c r="F71" s="95">
        <f>SUM(E71)</f>
        <v>3</v>
      </c>
      <c r="G71" s="13">
        <v>62.07</v>
      </c>
      <c r="H71" s="103">
        <f t="shared" si="13"/>
        <v>0.18621000000000001</v>
      </c>
      <c r="I71" s="13">
        <f>G71*3</f>
        <v>186.21</v>
      </c>
    </row>
    <row r="72" spans="1:21" ht="15.75" customHeight="1">
      <c r="A72" s="57"/>
      <c r="B72" s="79" t="s">
        <v>116</v>
      </c>
      <c r="C72" s="79"/>
      <c r="D72" s="79"/>
      <c r="E72" s="79"/>
      <c r="F72" s="79"/>
      <c r="G72" s="79"/>
      <c r="H72" s="79"/>
      <c r="I72" s="19"/>
      <c r="J72" s="29"/>
      <c r="K72" s="29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5.75" customHeight="1">
      <c r="A73" s="33">
        <v>20</v>
      </c>
      <c r="B73" s="105" t="s">
        <v>117</v>
      </c>
      <c r="C73" s="25"/>
      <c r="D73" s="24"/>
      <c r="E73" s="87"/>
      <c r="F73" s="106">
        <v>1</v>
      </c>
      <c r="G73" s="106">
        <v>380</v>
      </c>
      <c r="H73" s="13">
        <f>G73*F73/1000</f>
        <v>0.38</v>
      </c>
      <c r="I73" s="13">
        <f>G73</f>
        <v>380</v>
      </c>
      <c r="J73" s="3"/>
      <c r="K73" s="3"/>
      <c r="L73" s="3"/>
      <c r="M73" s="3"/>
      <c r="N73" s="3"/>
      <c r="O73" s="3"/>
      <c r="P73" s="3"/>
      <c r="Q73" s="3"/>
      <c r="S73" s="3"/>
      <c r="T73" s="3"/>
      <c r="U73" s="3"/>
    </row>
    <row r="74" spans="1:21" ht="15.75" hidden="1" customHeight="1">
      <c r="A74" s="33"/>
      <c r="B74" s="53" t="s">
        <v>69</v>
      </c>
      <c r="C74" s="53"/>
      <c r="D74" s="53"/>
      <c r="E74" s="19"/>
      <c r="F74" s="19"/>
      <c r="G74" s="33"/>
      <c r="H74" s="33"/>
      <c r="I74" s="19"/>
      <c r="J74" s="5"/>
      <c r="K74" s="5"/>
      <c r="L74" s="5"/>
      <c r="M74" s="5"/>
      <c r="N74" s="5"/>
      <c r="O74" s="5"/>
      <c r="P74" s="5"/>
      <c r="Q74" s="5"/>
      <c r="R74" s="131"/>
      <c r="S74" s="131"/>
      <c r="T74" s="131"/>
      <c r="U74" s="131"/>
    </row>
    <row r="75" spans="1:21" ht="15.75" hidden="1" customHeight="1">
      <c r="A75" s="33"/>
      <c r="B75" s="15" t="s">
        <v>131</v>
      </c>
      <c r="C75" s="17" t="s">
        <v>118</v>
      </c>
      <c r="D75" s="41" t="s">
        <v>64</v>
      </c>
      <c r="E75" s="19">
        <v>1</v>
      </c>
      <c r="F75" s="13">
        <f>E75</f>
        <v>1</v>
      </c>
      <c r="G75" s="13">
        <v>976.4</v>
      </c>
      <c r="H75" s="103">
        <f>F75*G75/1000</f>
        <v>0.97639999999999993</v>
      </c>
      <c r="I75" s="13">
        <v>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5.75" hidden="1" customHeight="1">
      <c r="A76" s="33"/>
      <c r="B76" s="15" t="s">
        <v>119</v>
      </c>
      <c r="C76" s="17" t="s">
        <v>120</v>
      </c>
      <c r="D76" s="15"/>
      <c r="E76" s="19">
        <v>1</v>
      </c>
      <c r="F76" s="13">
        <v>1</v>
      </c>
      <c r="G76" s="13">
        <v>750</v>
      </c>
      <c r="H76" s="103">
        <f>F76*G76/1000</f>
        <v>0.75</v>
      </c>
      <c r="I76" s="13">
        <v>0</v>
      </c>
    </row>
    <row r="77" spans="1:21" ht="15.75" hidden="1" customHeight="1">
      <c r="A77" s="33"/>
      <c r="B77" s="15" t="s">
        <v>70</v>
      </c>
      <c r="C77" s="17" t="s">
        <v>72</v>
      </c>
      <c r="D77" s="41" t="s">
        <v>64</v>
      </c>
      <c r="E77" s="19">
        <v>3</v>
      </c>
      <c r="F77" s="13">
        <f>SUM(E77/100)</f>
        <v>0.03</v>
      </c>
      <c r="G77" s="13">
        <v>624.16999999999996</v>
      </c>
      <c r="H77" s="103">
        <f>F77*G77/1000</f>
        <v>1.8725099999999998E-2</v>
      </c>
      <c r="I77" s="13">
        <v>0</v>
      </c>
    </row>
    <row r="78" spans="1:21" ht="15.75" hidden="1" customHeight="1">
      <c r="A78" s="33"/>
      <c r="B78" s="15" t="s">
        <v>71</v>
      </c>
      <c r="C78" s="17" t="s">
        <v>28</v>
      </c>
      <c r="D78" s="41" t="s">
        <v>64</v>
      </c>
      <c r="E78" s="19">
        <v>1</v>
      </c>
      <c r="F78" s="13">
        <v>1</v>
      </c>
      <c r="G78" s="13">
        <v>1061.4100000000001</v>
      </c>
      <c r="H78" s="103">
        <f>F78*G78/1000</f>
        <v>1.0614100000000002</v>
      </c>
      <c r="I78" s="13">
        <v>0</v>
      </c>
    </row>
    <row r="79" spans="1:21" ht="15.75" hidden="1" customHeight="1">
      <c r="A79" s="33">
        <v>17</v>
      </c>
      <c r="B79" s="15" t="s">
        <v>132</v>
      </c>
      <c r="C79" s="17" t="s">
        <v>28</v>
      </c>
      <c r="D79" s="41" t="s">
        <v>64</v>
      </c>
      <c r="E79" s="19">
        <v>1</v>
      </c>
      <c r="F79" s="95">
        <f>SUM(E79)</f>
        <v>1</v>
      </c>
      <c r="G79" s="13">
        <v>446.12</v>
      </c>
      <c r="H79" s="103">
        <f t="shared" ref="H79" si="15">SUM(F79*G79/1000)</f>
        <v>0.44612000000000002</v>
      </c>
      <c r="I79" s="13">
        <v>0</v>
      </c>
    </row>
    <row r="80" spans="1:21" ht="15.75" hidden="1" customHeight="1">
      <c r="A80" s="33"/>
      <c r="B80" s="54" t="s">
        <v>73</v>
      </c>
      <c r="C80" s="42"/>
      <c r="D80" s="33"/>
      <c r="E80" s="19"/>
      <c r="F80" s="19"/>
      <c r="G80" s="40"/>
      <c r="H80" s="40"/>
      <c r="I80" s="19"/>
    </row>
    <row r="81" spans="1:9" ht="15.75" hidden="1" customHeight="1">
      <c r="A81" s="33">
        <v>39</v>
      </c>
      <c r="B81" s="56" t="s">
        <v>121</v>
      </c>
      <c r="C81" s="17" t="s">
        <v>74</v>
      </c>
      <c r="D81" s="15"/>
      <c r="E81" s="19"/>
      <c r="F81" s="13">
        <v>1.35</v>
      </c>
      <c r="G81" s="13">
        <v>3433.68</v>
      </c>
      <c r="H81" s="103">
        <f t="shared" ref="H81" si="16">SUM(F81*G81/1000)</f>
        <v>4.6354679999999995</v>
      </c>
      <c r="I81" s="13">
        <v>0</v>
      </c>
    </row>
    <row r="82" spans="1:9" ht="17.25" customHeight="1">
      <c r="A82" s="33"/>
      <c r="B82" s="79" t="s">
        <v>133</v>
      </c>
      <c r="C82" s="72"/>
      <c r="D82" s="35"/>
      <c r="E82" s="12"/>
      <c r="F82" s="12"/>
      <c r="G82" s="40"/>
      <c r="H82" s="40"/>
      <c r="I82" s="19"/>
    </row>
    <row r="83" spans="1:9" ht="17.25" hidden="1" customHeight="1">
      <c r="A83" s="33"/>
      <c r="B83" s="15" t="s">
        <v>134</v>
      </c>
      <c r="C83" s="17" t="s">
        <v>135</v>
      </c>
      <c r="D83" s="41" t="s">
        <v>64</v>
      </c>
      <c r="E83" s="19">
        <v>6</v>
      </c>
      <c r="F83" s="13">
        <f>E83</f>
        <v>6</v>
      </c>
      <c r="G83" s="13">
        <v>297.44</v>
      </c>
      <c r="H83" s="103">
        <f t="shared" ref="H83:H93" si="17">SUM(F83*G83/1000)</f>
        <v>1.7846399999999998</v>
      </c>
      <c r="I83" s="13">
        <v>0</v>
      </c>
    </row>
    <row r="84" spans="1:9" ht="14.25" hidden="1" customHeight="1">
      <c r="A84" s="33"/>
      <c r="B84" s="15" t="s">
        <v>136</v>
      </c>
      <c r="C84" s="17" t="s">
        <v>79</v>
      </c>
      <c r="D84" s="41" t="s">
        <v>64</v>
      </c>
      <c r="E84" s="19">
        <v>12</v>
      </c>
      <c r="F84" s="13">
        <f>E84</f>
        <v>12</v>
      </c>
      <c r="G84" s="13">
        <v>122.35</v>
      </c>
      <c r="H84" s="103">
        <f t="shared" si="17"/>
        <v>1.4681999999999997</v>
      </c>
      <c r="I84" s="13">
        <v>0</v>
      </c>
    </row>
    <row r="85" spans="1:9" ht="17.25" hidden="1" customHeight="1">
      <c r="A85" s="33">
        <v>12</v>
      </c>
      <c r="B85" s="15" t="s">
        <v>137</v>
      </c>
      <c r="C85" s="17" t="s">
        <v>138</v>
      </c>
      <c r="D85" s="41" t="s">
        <v>64</v>
      </c>
      <c r="E85" s="19">
        <v>9</v>
      </c>
      <c r="F85" s="13">
        <f>E85/3</f>
        <v>3</v>
      </c>
      <c r="G85" s="13">
        <v>1063.47</v>
      </c>
      <c r="H85" s="103">
        <f t="shared" si="17"/>
        <v>3.19041</v>
      </c>
      <c r="I85" s="13">
        <f>G85*((10+10+10+15+10)/3)</f>
        <v>19496.95</v>
      </c>
    </row>
    <row r="86" spans="1:9" ht="17.25" hidden="1" customHeight="1">
      <c r="A86" s="33">
        <v>19</v>
      </c>
      <c r="B86" s="15" t="s">
        <v>139</v>
      </c>
      <c r="C86" s="17" t="s">
        <v>140</v>
      </c>
      <c r="D86" s="41" t="s">
        <v>64</v>
      </c>
      <c r="E86" s="19">
        <v>10</v>
      </c>
      <c r="F86" s="13">
        <f>E86/10</f>
        <v>1</v>
      </c>
      <c r="G86" s="13">
        <v>297.99</v>
      </c>
      <c r="H86" s="103">
        <f t="shared" si="17"/>
        <v>0.29799000000000003</v>
      </c>
      <c r="I86" s="13">
        <f>G86*(4/10)</f>
        <v>119.19600000000001</v>
      </c>
    </row>
    <row r="87" spans="1:9" ht="21" hidden="1" customHeight="1">
      <c r="A87" s="33"/>
      <c r="B87" s="15" t="s">
        <v>141</v>
      </c>
      <c r="C87" s="17" t="s">
        <v>79</v>
      </c>
      <c r="D87" s="41" t="s">
        <v>64</v>
      </c>
      <c r="E87" s="19">
        <v>6</v>
      </c>
      <c r="F87" s="13">
        <f t="shared" ref="F87:F92" si="18">E87</f>
        <v>6</v>
      </c>
      <c r="G87" s="13">
        <v>1564.44</v>
      </c>
      <c r="H87" s="103">
        <f t="shared" si="17"/>
        <v>9.3866399999999999</v>
      </c>
      <c r="I87" s="13">
        <v>0</v>
      </c>
    </row>
    <row r="88" spans="1:9" ht="19.5" hidden="1" customHeight="1">
      <c r="A88" s="33"/>
      <c r="B88" s="15" t="s">
        <v>142</v>
      </c>
      <c r="C88" s="17" t="s">
        <v>79</v>
      </c>
      <c r="D88" s="41" t="s">
        <v>64</v>
      </c>
      <c r="E88" s="19">
        <v>6</v>
      </c>
      <c r="F88" s="13">
        <f t="shared" si="18"/>
        <v>6</v>
      </c>
      <c r="G88" s="13">
        <v>1906.89</v>
      </c>
      <c r="H88" s="103">
        <f t="shared" si="17"/>
        <v>11.44134</v>
      </c>
      <c r="I88" s="13">
        <v>0</v>
      </c>
    </row>
    <row r="89" spans="1:9" ht="21" hidden="1" customHeight="1">
      <c r="A89" s="33"/>
      <c r="B89" s="15" t="s">
        <v>143</v>
      </c>
      <c r="C89" s="17" t="s">
        <v>79</v>
      </c>
      <c r="D89" s="41" t="s">
        <v>64</v>
      </c>
      <c r="E89" s="19">
        <v>6</v>
      </c>
      <c r="F89" s="13">
        <f t="shared" si="18"/>
        <v>6</v>
      </c>
      <c r="G89" s="13">
        <v>664.35</v>
      </c>
      <c r="H89" s="103">
        <f t="shared" si="17"/>
        <v>3.9861000000000004</v>
      </c>
      <c r="I89" s="13">
        <v>0</v>
      </c>
    </row>
    <row r="90" spans="1:9" ht="18.75" hidden="1" customHeight="1">
      <c r="A90" s="33"/>
      <c r="B90" s="15" t="s">
        <v>144</v>
      </c>
      <c r="C90" s="17" t="s">
        <v>79</v>
      </c>
      <c r="D90" s="41" t="s">
        <v>64</v>
      </c>
      <c r="E90" s="19">
        <v>6</v>
      </c>
      <c r="F90" s="13">
        <f t="shared" si="18"/>
        <v>6</v>
      </c>
      <c r="G90" s="13">
        <v>778.85</v>
      </c>
      <c r="H90" s="103">
        <f t="shared" si="17"/>
        <v>4.6731000000000007</v>
      </c>
      <c r="I90" s="13">
        <v>0</v>
      </c>
    </row>
    <row r="91" spans="1:9" ht="18" hidden="1" customHeight="1">
      <c r="A91" s="33"/>
      <c r="B91" s="15" t="s">
        <v>145</v>
      </c>
      <c r="C91" s="17" t="s">
        <v>118</v>
      </c>
      <c r="D91" s="41" t="s">
        <v>64</v>
      </c>
      <c r="E91" s="19">
        <v>4</v>
      </c>
      <c r="F91" s="13">
        <f t="shared" si="18"/>
        <v>4</v>
      </c>
      <c r="G91" s="13">
        <v>498.11</v>
      </c>
      <c r="H91" s="103">
        <f t="shared" si="17"/>
        <v>1.99244</v>
      </c>
      <c r="I91" s="13">
        <v>0</v>
      </c>
    </row>
    <row r="92" spans="1:9" ht="15" hidden="1" customHeight="1">
      <c r="A92" s="33"/>
      <c r="B92" s="15" t="s">
        <v>146</v>
      </c>
      <c r="C92" s="17" t="s">
        <v>79</v>
      </c>
      <c r="D92" s="41" t="s">
        <v>64</v>
      </c>
      <c r="E92" s="19">
        <v>6</v>
      </c>
      <c r="F92" s="13">
        <f t="shared" si="18"/>
        <v>6</v>
      </c>
      <c r="G92" s="13">
        <v>1264.3399999999999</v>
      </c>
      <c r="H92" s="103">
        <f t="shared" si="17"/>
        <v>7.5860399999999988</v>
      </c>
      <c r="I92" s="13">
        <v>0</v>
      </c>
    </row>
    <row r="93" spans="1:9" ht="15.75" customHeight="1">
      <c r="A93" s="33">
        <v>21</v>
      </c>
      <c r="B93" s="15" t="s">
        <v>147</v>
      </c>
      <c r="C93" s="17" t="s">
        <v>27</v>
      </c>
      <c r="D93" s="15" t="s">
        <v>240</v>
      </c>
      <c r="E93" s="19">
        <v>823</v>
      </c>
      <c r="F93" s="13">
        <f>E93*2/1000</f>
        <v>1.6459999999999999</v>
      </c>
      <c r="G93" s="13">
        <v>1707.71</v>
      </c>
      <c r="H93" s="103">
        <f t="shared" si="17"/>
        <v>2.8108906600000001</v>
      </c>
      <c r="I93" s="13">
        <f>F93/2*G93</f>
        <v>1405.44533</v>
      </c>
    </row>
    <row r="94" spans="1:9" ht="15.75" customHeight="1">
      <c r="A94" s="144" t="s">
        <v>152</v>
      </c>
      <c r="B94" s="145"/>
      <c r="C94" s="145"/>
      <c r="D94" s="145"/>
      <c r="E94" s="145"/>
      <c r="F94" s="145"/>
      <c r="G94" s="145"/>
      <c r="H94" s="145"/>
      <c r="I94" s="146"/>
    </row>
    <row r="95" spans="1:9" ht="15.75" customHeight="1">
      <c r="A95" s="33">
        <v>22</v>
      </c>
      <c r="B95" s="92" t="s">
        <v>122</v>
      </c>
      <c r="C95" s="17" t="s">
        <v>52</v>
      </c>
      <c r="D95" s="108"/>
      <c r="E95" s="13">
        <v>1832</v>
      </c>
      <c r="F95" s="13">
        <f>SUM(E95*12)</f>
        <v>21984</v>
      </c>
      <c r="G95" s="13">
        <v>2.95</v>
      </c>
      <c r="H95" s="103">
        <f>SUM(F95*G95/1000)</f>
        <v>64.852800000000002</v>
      </c>
      <c r="I95" s="13">
        <f>F95/12*G95</f>
        <v>5404.4000000000005</v>
      </c>
    </row>
    <row r="96" spans="1:9" ht="31.5" customHeight="1">
      <c r="A96" s="33">
        <v>23</v>
      </c>
      <c r="B96" s="15" t="s">
        <v>75</v>
      </c>
      <c r="C96" s="17" t="s">
        <v>160</v>
      </c>
      <c r="D96" s="108"/>
      <c r="E96" s="94">
        <v>1832</v>
      </c>
      <c r="F96" s="13">
        <f>E96*12</f>
        <v>21984</v>
      </c>
      <c r="G96" s="13">
        <v>3.05</v>
      </c>
      <c r="H96" s="103">
        <f>F96*G96/1000</f>
        <v>67.051199999999994</v>
      </c>
      <c r="I96" s="13">
        <f>F96/12*G96</f>
        <v>5587.5999999999995</v>
      </c>
    </row>
    <row r="97" spans="1:9" ht="15.75" customHeight="1">
      <c r="A97" s="57"/>
      <c r="B97" s="43" t="s">
        <v>78</v>
      </c>
      <c r="C97" s="45"/>
      <c r="D97" s="16"/>
      <c r="E97" s="16"/>
      <c r="F97" s="16"/>
      <c r="G97" s="19"/>
      <c r="H97" s="19"/>
      <c r="I97" s="36">
        <f>I96+I95+I93+I71+I52+I51+I50+I49+I48+I47+I46+I45+I44+I33+I31+I30+I27+I22+I21+I18+I17+I16+I73</f>
        <v>28089.247209500001</v>
      </c>
    </row>
    <row r="98" spans="1:9" ht="15.75" customHeight="1">
      <c r="A98" s="147" t="s">
        <v>58</v>
      </c>
      <c r="B98" s="148"/>
      <c r="C98" s="148"/>
      <c r="D98" s="148"/>
      <c r="E98" s="148"/>
      <c r="F98" s="148"/>
      <c r="G98" s="148"/>
      <c r="H98" s="148"/>
      <c r="I98" s="149"/>
    </row>
    <row r="99" spans="1:9" ht="15.75" customHeight="1">
      <c r="A99" s="109">
        <v>24</v>
      </c>
      <c r="B99" s="112" t="s">
        <v>176</v>
      </c>
      <c r="C99" s="113" t="s">
        <v>177</v>
      </c>
      <c r="D99" s="112"/>
      <c r="E99" s="114"/>
      <c r="F99" s="115">
        <v>24</v>
      </c>
      <c r="G99" s="116">
        <v>1.4</v>
      </c>
      <c r="H99" s="117">
        <f>F99*G99/1000</f>
        <v>3.3599999999999991E-2</v>
      </c>
      <c r="I99" s="118">
        <f>G99*12</f>
        <v>16.799999999999997</v>
      </c>
    </row>
    <row r="100" spans="1:9" ht="28.5" customHeight="1">
      <c r="A100" s="109">
        <v>25</v>
      </c>
      <c r="B100" s="122" t="s">
        <v>178</v>
      </c>
      <c r="C100" s="123" t="s">
        <v>36</v>
      </c>
      <c r="D100" s="68"/>
      <c r="E100" s="40"/>
      <c r="F100" s="40">
        <v>1</v>
      </c>
      <c r="G100" s="40">
        <v>3914.31</v>
      </c>
      <c r="H100" s="107">
        <f t="shared" ref="H100" si="19">G100*F100/1000</f>
        <v>3.91431</v>
      </c>
      <c r="I100" s="110">
        <f>G100*0.01</f>
        <v>39.143099999999997</v>
      </c>
    </row>
    <row r="101" spans="1:9" ht="16.5" customHeight="1">
      <c r="A101" s="109">
        <v>26</v>
      </c>
      <c r="B101" s="111" t="s">
        <v>258</v>
      </c>
      <c r="C101" s="45" t="s">
        <v>89</v>
      </c>
      <c r="D101" s="68"/>
      <c r="E101" s="40"/>
      <c r="F101" s="40"/>
      <c r="G101" s="40">
        <v>3587.49</v>
      </c>
      <c r="H101" s="107"/>
      <c r="I101" s="110">
        <f>G101*0.06</f>
        <v>215.24939999999998</v>
      </c>
    </row>
    <row r="102" spans="1:9" ht="15.75" customHeight="1">
      <c r="A102" s="33"/>
      <c r="B102" s="50" t="s">
        <v>49</v>
      </c>
      <c r="C102" s="46"/>
      <c r="D102" s="58"/>
      <c r="E102" s="46">
        <v>1</v>
      </c>
      <c r="F102" s="46"/>
      <c r="G102" s="46"/>
      <c r="H102" s="46"/>
      <c r="I102" s="36">
        <f>SUM(I99:I101)</f>
        <v>271.1925</v>
      </c>
    </row>
    <row r="103" spans="1:9" ht="15.75" customHeight="1">
      <c r="A103" s="33"/>
      <c r="B103" s="56" t="s">
        <v>76</v>
      </c>
      <c r="C103" s="16"/>
      <c r="D103" s="16"/>
      <c r="E103" s="47"/>
      <c r="F103" s="47"/>
      <c r="G103" s="48"/>
      <c r="H103" s="48"/>
      <c r="I103" s="18">
        <v>0</v>
      </c>
    </row>
    <row r="104" spans="1:9" ht="15.75" customHeight="1">
      <c r="A104" s="59"/>
      <c r="B104" s="51" t="s">
        <v>161</v>
      </c>
      <c r="C104" s="38"/>
      <c r="D104" s="38"/>
      <c r="E104" s="38"/>
      <c r="F104" s="38"/>
      <c r="G104" s="38"/>
      <c r="H104" s="38"/>
      <c r="I104" s="49">
        <f>I97+I102</f>
        <v>28360.439709500002</v>
      </c>
    </row>
    <row r="105" spans="1:9" ht="15.75" customHeight="1">
      <c r="A105" s="136" t="s">
        <v>260</v>
      </c>
      <c r="B105" s="136"/>
      <c r="C105" s="136"/>
      <c r="D105" s="136"/>
      <c r="E105" s="136"/>
      <c r="F105" s="136"/>
      <c r="G105" s="136"/>
      <c r="H105" s="136"/>
      <c r="I105" s="136"/>
    </row>
    <row r="106" spans="1:9" ht="15.75" customHeight="1">
      <c r="A106" s="80"/>
      <c r="B106" s="150" t="s">
        <v>261</v>
      </c>
      <c r="C106" s="150"/>
      <c r="D106" s="150"/>
      <c r="E106" s="150"/>
      <c r="F106" s="150"/>
      <c r="G106" s="150"/>
      <c r="H106" s="90"/>
      <c r="I106" s="3"/>
    </row>
    <row r="107" spans="1:9" ht="15.75" customHeight="1">
      <c r="A107" s="74"/>
      <c r="B107" s="151" t="s">
        <v>6</v>
      </c>
      <c r="C107" s="151"/>
      <c r="D107" s="151"/>
      <c r="E107" s="151"/>
      <c r="F107" s="151"/>
      <c r="G107" s="151"/>
      <c r="H107" s="28"/>
      <c r="I107" s="5"/>
    </row>
    <row r="108" spans="1:9" ht="8.25" customHeight="1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5.75" customHeight="1">
      <c r="A109" s="135" t="s">
        <v>7</v>
      </c>
      <c r="B109" s="135"/>
      <c r="C109" s="135"/>
      <c r="D109" s="135"/>
      <c r="E109" s="135"/>
      <c r="F109" s="135"/>
      <c r="G109" s="135"/>
      <c r="H109" s="135"/>
      <c r="I109" s="135"/>
    </row>
    <row r="110" spans="1:9" ht="15.75" customHeight="1">
      <c r="A110" s="135" t="s">
        <v>8</v>
      </c>
      <c r="B110" s="135"/>
      <c r="C110" s="135"/>
      <c r="D110" s="135"/>
      <c r="E110" s="135"/>
      <c r="F110" s="135"/>
      <c r="G110" s="135"/>
      <c r="H110" s="135"/>
      <c r="I110" s="135"/>
    </row>
    <row r="111" spans="1:9" ht="15.75" customHeight="1">
      <c r="A111" s="155" t="s">
        <v>59</v>
      </c>
      <c r="B111" s="155"/>
      <c r="C111" s="155"/>
      <c r="D111" s="155"/>
      <c r="E111" s="155"/>
      <c r="F111" s="155"/>
      <c r="G111" s="155"/>
      <c r="H111" s="155"/>
      <c r="I111" s="155"/>
    </row>
    <row r="112" spans="1:9" ht="15.75" customHeight="1">
      <c r="A112" s="10"/>
    </row>
    <row r="113" spans="1:9" ht="15.75" customHeight="1">
      <c r="A113" s="156" t="s">
        <v>9</v>
      </c>
      <c r="B113" s="156"/>
      <c r="C113" s="156"/>
      <c r="D113" s="156"/>
      <c r="E113" s="156"/>
      <c r="F113" s="156"/>
      <c r="G113" s="156"/>
      <c r="H113" s="156"/>
      <c r="I113" s="156"/>
    </row>
    <row r="114" spans="1:9" ht="15.75" customHeight="1">
      <c r="A114" s="4"/>
    </row>
    <row r="115" spans="1:9" ht="15.75" customHeight="1">
      <c r="B115" s="77" t="s">
        <v>10</v>
      </c>
      <c r="C115" s="157" t="s">
        <v>85</v>
      </c>
      <c r="D115" s="157"/>
      <c r="E115" s="157"/>
      <c r="F115" s="88"/>
      <c r="I115" s="76"/>
    </row>
    <row r="116" spans="1:9" ht="15.75" customHeight="1">
      <c r="A116" s="74"/>
      <c r="C116" s="151" t="s">
        <v>11</v>
      </c>
      <c r="D116" s="151"/>
      <c r="E116" s="151"/>
      <c r="F116" s="28"/>
      <c r="I116" s="75" t="s">
        <v>12</v>
      </c>
    </row>
    <row r="117" spans="1:9" ht="15.75" customHeight="1">
      <c r="A117" s="29"/>
      <c r="C117" s="11"/>
      <c r="D117" s="11"/>
      <c r="G117" s="11"/>
      <c r="H117" s="11"/>
    </row>
    <row r="118" spans="1:9" ht="15.75" customHeight="1">
      <c r="B118" s="77" t="s">
        <v>13</v>
      </c>
      <c r="C118" s="152"/>
      <c r="D118" s="152"/>
      <c r="E118" s="152"/>
      <c r="F118" s="89"/>
      <c r="I118" s="76"/>
    </row>
    <row r="119" spans="1:9" ht="15.75" customHeight="1">
      <c r="A119" s="74"/>
      <c r="C119" s="131" t="s">
        <v>11</v>
      </c>
      <c r="D119" s="131"/>
      <c r="E119" s="131"/>
      <c r="F119" s="74"/>
      <c r="I119" s="75" t="s">
        <v>12</v>
      </c>
    </row>
    <row r="120" spans="1:9" ht="15.75" customHeight="1">
      <c r="A120" s="4" t="s">
        <v>14</v>
      </c>
    </row>
    <row r="121" spans="1:9" ht="15.75" customHeight="1">
      <c r="A121" s="154" t="s">
        <v>15</v>
      </c>
      <c r="B121" s="154"/>
      <c r="C121" s="154"/>
      <c r="D121" s="154"/>
      <c r="E121" s="154"/>
      <c r="F121" s="154"/>
      <c r="G121" s="154"/>
      <c r="H121" s="154"/>
      <c r="I121" s="154"/>
    </row>
    <row r="122" spans="1:9" ht="45" customHeight="1">
      <c r="A122" s="153" t="s">
        <v>16</v>
      </c>
      <c r="B122" s="153"/>
      <c r="C122" s="153"/>
      <c r="D122" s="153"/>
      <c r="E122" s="153"/>
      <c r="F122" s="153"/>
      <c r="G122" s="153"/>
      <c r="H122" s="153"/>
      <c r="I122" s="153"/>
    </row>
    <row r="123" spans="1:9" ht="30" customHeight="1">
      <c r="A123" s="153" t="s">
        <v>17</v>
      </c>
      <c r="B123" s="153"/>
      <c r="C123" s="153"/>
      <c r="D123" s="153"/>
      <c r="E123" s="153"/>
      <c r="F123" s="153"/>
      <c r="G123" s="153"/>
      <c r="H123" s="153"/>
      <c r="I123" s="153"/>
    </row>
    <row r="124" spans="1:9" ht="30" customHeight="1">
      <c r="A124" s="153" t="s">
        <v>21</v>
      </c>
      <c r="B124" s="153"/>
      <c r="C124" s="153"/>
      <c r="D124" s="153"/>
      <c r="E124" s="153"/>
      <c r="F124" s="153"/>
      <c r="G124" s="153"/>
      <c r="H124" s="153"/>
      <c r="I124" s="153"/>
    </row>
    <row r="125" spans="1:9" ht="15" customHeight="1">
      <c r="A125" s="153" t="s">
        <v>20</v>
      </c>
      <c r="B125" s="153"/>
      <c r="C125" s="153"/>
      <c r="D125" s="153"/>
      <c r="E125" s="153"/>
      <c r="F125" s="153"/>
      <c r="G125" s="153"/>
      <c r="H125" s="153"/>
      <c r="I125" s="153"/>
    </row>
  </sheetData>
  <autoFilter ref="I12:I70"/>
  <mergeCells count="29">
    <mergeCell ref="A121:I121"/>
    <mergeCell ref="A122:I122"/>
    <mergeCell ref="A123:I123"/>
    <mergeCell ref="A124:I124"/>
    <mergeCell ref="A125:I125"/>
    <mergeCell ref="R74:U74"/>
    <mergeCell ref="C119:E119"/>
    <mergeCell ref="A98:I98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'01.19'!Область_печати</vt:lpstr>
      <vt:lpstr>'02.19'!Область_печати</vt:lpstr>
      <vt:lpstr>'03.19'!Область_печати</vt:lpstr>
      <vt:lpstr>'04.19'!Область_печати</vt:lpstr>
      <vt:lpstr>'05.19'!Область_печати</vt:lpstr>
      <vt:lpstr>'06.19'!Область_печати</vt:lpstr>
      <vt:lpstr>'07.19'!Область_печати</vt:lpstr>
      <vt:lpstr>'08.19'!Область_печати</vt:lpstr>
      <vt:lpstr>'09.19'!Область_печати</vt:lpstr>
      <vt:lpstr>'10.19'!Область_печати</vt:lpstr>
      <vt:lpstr>'11.19'!Область_печати</vt:lpstr>
      <vt:lpstr>'12.19'!Область_печати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2020-02-12T07:55:04Z</cp:lastPrinted>
  <dcterms:created xsi:type="dcterms:W3CDTF">2016-03-25T08:33:47Z</dcterms:created>
  <dcterms:modified xsi:type="dcterms:W3CDTF">2020-02-12T08:00:51Z</dcterms:modified>
</cp:coreProperties>
</file>