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540" windowWidth="15495" windowHeight="11280" activeTab="11"/>
  </bookViews>
  <sheets>
    <sheet name="01.17" sheetId="17" r:id="rId1"/>
    <sheet name="02.17" sheetId="18" r:id="rId2"/>
    <sheet name="03.17" sheetId="19" r:id="rId3"/>
    <sheet name="04.17" sheetId="20" r:id="rId4"/>
    <sheet name="05.17" sheetId="21" r:id="rId5"/>
    <sheet name="06.17" sheetId="22" r:id="rId6"/>
    <sheet name="07.17" sheetId="23" r:id="rId7"/>
    <sheet name="08.17" sheetId="24" r:id="rId8"/>
    <sheet name="09.17" sheetId="25" r:id="rId9"/>
    <sheet name="10.17" sheetId="26" r:id="rId10"/>
    <sheet name="11.17" sheetId="27" r:id="rId11"/>
    <sheet name="12.17" sheetId="28" r:id="rId12"/>
  </sheets>
  <definedNames>
    <definedName name="_xlnm._FilterDatabase" localSheetId="0" hidden="1">'01.17'!$I$12:$I$59</definedName>
    <definedName name="_xlnm._FilterDatabase" localSheetId="1" hidden="1">'02.17'!$I$12:$I$59</definedName>
    <definedName name="_xlnm._FilterDatabase" localSheetId="2" hidden="1">'03.17'!$I$12:$I$59</definedName>
    <definedName name="_xlnm._FilterDatabase" localSheetId="3" hidden="1">'04.17'!$I$12:$I$59</definedName>
    <definedName name="_xlnm._FilterDatabase" localSheetId="4" hidden="1">'05.17'!$I$12:$I$59</definedName>
    <definedName name="_xlnm._FilterDatabase" localSheetId="5" hidden="1">'06.17'!$I$12:$I$59</definedName>
    <definedName name="_xlnm._FilterDatabase" localSheetId="6" hidden="1">'07.17'!$I$12:$I$59</definedName>
    <definedName name="_xlnm._FilterDatabase" localSheetId="7" hidden="1">'08.17'!$I$12:$I$59</definedName>
    <definedName name="_xlnm._FilterDatabase" localSheetId="8" hidden="1">'09.17'!$I$12:$I$59</definedName>
    <definedName name="_xlnm._FilterDatabase" localSheetId="9" hidden="1">'10.17'!$I$12:$I$59</definedName>
    <definedName name="_xlnm._FilterDatabase" localSheetId="10" hidden="1">'11.17'!$I$12:$I$59</definedName>
    <definedName name="_xlnm._FilterDatabase" localSheetId="11" hidden="1">'12.17'!$I$12:$I$59</definedName>
    <definedName name="_xlnm.Print_Area" localSheetId="0">'01.17'!$A$1:$I$111</definedName>
    <definedName name="_xlnm.Print_Area" localSheetId="1">'02.17'!$A$1:$I$113</definedName>
    <definedName name="_xlnm.Print_Area" localSheetId="2">'03.17'!$A$1:$I$118</definedName>
    <definedName name="_xlnm.Print_Area" localSheetId="3">'04.17'!$A$1:$I$111</definedName>
    <definedName name="_xlnm.Print_Area" localSheetId="4">'05.17'!$A$1:$I$113</definedName>
    <definedName name="_xlnm.Print_Area" localSheetId="5">'06.17'!$A$1:$I$113</definedName>
    <definedName name="_xlnm.Print_Area" localSheetId="6">'07.17'!$A$1:$I$113</definedName>
    <definedName name="_xlnm.Print_Area" localSheetId="7">'08.17'!$A$1:$I$113</definedName>
    <definedName name="_xlnm.Print_Area" localSheetId="8">'09.17'!$A$1:$I$113</definedName>
    <definedName name="_xlnm.Print_Area" localSheetId="9">'10.17'!$A$1:$I$115</definedName>
    <definedName name="_xlnm.Print_Area" localSheetId="10">'11.17'!$A$1:$I$114</definedName>
    <definedName name="_xlnm.Print_Area" localSheetId="11">'12.17'!$A$1:$I$114</definedName>
  </definedNames>
  <calcPr calcId="124519"/>
</workbook>
</file>

<file path=xl/calcChain.xml><?xml version="1.0" encoding="utf-8"?>
<calcChain xmlns="http://schemas.openxmlformats.org/spreadsheetml/2006/main">
  <c r="I85" i="28"/>
  <c r="I85" i="27"/>
  <c r="I89" i="22"/>
  <c r="F89"/>
  <c r="H89" s="1"/>
  <c r="I90"/>
  <c r="F44" i="20"/>
  <c r="H44" s="1"/>
  <c r="I44" i="19"/>
  <c r="F44"/>
  <c r="H44" s="1"/>
  <c r="I85" i="18"/>
  <c r="I85" i="17"/>
  <c r="I44" i="20" l="1"/>
  <c r="I90" i="28" l="1"/>
  <c r="I89"/>
  <c r="H90"/>
  <c r="H89"/>
  <c r="I88"/>
  <c r="F88"/>
  <c r="H88" s="1"/>
  <c r="I87"/>
  <c r="I91" s="1"/>
  <c r="H87"/>
  <c r="E84"/>
  <c r="F84" s="1"/>
  <c r="F83"/>
  <c r="I83" s="1"/>
  <c r="H81"/>
  <c r="H79"/>
  <c r="H77"/>
  <c r="H76"/>
  <c r="I75"/>
  <c r="H75"/>
  <c r="I73"/>
  <c r="H73"/>
  <c r="F72"/>
  <c r="I72" s="1"/>
  <c r="F71"/>
  <c r="H71" s="1"/>
  <c r="F70"/>
  <c r="I70" s="1"/>
  <c r="F69"/>
  <c r="H69" s="1"/>
  <c r="F68"/>
  <c r="I68" s="1"/>
  <c r="H67"/>
  <c r="I66"/>
  <c r="H66"/>
  <c r="I64"/>
  <c r="H64"/>
  <c r="F62"/>
  <c r="I62" s="1"/>
  <c r="F61"/>
  <c r="H61" s="1"/>
  <c r="F59"/>
  <c r="H59" s="1"/>
  <c r="I56"/>
  <c r="F56"/>
  <c r="H56" s="1"/>
  <c r="I55"/>
  <c r="H55"/>
  <c r="F54"/>
  <c r="H54" s="1"/>
  <c r="F53"/>
  <c r="I53" s="1"/>
  <c r="F52"/>
  <c r="H52" s="1"/>
  <c r="F51"/>
  <c r="H51" s="1"/>
  <c r="F50"/>
  <c r="H50" s="1"/>
  <c r="F49"/>
  <c r="H49" s="1"/>
  <c r="F48"/>
  <c r="H48" s="1"/>
  <c r="F47"/>
  <c r="H47" s="1"/>
  <c r="I45"/>
  <c r="H45"/>
  <c r="F44"/>
  <c r="I44" s="1"/>
  <c r="F43"/>
  <c r="H43" s="1"/>
  <c r="F42"/>
  <c r="I42" s="1"/>
  <c r="F41"/>
  <c r="H41" s="1"/>
  <c r="I40"/>
  <c r="H40"/>
  <c r="H38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90" i="27"/>
  <c r="I89"/>
  <c r="H90"/>
  <c r="H89"/>
  <c r="I88"/>
  <c r="I64"/>
  <c r="I84" i="28" l="1"/>
  <c r="H84"/>
  <c r="H85" s="1"/>
  <c r="H16"/>
  <c r="I17"/>
  <c r="I93" s="1"/>
  <c r="H18"/>
  <c r="I20"/>
  <c r="H21"/>
  <c r="I24"/>
  <c r="I27"/>
  <c r="H28"/>
  <c r="I31"/>
  <c r="H32"/>
  <c r="I33"/>
  <c r="H34"/>
  <c r="I41"/>
  <c r="H42"/>
  <c r="I43"/>
  <c r="H44"/>
  <c r="I52"/>
  <c r="H53"/>
  <c r="I54"/>
  <c r="I59"/>
  <c r="H62"/>
  <c r="H80" s="1"/>
  <c r="H68"/>
  <c r="I69"/>
  <c r="H70"/>
  <c r="I71"/>
  <c r="H72"/>
  <c r="H83"/>
  <c r="H88" i="27" l="1"/>
  <c r="F88"/>
  <c r="I87"/>
  <c r="H87"/>
  <c r="F84"/>
  <c r="H84" s="1"/>
  <c r="H85" s="1"/>
  <c r="E84"/>
  <c r="F83"/>
  <c r="H83" s="1"/>
  <c r="H81"/>
  <c r="H79"/>
  <c r="H77"/>
  <c r="H76"/>
  <c r="I75"/>
  <c r="H75"/>
  <c r="I73"/>
  <c r="H73"/>
  <c r="F72"/>
  <c r="H72" s="1"/>
  <c r="F71"/>
  <c r="I71" s="1"/>
  <c r="F70"/>
  <c r="H70" s="1"/>
  <c r="F69"/>
  <c r="I69" s="1"/>
  <c r="F68"/>
  <c r="H68" s="1"/>
  <c r="H67"/>
  <c r="I66"/>
  <c r="H66"/>
  <c r="H64"/>
  <c r="F62"/>
  <c r="I62" s="1"/>
  <c r="F61"/>
  <c r="H61" s="1"/>
  <c r="F59"/>
  <c r="H59" s="1"/>
  <c r="I56"/>
  <c r="F56"/>
  <c r="H56" s="1"/>
  <c r="I55"/>
  <c r="H55"/>
  <c r="F54"/>
  <c r="H54" s="1"/>
  <c r="F53"/>
  <c r="I53" s="1"/>
  <c r="F52"/>
  <c r="H52" s="1"/>
  <c r="F51"/>
  <c r="H51" s="1"/>
  <c r="F50"/>
  <c r="H50" s="1"/>
  <c r="F49"/>
  <c r="H49" s="1"/>
  <c r="F48"/>
  <c r="H48" s="1"/>
  <c r="F47"/>
  <c r="H47" s="1"/>
  <c r="I45"/>
  <c r="H45"/>
  <c r="F44"/>
  <c r="I44" s="1"/>
  <c r="F43"/>
  <c r="H43" s="1"/>
  <c r="F42"/>
  <c r="I42" s="1"/>
  <c r="F41"/>
  <c r="H41" s="1"/>
  <c r="I40"/>
  <c r="H40"/>
  <c r="H38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I21" s="1"/>
  <c r="F20"/>
  <c r="I20" s="1"/>
  <c r="F19"/>
  <c r="H19" s="1"/>
  <c r="F18"/>
  <c r="I18" s="1"/>
  <c r="F17"/>
  <c r="H17" s="1"/>
  <c r="F16"/>
  <c r="I16" s="1"/>
  <c r="H44" l="1"/>
  <c r="I91"/>
  <c r="H20"/>
  <c r="H71"/>
  <c r="H69"/>
  <c r="H62"/>
  <c r="H80" s="1"/>
  <c r="H53"/>
  <c r="H42"/>
  <c r="H16"/>
  <c r="I17"/>
  <c r="H18"/>
  <c r="H21"/>
  <c r="I24"/>
  <c r="I27"/>
  <c r="H28"/>
  <c r="I31"/>
  <c r="H32"/>
  <c r="I33"/>
  <c r="H34"/>
  <c r="I41"/>
  <c r="I43"/>
  <c r="I52"/>
  <c r="I54"/>
  <c r="I59"/>
  <c r="I68"/>
  <c r="I70"/>
  <c r="I72"/>
  <c r="I83"/>
  <c r="I84"/>
  <c r="I93" l="1"/>
  <c r="I90" i="26" l="1"/>
  <c r="I91"/>
  <c r="H91"/>
  <c r="I89"/>
  <c r="H89"/>
  <c r="F89"/>
  <c r="I88"/>
  <c r="H88"/>
  <c r="I85"/>
  <c r="I66"/>
  <c r="I88" i="25"/>
  <c r="H89"/>
  <c r="H88"/>
  <c r="I87"/>
  <c r="H87"/>
  <c r="I85"/>
  <c r="I66"/>
  <c r="I85" i="24"/>
  <c r="I90"/>
  <c r="I89"/>
  <c r="F89"/>
  <c r="H89" s="1"/>
  <c r="I88"/>
  <c r="H88"/>
  <c r="I87"/>
  <c r="H87"/>
  <c r="I85" i="23"/>
  <c r="I89"/>
  <c r="F89"/>
  <c r="H89" s="1"/>
  <c r="I88"/>
  <c r="H88"/>
  <c r="I66"/>
  <c r="I88" i="22"/>
  <c r="H88"/>
  <c r="I89" i="21"/>
  <c r="I88"/>
  <c r="H89"/>
  <c r="H88"/>
  <c r="I93" i="19"/>
  <c r="I94"/>
  <c r="I92"/>
  <c r="I91"/>
  <c r="H94"/>
  <c r="H93"/>
  <c r="H92"/>
  <c r="F91"/>
  <c r="H91" s="1"/>
  <c r="H90"/>
  <c r="H89"/>
  <c r="I88"/>
  <c r="H88"/>
  <c r="I88" i="18"/>
  <c r="H89"/>
  <c r="H88"/>
  <c r="I66"/>
  <c r="I87" i="17"/>
  <c r="H87"/>
  <c r="I66"/>
  <c r="I75" i="26" l="1"/>
  <c r="I87"/>
  <c r="H87"/>
  <c r="E84"/>
  <c r="F84" s="1"/>
  <c r="H84" s="1"/>
  <c r="H85" s="1"/>
  <c r="F83"/>
  <c r="H83" s="1"/>
  <c r="H81"/>
  <c r="H79"/>
  <c r="H77"/>
  <c r="H76"/>
  <c r="H75"/>
  <c r="I73"/>
  <c r="H73"/>
  <c r="F72"/>
  <c r="H72" s="1"/>
  <c r="F71"/>
  <c r="I71" s="1"/>
  <c r="F70"/>
  <c r="H70" s="1"/>
  <c r="F69"/>
  <c r="I69" s="1"/>
  <c r="F68"/>
  <c r="H68" s="1"/>
  <c r="H67"/>
  <c r="H66"/>
  <c r="H64"/>
  <c r="F62"/>
  <c r="I62" s="1"/>
  <c r="F61"/>
  <c r="H61" s="1"/>
  <c r="F59"/>
  <c r="H59" s="1"/>
  <c r="I56"/>
  <c r="F56"/>
  <c r="H56" s="1"/>
  <c r="I55"/>
  <c r="H55"/>
  <c r="F54"/>
  <c r="H54" s="1"/>
  <c r="F53"/>
  <c r="I53" s="1"/>
  <c r="F52"/>
  <c r="H52" s="1"/>
  <c r="F51"/>
  <c r="H51" s="1"/>
  <c r="F50"/>
  <c r="H50" s="1"/>
  <c r="F49"/>
  <c r="H49" s="1"/>
  <c r="F48"/>
  <c r="H48" s="1"/>
  <c r="F47"/>
  <c r="H47" s="1"/>
  <c r="I45"/>
  <c r="H45"/>
  <c r="F44"/>
  <c r="I44" s="1"/>
  <c r="F43"/>
  <c r="H43" s="1"/>
  <c r="F42"/>
  <c r="I42" s="1"/>
  <c r="F41"/>
  <c r="H41" s="1"/>
  <c r="I40"/>
  <c r="H40"/>
  <c r="H38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89" i="25"/>
  <c r="I81"/>
  <c r="I90"/>
  <c r="E84"/>
  <c r="F84" s="1"/>
  <c r="F83"/>
  <c r="H83" s="1"/>
  <c r="H81"/>
  <c r="H79"/>
  <c r="H77"/>
  <c r="H76"/>
  <c r="I75"/>
  <c r="H75"/>
  <c r="I73"/>
  <c r="H73"/>
  <c r="F72"/>
  <c r="H72" s="1"/>
  <c r="F71"/>
  <c r="I71" s="1"/>
  <c r="F70"/>
  <c r="H70" s="1"/>
  <c r="F69"/>
  <c r="I69" s="1"/>
  <c r="F68"/>
  <c r="H68" s="1"/>
  <c r="H67"/>
  <c r="H66"/>
  <c r="H64"/>
  <c r="F62"/>
  <c r="I62" s="1"/>
  <c r="F61"/>
  <c r="H61" s="1"/>
  <c r="F59"/>
  <c r="H59" s="1"/>
  <c r="I56"/>
  <c r="F56"/>
  <c r="H56" s="1"/>
  <c r="I55"/>
  <c r="H55"/>
  <c r="F54"/>
  <c r="H54" s="1"/>
  <c r="F53"/>
  <c r="I53" s="1"/>
  <c r="F52"/>
  <c r="H52" s="1"/>
  <c r="F51"/>
  <c r="H51" s="1"/>
  <c r="F50"/>
  <c r="H50" s="1"/>
  <c r="F49"/>
  <c r="H49" s="1"/>
  <c r="F48"/>
  <c r="H48" s="1"/>
  <c r="F47"/>
  <c r="H47" s="1"/>
  <c r="I45"/>
  <c r="H45"/>
  <c r="F44"/>
  <c r="I44" s="1"/>
  <c r="F43"/>
  <c r="H43" s="1"/>
  <c r="F42"/>
  <c r="I42" s="1"/>
  <c r="F41"/>
  <c r="H41" s="1"/>
  <c r="I40"/>
  <c r="H40"/>
  <c r="H38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66" i="24"/>
  <c r="I92" i="26" l="1"/>
  <c r="H16"/>
  <c r="I17"/>
  <c r="H18"/>
  <c r="I20"/>
  <c r="H21"/>
  <c r="I24"/>
  <c r="I27"/>
  <c r="H28"/>
  <c r="I31"/>
  <c r="H32"/>
  <c r="I33"/>
  <c r="H34"/>
  <c r="I41"/>
  <c r="H42"/>
  <c r="I43"/>
  <c r="H44"/>
  <c r="I52"/>
  <c r="H53"/>
  <c r="I54"/>
  <c r="I59"/>
  <c r="H62"/>
  <c r="I68"/>
  <c r="H69"/>
  <c r="I70"/>
  <c r="H71"/>
  <c r="I72"/>
  <c r="I83"/>
  <c r="I84"/>
  <c r="I50" i="25"/>
  <c r="I48"/>
  <c r="I51"/>
  <c r="I49"/>
  <c r="I47"/>
  <c r="H84"/>
  <c r="H85" s="1"/>
  <c r="I84"/>
  <c r="H16"/>
  <c r="I17"/>
  <c r="H18"/>
  <c r="I20"/>
  <c r="H21"/>
  <c r="I24"/>
  <c r="I27"/>
  <c r="H28"/>
  <c r="I31"/>
  <c r="H32"/>
  <c r="I33"/>
  <c r="H34"/>
  <c r="I41"/>
  <c r="H42"/>
  <c r="I43"/>
  <c r="H44"/>
  <c r="I52"/>
  <c r="H53"/>
  <c r="I54"/>
  <c r="I59"/>
  <c r="H62"/>
  <c r="I68"/>
  <c r="H69"/>
  <c r="I70"/>
  <c r="H71"/>
  <c r="I72"/>
  <c r="I83"/>
  <c r="E84" i="24"/>
  <c r="F84" s="1"/>
  <c r="H84" s="1"/>
  <c r="H85" s="1"/>
  <c r="F83"/>
  <c r="H83" s="1"/>
  <c r="H81"/>
  <c r="H79"/>
  <c r="H77"/>
  <c r="H76"/>
  <c r="I75"/>
  <c r="H75"/>
  <c r="I73"/>
  <c r="H73"/>
  <c r="F72"/>
  <c r="H72" s="1"/>
  <c r="F71"/>
  <c r="I71" s="1"/>
  <c r="F70"/>
  <c r="H70" s="1"/>
  <c r="F69"/>
  <c r="I69" s="1"/>
  <c r="F68"/>
  <c r="H68" s="1"/>
  <c r="H67"/>
  <c r="H66"/>
  <c r="H64"/>
  <c r="F62"/>
  <c r="I62" s="1"/>
  <c r="F61"/>
  <c r="H61" s="1"/>
  <c r="F59"/>
  <c r="H59" s="1"/>
  <c r="I56"/>
  <c r="F56"/>
  <c r="H56" s="1"/>
  <c r="I55"/>
  <c r="H55"/>
  <c r="F54"/>
  <c r="H54" s="1"/>
  <c r="F53"/>
  <c r="I53" s="1"/>
  <c r="F52"/>
  <c r="H52" s="1"/>
  <c r="F51"/>
  <c r="H51" s="1"/>
  <c r="F50"/>
  <c r="H50" s="1"/>
  <c r="F49"/>
  <c r="H49" s="1"/>
  <c r="F48"/>
  <c r="H48" s="1"/>
  <c r="F47"/>
  <c r="H47" s="1"/>
  <c r="I45"/>
  <c r="H45"/>
  <c r="F44"/>
  <c r="I44" s="1"/>
  <c r="F43"/>
  <c r="H43" s="1"/>
  <c r="F42"/>
  <c r="I42" s="1"/>
  <c r="F41"/>
  <c r="H41" s="1"/>
  <c r="I40"/>
  <c r="H40"/>
  <c r="H38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I21" s="1"/>
  <c r="F20"/>
  <c r="I20" s="1"/>
  <c r="F19"/>
  <c r="H19" s="1"/>
  <c r="F18"/>
  <c r="I18" s="1"/>
  <c r="F17"/>
  <c r="I17" s="1"/>
  <c r="F16"/>
  <c r="I16" s="1"/>
  <c r="I87" i="23"/>
  <c r="H87"/>
  <c r="I90"/>
  <c r="E84"/>
  <c r="F84" s="1"/>
  <c r="F83"/>
  <c r="H83" s="1"/>
  <c r="H81"/>
  <c r="H79"/>
  <c r="H77"/>
  <c r="H76"/>
  <c r="I75"/>
  <c r="H75"/>
  <c r="I73"/>
  <c r="H73"/>
  <c r="F72"/>
  <c r="H72" s="1"/>
  <c r="F71"/>
  <c r="I71" s="1"/>
  <c r="F70"/>
  <c r="H70" s="1"/>
  <c r="F69"/>
  <c r="I69" s="1"/>
  <c r="F68"/>
  <c r="H68" s="1"/>
  <c r="H67"/>
  <c r="H66"/>
  <c r="H64"/>
  <c r="F62"/>
  <c r="I62" s="1"/>
  <c r="F61"/>
  <c r="H61" s="1"/>
  <c r="F59"/>
  <c r="H59" s="1"/>
  <c r="I56"/>
  <c r="F56"/>
  <c r="H56" s="1"/>
  <c r="I55"/>
  <c r="H55"/>
  <c r="F54"/>
  <c r="H54" s="1"/>
  <c r="F53"/>
  <c r="I53" s="1"/>
  <c r="F52"/>
  <c r="H52" s="1"/>
  <c r="F51"/>
  <c r="H51" s="1"/>
  <c r="F50"/>
  <c r="H50" s="1"/>
  <c r="F49"/>
  <c r="H49" s="1"/>
  <c r="F48"/>
  <c r="H48" s="1"/>
  <c r="F47"/>
  <c r="H47" s="1"/>
  <c r="I45"/>
  <c r="H45"/>
  <c r="F44"/>
  <c r="I44" s="1"/>
  <c r="F43"/>
  <c r="H43" s="1"/>
  <c r="F42"/>
  <c r="I42" s="1"/>
  <c r="F41"/>
  <c r="H41" s="1"/>
  <c r="I40"/>
  <c r="H40"/>
  <c r="H38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I21" s="1"/>
  <c r="F20"/>
  <c r="I20" s="1"/>
  <c r="F19"/>
  <c r="H19" s="1"/>
  <c r="F18"/>
  <c r="I18" s="1"/>
  <c r="F17"/>
  <c r="I17" s="1"/>
  <c r="F16"/>
  <c r="I16" s="1"/>
  <c r="I87" i="22"/>
  <c r="H87"/>
  <c r="E84"/>
  <c r="F84" s="1"/>
  <c r="H84" s="1"/>
  <c r="H85" s="1"/>
  <c r="F83"/>
  <c r="H83" s="1"/>
  <c r="H81"/>
  <c r="H79"/>
  <c r="H77"/>
  <c r="H76"/>
  <c r="I75"/>
  <c r="H75"/>
  <c r="I73"/>
  <c r="H73"/>
  <c r="F72"/>
  <c r="H72" s="1"/>
  <c r="F71"/>
  <c r="I71" s="1"/>
  <c r="F70"/>
  <c r="H70" s="1"/>
  <c r="F69"/>
  <c r="I69" s="1"/>
  <c r="F68"/>
  <c r="H68" s="1"/>
  <c r="H67"/>
  <c r="I66"/>
  <c r="H66"/>
  <c r="H64"/>
  <c r="F62"/>
  <c r="I62" s="1"/>
  <c r="F61"/>
  <c r="H61" s="1"/>
  <c r="F59"/>
  <c r="H59" s="1"/>
  <c r="I56"/>
  <c r="F56"/>
  <c r="H56" s="1"/>
  <c r="I55"/>
  <c r="H55"/>
  <c r="F54"/>
  <c r="H54" s="1"/>
  <c r="F53"/>
  <c r="I53" s="1"/>
  <c r="F52"/>
  <c r="H52" s="1"/>
  <c r="F51"/>
  <c r="H51" s="1"/>
  <c r="F50"/>
  <c r="H50" s="1"/>
  <c r="F49"/>
  <c r="H49" s="1"/>
  <c r="F48"/>
  <c r="H48" s="1"/>
  <c r="F47"/>
  <c r="H47" s="1"/>
  <c r="I45"/>
  <c r="H45"/>
  <c r="F44"/>
  <c r="I44" s="1"/>
  <c r="F43"/>
  <c r="H43" s="1"/>
  <c r="F42"/>
  <c r="I42" s="1"/>
  <c r="F41"/>
  <c r="H41" s="1"/>
  <c r="I40"/>
  <c r="H40"/>
  <c r="H38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26" i="21"/>
  <c r="I87"/>
  <c r="H87"/>
  <c r="I90"/>
  <c r="E84"/>
  <c r="F84" s="1"/>
  <c r="F83"/>
  <c r="H83" s="1"/>
  <c r="H81"/>
  <c r="H79"/>
  <c r="H77"/>
  <c r="H76"/>
  <c r="I75"/>
  <c r="H75"/>
  <c r="I73"/>
  <c r="H73"/>
  <c r="F72"/>
  <c r="H72" s="1"/>
  <c r="F71"/>
  <c r="I71" s="1"/>
  <c r="F70"/>
  <c r="H70" s="1"/>
  <c r="F69"/>
  <c r="I69" s="1"/>
  <c r="F68"/>
  <c r="H68" s="1"/>
  <c r="H67"/>
  <c r="I66"/>
  <c r="H66"/>
  <c r="H64"/>
  <c r="F62"/>
  <c r="I62" s="1"/>
  <c r="F61"/>
  <c r="H61" s="1"/>
  <c r="F59"/>
  <c r="H59" s="1"/>
  <c r="I56"/>
  <c r="F56"/>
  <c r="H56" s="1"/>
  <c r="I55"/>
  <c r="H55"/>
  <c r="F54"/>
  <c r="H54" s="1"/>
  <c r="F53"/>
  <c r="I53" s="1"/>
  <c r="F52"/>
  <c r="H52" s="1"/>
  <c r="F51"/>
  <c r="H51" s="1"/>
  <c r="F50"/>
  <c r="H50" s="1"/>
  <c r="F49"/>
  <c r="H49" s="1"/>
  <c r="F48"/>
  <c r="H48" s="1"/>
  <c r="F47"/>
  <c r="H47" s="1"/>
  <c r="I45"/>
  <c r="H45"/>
  <c r="F44"/>
  <c r="I44" s="1"/>
  <c r="F43"/>
  <c r="H43" s="1"/>
  <c r="F42"/>
  <c r="I42" s="1"/>
  <c r="F41"/>
  <c r="H41" s="1"/>
  <c r="I40"/>
  <c r="H40"/>
  <c r="H38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87" i="20"/>
  <c r="H87"/>
  <c r="I88"/>
  <c r="E84"/>
  <c r="F84" s="1"/>
  <c r="H84" s="1"/>
  <c r="H85" s="1"/>
  <c r="F83"/>
  <c r="H83" s="1"/>
  <c r="H81"/>
  <c r="H79"/>
  <c r="H77"/>
  <c r="H76"/>
  <c r="I75"/>
  <c r="H75"/>
  <c r="I73"/>
  <c r="H73"/>
  <c r="F72"/>
  <c r="H72" s="1"/>
  <c r="F71"/>
  <c r="I71" s="1"/>
  <c r="F70"/>
  <c r="H70" s="1"/>
  <c r="F69"/>
  <c r="I69" s="1"/>
  <c r="F68"/>
  <c r="H68" s="1"/>
  <c r="H67"/>
  <c r="I66"/>
  <c r="H66"/>
  <c r="H64"/>
  <c r="F62"/>
  <c r="I62" s="1"/>
  <c r="F61"/>
  <c r="H61" s="1"/>
  <c r="F59"/>
  <c r="H59" s="1"/>
  <c r="I56"/>
  <c r="F56"/>
  <c r="H56" s="1"/>
  <c r="I55"/>
  <c r="H55"/>
  <c r="F54"/>
  <c r="H54" s="1"/>
  <c r="F53"/>
  <c r="I53" s="1"/>
  <c r="F52"/>
  <c r="H52" s="1"/>
  <c r="F51"/>
  <c r="H51" s="1"/>
  <c r="F50"/>
  <c r="H50" s="1"/>
  <c r="F49"/>
  <c r="H49" s="1"/>
  <c r="F48"/>
  <c r="H48" s="1"/>
  <c r="F47"/>
  <c r="H47" s="1"/>
  <c r="I45"/>
  <c r="H45"/>
  <c r="F43"/>
  <c r="H43" s="1"/>
  <c r="F42"/>
  <c r="I42" s="1"/>
  <c r="F41"/>
  <c r="H41" s="1"/>
  <c r="I40"/>
  <c r="H40"/>
  <c r="H38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90" i="19"/>
  <c r="I89"/>
  <c r="I95" s="1"/>
  <c r="I75"/>
  <c r="I87"/>
  <c r="H87"/>
  <c r="E84"/>
  <c r="F84" s="1"/>
  <c r="H84" s="1"/>
  <c r="H85" s="1"/>
  <c r="F83"/>
  <c r="H83" s="1"/>
  <c r="H81"/>
  <c r="H79"/>
  <c r="H77"/>
  <c r="H76"/>
  <c r="H75"/>
  <c r="I73"/>
  <c r="H73"/>
  <c r="F72"/>
  <c r="H72" s="1"/>
  <c r="F71"/>
  <c r="I71" s="1"/>
  <c r="F70"/>
  <c r="H70" s="1"/>
  <c r="F69"/>
  <c r="I69" s="1"/>
  <c r="F68"/>
  <c r="H68" s="1"/>
  <c r="H67"/>
  <c r="I66"/>
  <c r="H66"/>
  <c r="H64"/>
  <c r="F62"/>
  <c r="I62" s="1"/>
  <c r="F61"/>
  <c r="H61" s="1"/>
  <c r="F59"/>
  <c r="H59" s="1"/>
  <c r="I56"/>
  <c r="F56"/>
  <c r="H56" s="1"/>
  <c r="I55"/>
  <c r="H55"/>
  <c r="F54"/>
  <c r="H54" s="1"/>
  <c r="F53"/>
  <c r="I53" s="1"/>
  <c r="F52"/>
  <c r="H52" s="1"/>
  <c r="F51"/>
  <c r="H51" s="1"/>
  <c r="F50"/>
  <c r="H50" s="1"/>
  <c r="F49"/>
  <c r="H49" s="1"/>
  <c r="F48"/>
  <c r="H48" s="1"/>
  <c r="F47"/>
  <c r="H47" s="1"/>
  <c r="I45"/>
  <c r="H45"/>
  <c r="I85"/>
  <c r="F43"/>
  <c r="H43" s="1"/>
  <c r="F42"/>
  <c r="I42" s="1"/>
  <c r="F41"/>
  <c r="H41" s="1"/>
  <c r="I40"/>
  <c r="H40"/>
  <c r="H38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89" i="18"/>
  <c r="I75"/>
  <c r="I87"/>
  <c r="H87"/>
  <c r="I90"/>
  <c r="E84"/>
  <c r="F84" s="1"/>
  <c r="H84" s="1"/>
  <c r="H85" s="1"/>
  <c r="F83"/>
  <c r="H83" s="1"/>
  <c r="H81"/>
  <c r="H79"/>
  <c r="H77"/>
  <c r="H76"/>
  <c r="H75"/>
  <c r="I73"/>
  <c r="H73"/>
  <c r="F72"/>
  <c r="H72" s="1"/>
  <c r="F71"/>
  <c r="I71" s="1"/>
  <c r="F70"/>
  <c r="H70" s="1"/>
  <c r="F69"/>
  <c r="I69" s="1"/>
  <c r="F68"/>
  <c r="H68" s="1"/>
  <c r="H67"/>
  <c r="H66"/>
  <c r="H64"/>
  <c r="F62"/>
  <c r="I62" s="1"/>
  <c r="F61"/>
  <c r="H61" s="1"/>
  <c r="F59"/>
  <c r="H59" s="1"/>
  <c r="I56"/>
  <c r="F56"/>
  <c r="H56" s="1"/>
  <c r="I55"/>
  <c r="H55"/>
  <c r="F54"/>
  <c r="H54" s="1"/>
  <c r="F53"/>
  <c r="I53" s="1"/>
  <c r="F52"/>
  <c r="H52" s="1"/>
  <c r="F51"/>
  <c r="H51" s="1"/>
  <c r="F50"/>
  <c r="H50" s="1"/>
  <c r="F49"/>
  <c r="H49" s="1"/>
  <c r="F48"/>
  <c r="H48" s="1"/>
  <c r="F47"/>
  <c r="H47" s="1"/>
  <c r="I45"/>
  <c r="H45"/>
  <c r="F44"/>
  <c r="I44" s="1"/>
  <c r="F43"/>
  <c r="H43" s="1"/>
  <c r="F42"/>
  <c r="I42" s="1"/>
  <c r="F41"/>
  <c r="H41" s="1"/>
  <c r="I40"/>
  <c r="H40"/>
  <c r="H38"/>
  <c r="H37"/>
  <c r="H36"/>
  <c r="H35"/>
  <c r="F35"/>
  <c r="I35" s="1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88" i="17"/>
  <c r="I73"/>
  <c r="E84"/>
  <c r="F83"/>
  <c r="I83" s="1"/>
  <c r="H81"/>
  <c r="H79"/>
  <c r="H77"/>
  <c r="H76"/>
  <c r="I75"/>
  <c r="H75"/>
  <c r="H73"/>
  <c r="F72"/>
  <c r="H72" s="1"/>
  <c r="F71"/>
  <c r="H71" s="1"/>
  <c r="F70"/>
  <c r="H70" s="1"/>
  <c r="F69"/>
  <c r="H69" s="1"/>
  <c r="F68"/>
  <c r="H68" s="1"/>
  <c r="H67"/>
  <c r="H66"/>
  <c r="H64"/>
  <c r="F62"/>
  <c r="H62" s="1"/>
  <c r="F61"/>
  <c r="H61" s="1"/>
  <c r="F59"/>
  <c r="I59" s="1"/>
  <c r="I56"/>
  <c r="F56"/>
  <c r="H56" s="1"/>
  <c r="I55"/>
  <c r="H55"/>
  <c r="F54"/>
  <c r="I54" s="1"/>
  <c r="F53"/>
  <c r="I53" s="1"/>
  <c r="F52"/>
  <c r="I52" s="1"/>
  <c r="F51"/>
  <c r="H51" s="1"/>
  <c r="F50"/>
  <c r="H50" s="1"/>
  <c r="F49"/>
  <c r="H49" s="1"/>
  <c r="F48"/>
  <c r="H48" s="1"/>
  <c r="F47"/>
  <c r="H47" s="1"/>
  <c r="I45"/>
  <c r="H45"/>
  <c r="F44"/>
  <c r="I44" s="1"/>
  <c r="F43"/>
  <c r="I43" s="1"/>
  <c r="F42"/>
  <c r="I42" s="1"/>
  <c r="F41"/>
  <c r="I41" s="1"/>
  <c r="I40"/>
  <c r="H40"/>
  <c r="F28"/>
  <c r="I28" s="1"/>
  <c r="H38"/>
  <c r="H37"/>
  <c r="H36"/>
  <c r="F27"/>
  <c r="I27" s="1"/>
  <c r="H35"/>
  <c r="F35"/>
  <c r="I35" s="1"/>
  <c r="F34"/>
  <c r="H34" s="1"/>
  <c r="F33"/>
  <c r="H33" s="1"/>
  <c r="F32"/>
  <c r="H32" s="1"/>
  <c r="F31"/>
  <c r="H31" s="1"/>
  <c r="H26"/>
  <c r="F25"/>
  <c r="H25" s="1"/>
  <c r="F24"/>
  <c r="I24" s="1"/>
  <c r="F23"/>
  <c r="H23" s="1"/>
  <c r="F22"/>
  <c r="H22" s="1"/>
  <c r="F21"/>
  <c r="I21" s="1"/>
  <c r="F20"/>
  <c r="I20" s="1"/>
  <c r="F19"/>
  <c r="H19" s="1"/>
  <c r="F18"/>
  <c r="I18" s="1"/>
  <c r="F17"/>
  <c r="H17" s="1"/>
  <c r="F16"/>
  <c r="I16" s="1"/>
  <c r="H62" i="23" l="1"/>
  <c r="H71"/>
  <c r="H80" i="26"/>
  <c r="I94"/>
  <c r="H80" i="25"/>
  <c r="I92"/>
  <c r="H17" i="24"/>
  <c r="H20"/>
  <c r="H62"/>
  <c r="H71"/>
  <c r="H69"/>
  <c r="H16"/>
  <c r="H18"/>
  <c r="H21"/>
  <c r="I24"/>
  <c r="I27"/>
  <c r="H28"/>
  <c r="I31"/>
  <c r="H32"/>
  <c r="I33"/>
  <c r="H34"/>
  <c r="I41"/>
  <c r="H42"/>
  <c r="I43"/>
  <c r="H44"/>
  <c r="I52"/>
  <c r="H53"/>
  <c r="I54"/>
  <c r="I59"/>
  <c r="I68"/>
  <c r="I70"/>
  <c r="I72"/>
  <c r="I83"/>
  <c r="I84"/>
  <c r="H17" i="23"/>
  <c r="H69"/>
  <c r="H20"/>
  <c r="H84"/>
  <c r="H85" s="1"/>
  <c r="I84"/>
  <c r="H80"/>
  <c r="H16"/>
  <c r="H18"/>
  <c r="H21"/>
  <c r="I24"/>
  <c r="I27"/>
  <c r="H28"/>
  <c r="I31"/>
  <c r="H32"/>
  <c r="I33"/>
  <c r="H34"/>
  <c r="I41"/>
  <c r="H42"/>
  <c r="I43"/>
  <c r="H44"/>
  <c r="I52"/>
  <c r="H53"/>
  <c r="I54"/>
  <c r="I59"/>
  <c r="I68"/>
  <c r="I70"/>
  <c r="I72"/>
  <c r="I83"/>
  <c r="H16" i="22"/>
  <c r="I17"/>
  <c r="H18"/>
  <c r="I20"/>
  <c r="H21"/>
  <c r="I24"/>
  <c r="I27"/>
  <c r="H28"/>
  <c r="I31"/>
  <c r="H32"/>
  <c r="I33"/>
  <c r="H34"/>
  <c r="I41"/>
  <c r="H42"/>
  <c r="I43"/>
  <c r="H44"/>
  <c r="I52"/>
  <c r="H53"/>
  <c r="I54"/>
  <c r="I59"/>
  <c r="H62"/>
  <c r="I68"/>
  <c r="H69"/>
  <c r="I70"/>
  <c r="H71"/>
  <c r="I72"/>
  <c r="I83"/>
  <c r="I84"/>
  <c r="I22" i="21"/>
  <c r="I25"/>
  <c r="I52"/>
  <c r="I50"/>
  <c r="I48"/>
  <c r="I19"/>
  <c r="I23"/>
  <c r="I51"/>
  <c r="I49"/>
  <c r="I47"/>
  <c r="H84"/>
  <c r="H85" s="1"/>
  <c r="I84"/>
  <c r="H16"/>
  <c r="I17"/>
  <c r="H18"/>
  <c r="I20"/>
  <c r="H21"/>
  <c r="I24"/>
  <c r="I27"/>
  <c r="H28"/>
  <c r="I31"/>
  <c r="H32"/>
  <c r="I33"/>
  <c r="H34"/>
  <c r="I41"/>
  <c r="H42"/>
  <c r="I43"/>
  <c r="H44"/>
  <c r="H53"/>
  <c r="I54"/>
  <c r="I59"/>
  <c r="H62"/>
  <c r="I68"/>
  <c r="H69"/>
  <c r="I70"/>
  <c r="H71"/>
  <c r="I72"/>
  <c r="I83"/>
  <c r="H16" i="20"/>
  <c r="I17"/>
  <c r="I85" s="1"/>
  <c r="H18"/>
  <c r="I20"/>
  <c r="H21"/>
  <c r="I24"/>
  <c r="I27"/>
  <c r="H28"/>
  <c r="I31"/>
  <c r="H32"/>
  <c r="I33"/>
  <c r="H34"/>
  <c r="I41"/>
  <c r="H42"/>
  <c r="I43"/>
  <c r="I52"/>
  <c r="H53"/>
  <c r="I54"/>
  <c r="I59"/>
  <c r="H62"/>
  <c r="I68"/>
  <c r="H69"/>
  <c r="I70"/>
  <c r="H71"/>
  <c r="I72"/>
  <c r="I83"/>
  <c r="I84"/>
  <c r="H71" i="19"/>
  <c r="H69"/>
  <c r="H16"/>
  <c r="I17"/>
  <c r="H18"/>
  <c r="I20"/>
  <c r="H21"/>
  <c r="I24"/>
  <c r="I27"/>
  <c r="H28"/>
  <c r="I31"/>
  <c r="H32"/>
  <c r="I33"/>
  <c r="H34"/>
  <c r="I41"/>
  <c r="H42"/>
  <c r="I43"/>
  <c r="I52"/>
  <c r="H53"/>
  <c r="I54"/>
  <c r="I59"/>
  <c r="H62"/>
  <c r="H80" s="1"/>
  <c r="I68"/>
  <c r="I70"/>
  <c r="I72"/>
  <c r="I83"/>
  <c r="I84"/>
  <c r="H16" i="18"/>
  <c r="I17"/>
  <c r="H18"/>
  <c r="I20"/>
  <c r="H21"/>
  <c r="I24"/>
  <c r="I27"/>
  <c r="H28"/>
  <c r="I31"/>
  <c r="H32"/>
  <c r="I33"/>
  <c r="H34"/>
  <c r="I41"/>
  <c r="H42"/>
  <c r="I43"/>
  <c r="H44"/>
  <c r="I52"/>
  <c r="H53"/>
  <c r="I54"/>
  <c r="I59"/>
  <c r="H62"/>
  <c r="I68"/>
  <c r="H69"/>
  <c r="I70"/>
  <c r="H71"/>
  <c r="I72"/>
  <c r="I83"/>
  <c r="I84"/>
  <c r="I71" i="17"/>
  <c r="I69"/>
  <c r="I68"/>
  <c r="I72"/>
  <c r="I70"/>
  <c r="I31"/>
  <c r="I34"/>
  <c r="I33"/>
  <c r="I32"/>
  <c r="H21"/>
  <c r="H16"/>
  <c r="H28"/>
  <c r="H41"/>
  <c r="H53"/>
  <c r="H83"/>
  <c r="H18"/>
  <c r="H27"/>
  <c r="H43"/>
  <c r="I17"/>
  <c r="H20"/>
  <c r="H24"/>
  <c r="H42"/>
  <c r="H44"/>
  <c r="H52"/>
  <c r="H54"/>
  <c r="H59"/>
  <c r="H80" s="1"/>
  <c r="I62"/>
  <c r="F84"/>
  <c r="I92" i="23" l="1"/>
  <c r="H80" i="22"/>
  <c r="I85"/>
  <c r="I92" s="1"/>
  <c r="I92" i="24"/>
  <c r="H80"/>
  <c r="I85" i="21"/>
  <c r="H80"/>
  <c r="I92"/>
  <c r="I90" i="20"/>
  <c r="H80"/>
  <c r="I97" i="19"/>
  <c r="I92" i="18"/>
  <c r="H80"/>
  <c r="H84" i="17"/>
  <c r="H85" s="1"/>
  <c r="I84"/>
  <c r="I90" s="1"/>
</calcChain>
</file>

<file path=xl/sharedStrings.xml><?xml version="1.0" encoding="utf-8"?>
<sst xmlns="http://schemas.openxmlformats.org/spreadsheetml/2006/main" count="2650" uniqueCount="225">
  <si>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</si>
  <si>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</si>
  <si>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</si>
  <si>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</si>
  <si>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</si>
  <si>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</si>
  <si>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</si>
  <si>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</si>
  <si>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</si>
  <si>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</si>
  <si>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</si>
  <si>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</si>
  <si>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</si>
  <si>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</si>
  <si>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</si>
  <si>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</si>
  <si>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</si>
  <si>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</si>
  <si>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</si>
  <si>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</si>
  <si>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</si>
  <si>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</si>
  <si>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</si>
  <si>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</si>
  <si>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</si>
  <si>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</si>
  <si>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</si>
  <si>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</si>
  <si>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</si>
  <si>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</si>
  <si>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</si>
  <si>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</si>
  <si>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</si>
  <si>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</si>
  <si>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конструкций стропил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</si>
  <si>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</si>
  <si>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</si>
  <si>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</si>
  <si>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</si>
  <si>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</si>
  <si>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</si>
  <si>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</si>
  <si>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</si>
  <si>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</si>
  <si>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</si>
  <si>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</si>
  <si>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</si>
  <si>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</si>
  <si>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</si>
  <si>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</si>
  <si>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</si>
  <si>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</si>
  <si>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</si>
  <si>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</si>
  <si>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</si>
  <si>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</si>
  <si>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</si>
  <si>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</si>
  <si>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</si>
  <si>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</si>
  <si>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</si>
  <si>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</si>
  <si>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</si>
  <si>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</si>
  <si>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</si>
  <si>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</si>
  <si>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</si>
  <si>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</si>
  <si>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</si>
  <si>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</si>
  <si>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</si>
  <si>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</si>
  <si>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</si>
  <si>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</si>
  <si>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</si>
  <si>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</si>
  <si>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</si>
  <si>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</si>
  <si>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</si>
  <si>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</si>
  <si>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</si>
  <si>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</si>
  <si>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</si>
  <si>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>ООО «Жилсервис»</t>
  </si>
  <si>
    <t>Влажное подметание лестничных клеток 1 этажа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</si>
  <si>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</si>
  <si>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</si>
  <si>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</si>
  <si>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</si>
  <si>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</si>
  <si>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</si>
  <si>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</si>
  <si>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</si>
  <si>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</si>
  <si>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</si>
  <si>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</si>
  <si>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</si>
  <si>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</si>
  <si>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</si>
  <si>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</si>
  <si>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</si>
  <si>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</si>
  <si>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</si>
  <si>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Уборка контейнерной площадки (16 кв.м.)</t>
  </si>
  <si>
    <t>Уборка газонов</t>
  </si>
  <si>
    <t>Сдвигание снега в дни снегопада (крыльца, тротуары)</t>
  </si>
  <si>
    <t>шт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</si>
  <si>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</si>
  <si>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</si>
  <si>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</si>
  <si>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</si>
  <si>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</si>
  <si>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</si>
  <si>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Замена ламп ДРЛ</t>
  </si>
  <si>
    <t>Аварийно-диспетчерское обслуживание</t>
  </si>
  <si>
    <t>Влажное подметание лестничных клеток 2-5 этажа</t>
  </si>
  <si>
    <t>Мытье лестничных  площадок и маршей 1-5 этаж.</t>
  </si>
  <si>
    <t xml:space="preserve">1 раз в месяц </t>
  </si>
  <si>
    <t>Очистка урн от мусора</t>
  </si>
  <si>
    <t>Подметание территории с усовершенствованным покрытием асф.: крыльца, контейнерн пл., проезд, тротуар</t>
  </si>
  <si>
    <t>Очистка  от мусора</t>
  </si>
  <si>
    <t>Дератизация</t>
  </si>
  <si>
    <t>Снятие показаний эл.счетчика коммунального назначения</t>
  </si>
  <si>
    <t>Влажная протирка шкафов для щитов и слаботочн.ус.</t>
  </si>
  <si>
    <t>Прочистка каналов</t>
  </si>
  <si>
    <t>Выкашивание газонов</t>
  </si>
  <si>
    <t>26 раз за сезон</t>
  </si>
  <si>
    <t>50 раз за сезон</t>
  </si>
  <si>
    <t>Лестничная клетка</t>
  </si>
  <si>
    <t>Установка пружин на входных дверях</t>
  </si>
  <si>
    <t>1 шт</t>
  </si>
  <si>
    <t>3м</t>
  </si>
  <si>
    <t>генеральный директор Куканов Ю.Л.</t>
  </si>
  <si>
    <t>III. Содержание общего имущества МКД</t>
  </si>
  <si>
    <t>IV. Прочие услуги</t>
  </si>
  <si>
    <t>III. Проведение технических осмотров</t>
  </si>
  <si>
    <t>IV. Содержание общего имущества МКД</t>
  </si>
  <si>
    <t>V. Прочие услуги</t>
  </si>
  <si>
    <t>АКТ №1</t>
  </si>
  <si>
    <t xml:space="preserve"> </t>
  </si>
  <si>
    <t>Осмотр кровли из штучных материалов</t>
  </si>
  <si>
    <t>Очистка края кровли от слежавшегося снега со сбрасыванием сосулек (10% от S кровли)</t>
  </si>
  <si>
    <t>5 раз в год</t>
  </si>
  <si>
    <t>АКТ №2</t>
  </si>
  <si>
    <t>АКТ №3</t>
  </si>
  <si>
    <t>АКТ №4</t>
  </si>
  <si>
    <t>АКТ №5</t>
  </si>
  <si>
    <t>АКТ №6</t>
  </si>
  <si>
    <t>АКТ №7</t>
  </si>
  <si>
    <t>АКТ №8</t>
  </si>
  <si>
    <t>АКТ №9</t>
  </si>
  <si>
    <t>АКТ №10</t>
  </si>
  <si>
    <t>ежемесячно</t>
  </si>
  <si>
    <t>за период с 01.10.2017 г. по 31.10.2017 г.</t>
  </si>
  <si>
    <r>
      <t xml:space="preserve">    Собственники помещений в многоквартирном доме, расположенном по адресу:  пгт.Ярега,  ул.Строительная,  д.8,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14.03.2013г. стороны,  и ООО «Жилсервис»,  именуемое в дальнейшем "Исполнитель",  в лице генерального директора Куканова Юрия Леонидовича,  действующего на основании Устава,  с другой стороны, совместно именуемые "Стороны",  составили настоящий Акт о нижеследующем:</t>
    </r>
  </si>
  <si>
    <r>
      <t xml:space="preserve">1.   Исполнителем   предъявлены   к   приемке   следующие   оказанные   на   основании   Договора   на   содержание   и   ремонт   многоквартирного   дома  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ул.Строительная, д.8</t>
    </r>
  </si>
  <si>
    <t>за период с 01.01.2017 г. по 31.01.2017 г.</t>
  </si>
  <si>
    <t>156 раз в год</t>
  </si>
  <si>
    <t>104 раза в год</t>
  </si>
  <si>
    <t xml:space="preserve">24 раза в год </t>
  </si>
  <si>
    <t xml:space="preserve">ежедневно </t>
  </si>
  <si>
    <t>Итого затраты за месяц</t>
  </si>
  <si>
    <t>за период с 01.02.2017 г. по 28.02.2017 г.</t>
  </si>
  <si>
    <t>Осмотр элекгросетей, арматуры и электрооборудования на чердаках и подвалах</t>
  </si>
  <si>
    <t>Внеплановая проверка вентканалов</t>
  </si>
  <si>
    <t>за период с 01.03.2017 г. по 31.03.2017 г.</t>
  </si>
  <si>
    <t>Смена полиэтиленовых канализационных труб 110×2000 мм</t>
  </si>
  <si>
    <t>Смена дверных приборов (замки навесные)</t>
  </si>
  <si>
    <t>Разборка гипсокартона (для работ ВДИС)</t>
  </si>
  <si>
    <t>10 м2</t>
  </si>
  <si>
    <t>Укрепление оконных и дверных приборов - пружин, ручек, петель, шпингалетов, проушин</t>
  </si>
  <si>
    <t>Поверка средств измерений: Счетчики холодной и горячей воды ВСХН, ВСХНд, ВСГН, ВСТН</t>
  </si>
  <si>
    <t>Поверка средств измерений: Комплекты термометров платиновые технические разностные КТПТР</t>
  </si>
  <si>
    <t>2. Всего за период с 01.03.2017 по 31.03.2017 выполнено работ (оказано услуг) на общую сумму: 67901,86 руб.</t>
  </si>
  <si>
    <t>(шестьдесят семь тысяч девятьсот один рубль 86 копеек)</t>
  </si>
  <si>
    <t>за период с 01.04.2017 г. по 30.04.2017 г.</t>
  </si>
  <si>
    <t>2. Всего за период с 01.04.2017 по 30.04.2017 выполнено работ (оказано услуг) на общую сумму: 71037,55 руб.</t>
  </si>
  <si>
    <t>(семьдесят одна тысяча тридцать семь рублей 55 копеек)</t>
  </si>
  <si>
    <t>за период с 01.05.2017 г. по 31.05.2017 г.</t>
  </si>
  <si>
    <t>52 раза в сезон</t>
  </si>
  <si>
    <t>78 раз за сезон</t>
  </si>
  <si>
    <t>Смена дощатых полов с добавлением новых досок до 25%</t>
  </si>
  <si>
    <t>2. Всего за период с 01.05.2017 по 31.05.2017 выполнено работ (оказано услуг) на общую сумму: 168994,66 руб.</t>
  </si>
  <si>
    <t>(сто шестьдесят восемь тысяч девятьсот девяносто четыре рубля 66 копеек)</t>
  </si>
  <si>
    <t>за период с 01.06.2017 г. по 30.06.2017 г.</t>
  </si>
  <si>
    <t>за период с 01.07.2017 г. по 31.07.2017 г.</t>
  </si>
  <si>
    <t>Прочистка засоров канализации</t>
  </si>
  <si>
    <t>2. Всего за период с 01.07.2017 по 31.07.2017 выполнено работ (оказано услуг) на общую сумму: 67399,32 руб.</t>
  </si>
  <si>
    <t>(шестьдесят семь тысяч триста девяносто девять рублей 32 копейки)</t>
  </si>
  <si>
    <t>за период с 01.08.2017 г. по 31.08.2017 г.</t>
  </si>
  <si>
    <t>2. Всего за период с 01.08.2017 по 31.08.2017 выполнено работ (оказано услуг) на общую сумму: 66776,71 руб.</t>
  </si>
  <si>
    <t>(шестьдесят шесть тысяч семьсот семьдесят шесть рублей 71 копейка)</t>
  </si>
  <si>
    <t>за период с 01.09.2017 г. по 30.09.2017 г.</t>
  </si>
  <si>
    <t xml:space="preserve">Герметизация стыков трубопроводов    </t>
  </si>
  <si>
    <t>1 место</t>
  </si>
  <si>
    <t xml:space="preserve">Переход чугун-пластик 160×100 </t>
  </si>
  <si>
    <t>2. Всего за период с 01.09.2017 по 30.09.2017 выполнено работ (оказано услуг) на общую сумму: 62248,77 руб.</t>
  </si>
  <si>
    <t>(шестьдесят две тысячи двести сорок восемь рублей 77 копеек)</t>
  </si>
  <si>
    <t>Установка приборов учёта на СО</t>
  </si>
  <si>
    <t>Смена полиэтиленовых канализационных труб 110×1000 мм</t>
  </si>
  <si>
    <t>руб.</t>
  </si>
  <si>
    <t>2. Всего за период с 01.10.2017 по 31.10.2017 выполнено работ (оказано услуг) на общую сумму: 148195,77 руб.</t>
  </si>
  <si>
    <t>(сто сорок восемь тысяч сто девяносто пять рублей 77 копеек)</t>
  </si>
  <si>
    <t>АКТ №11</t>
  </si>
  <si>
    <t>за период с 01.11.2017 г. по 30.11.2017 г.</t>
  </si>
  <si>
    <t>Смена трубопроводов на полипропиленовые трубы PN25 диаметром 20 мм</t>
  </si>
  <si>
    <t>1 м</t>
  </si>
  <si>
    <t>Смена арматуры - вентилей и клапанов обратных муфтовых диаметром до 20 мм</t>
  </si>
  <si>
    <t>АКТ №12</t>
  </si>
  <si>
    <t>за период с 01.12.2017 г. по 31.12.2017 г.</t>
  </si>
  <si>
    <t>Тройник 100-90°</t>
  </si>
  <si>
    <t>Патрубок компенсационный ПП Ду 100</t>
  </si>
  <si>
    <t xml:space="preserve">приемки оказанных услуг и выполненных работ по содержанию и текущему ремонту
общего имущества в многоквартирном доме №8 по ул.Строительная пгт.Ярега
</t>
  </si>
  <si>
    <t>2. Всего за период с 01.01.2017 по 31.01.2017 выполнено работ (оказано услуг) на общую сумму: 68492,63 руб.</t>
  </si>
  <si>
    <t>(шестьдесят восемь тысяч четыреста девяносто два рубля 63 копейки)</t>
  </si>
  <si>
    <t>2. Всего за период с 01.02.2017 по 28.02.2017 выполнено работ (оказано услуг) на общую сумму: 65711,54 руб.</t>
  </si>
  <si>
    <t>(шестьдесят пять тысяч семьсот одиннадцать рублей 54 копейки)</t>
  </si>
  <si>
    <t>15 раз за сезон</t>
  </si>
  <si>
    <t>Сверхнормативы по ОДП за 1 полугодие</t>
  </si>
  <si>
    <t>2. Всего за период с 01.06.2017 по 30.06.2017 выполнено работ (оказано услуг) на общую сумму: 55597,09 руб.</t>
  </si>
  <si>
    <t>(пятьдесят пять тысяч пятьсот девяносто семь рублей 09 копеек)</t>
  </si>
  <si>
    <t>2. Всего за период с 01.11.2017 по 30.11.2017 выполнено работ (оказано услуг) на общую сумму: 73239,38 руб.</t>
  </si>
  <si>
    <t>(семьдесят три тысячи двести тридцать девять рублей 38 копеек)</t>
  </si>
  <si>
    <t>2. Всего за период с 01.12.2017 по 31.12.2017 выполнено работ (оказано услуг) на общую сумму: 77239,70 руб.</t>
  </si>
  <si>
    <t>(семьдесят семь тысяч двести тридцать девять рублей 70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</si>
</sst>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2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1" fontId="11" fillId="0" borderId="3" xfId="0" applyNumberFormat="1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164" fontId="11" fillId="0" borderId="5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9" fillId="2" borderId="10" xfId="0" applyFont="1" applyFill="1" applyBorder="1" applyAlignment="1">
      <alignment horizontal="left" vertical="center" wrapText="1"/>
    </xf>
    <xf numFmtId="0" fontId="11" fillId="2" borderId="10" xfId="0" applyNumberFormat="1" applyFont="1" applyFill="1" applyBorder="1" applyAlignment="1" applyProtection="1">
      <alignment horizontal="left" vertical="center" wrapText="1"/>
    </xf>
    <xf numFmtId="0" fontId="11" fillId="2" borderId="10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left" vertical="center" wrapText="1"/>
    </xf>
    <xf numFmtId="4" fontId="11" fillId="2" borderId="11" xfId="0" applyNumberFormat="1" applyFont="1" applyFill="1" applyBorder="1" applyAlignment="1">
      <alignment horizontal="center" vertical="center"/>
    </xf>
    <xf numFmtId="4" fontId="11" fillId="3" borderId="11" xfId="0" applyNumberFormat="1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83</v>
      </c>
      <c r="I1" s="28"/>
      <c r="J1" s="1"/>
      <c r="K1" s="1"/>
      <c r="L1" s="1"/>
      <c r="M1" s="1"/>
    </row>
    <row r="2" spans="1:13" ht="15.75">
      <c r="A2" s="30" t="s">
        <v>61</v>
      </c>
      <c r="J2" s="2"/>
      <c r="K2" s="2"/>
      <c r="L2" s="2"/>
      <c r="M2" s="2"/>
    </row>
    <row r="3" spans="1:13" ht="15.75" customHeight="1">
      <c r="A3" s="114" t="s">
        <v>138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212</v>
      </c>
      <c r="B4" s="115"/>
      <c r="C4" s="115"/>
      <c r="D4" s="115"/>
      <c r="E4" s="115"/>
      <c r="F4" s="115"/>
      <c r="G4" s="115"/>
      <c r="H4" s="115"/>
      <c r="I4" s="115"/>
    </row>
    <row r="5" spans="1:13" ht="15.75">
      <c r="A5" s="114" t="s">
        <v>156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>
      <c r="A6" s="2"/>
      <c r="B6" s="57"/>
      <c r="C6" s="57"/>
      <c r="D6" s="57"/>
      <c r="E6" s="57"/>
      <c r="F6" s="57"/>
      <c r="G6" s="57"/>
      <c r="H6" s="57"/>
      <c r="I6" s="32">
        <v>42766</v>
      </c>
      <c r="J6" s="2"/>
      <c r="K6" s="2"/>
      <c r="L6" s="2"/>
      <c r="M6" s="2"/>
    </row>
    <row r="7" spans="1:13" ht="15.75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7" t="s">
        <v>154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18" t="s">
        <v>155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3" t="s">
        <v>58</v>
      </c>
      <c r="B14" s="113"/>
      <c r="C14" s="113"/>
      <c r="D14" s="113"/>
      <c r="E14" s="113"/>
      <c r="F14" s="113"/>
      <c r="G14" s="113"/>
      <c r="H14" s="113"/>
      <c r="I14" s="113"/>
      <c r="J14" s="8"/>
      <c r="K14" s="8"/>
      <c r="L14" s="8"/>
      <c r="M14" s="8"/>
    </row>
    <row r="15" spans="1:13" ht="15.75" customHeight="1">
      <c r="A15" s="109" t="s">
        <v>4</v>
      </c>
      <c r="B15" s="109"/>
      <c r="C15" s="109"/>
      <c r="D15" s="109"/>
      <c r="E15" s="109"/>
      <c r="F15" s="109"/>
      <c r="G15" s="109"/>
      <c r="H15" s="109"/>
      <c r="I15" s="109"/>
      <c r="J15" s="8"/>
      <c r="K15" s="8"/>
      <c r="L15" s="8"/>
      <c r="M15" s="8"/>
    </row>
    <row r="16" spans="1:13" ht="15.75" customHeight="1">
      <c r="A16" s="31">
        <v>1</v>
      </c>
      <c r="B16" s="14" t="s">
        <v>84</v>
      </c>
      <c r="C16" s="16" t="s">
        <v>85</v>
      </c>
      <c r="D16" s="14" t="s">
        <v>157</v>
      </c>
      <c r="E16" s="19">
        <v>62.28</v>
      </c>
      <c r="F16" s="13">
        <f>SUM(E16*156/100)</f>
        <v>97.156800000000004</v>
      </c>
      <c r="G16" s="13">
        <v>175.38</v>
      </c>
      <c r="H16" s="13">
        <f t="shared" ref="H16:H25" si="0">SUM(F16*G16/1000)</f>
        <v>17.039359584000003</v>
      </c>
      <c r="I16" s="13">
        <f>F16/12*G16</f>
        <v>1419.9466320000001</v>
      </c>
      <c r="J16" s="23"/>
      <c r="K16" s="8"/>
      <c r="L16" s="8"/>
      <c r="M16" s="8"/>
    </row>
    <row r="17" spans="1:13" ht="15.75" customHeight="1">
      <c r="A17" s="31">
        <v>2</v>
      </c>
      <c r="B17" s="14" t="s">
        <v>115</v>
      </c>
      <c r="C17" s="16" t="s">
        <v>85</v>
      </c>
      <c r="D17" s="14" t="s">
        <v>158</v>
      </c>
      <c r="E17" s="19">
        <v>311.42</v>
      </c>
      <c r="F17" s="13">
        <f>SUM(E17*104/100)</f>
        <v>323.8768</v>
      </c>
      <c r="G17" s="13">
        <v>175.38</v>
      </c>
      <c r="H17" s="13">
        <f t="shared" si="0"/>
        <v>56.801513183999994</v>
      </c>
      <c r="I17" s="13">
        <f>F17/12*G17</f>
        <v>4733.4594319999997</v>
      </c>
      <c r="J17" s="24"/>
      <c r="K17" s="8"/>
      <c r="L17" s="8"/>
      <c r="M17" s="8"/>
    </row>
    <row r="18" spans="1:13" ht="15.75" customHeight="1">
      <c r="A18" s="31">
        <v>3</v>
      </c>
      <c r="B18" s="14" t="s">
        <v>116</v>
      </c>
      <c r="C18" s="16" t="s">
        <v>85</v>
      </c>
      <c r="D18" s="14" t="s">
        <v>159</v>
      </c>
      <c r="E18" s="19">
        <v>373.7</v>
      </c>
      <c r="F18" s="13">
        <f>SUM(E18*24/100)</f>
        <v>89.687999999999988</v>
      </c>
      <c r="G18" s="13">
        <v>504.5</v>
      </c>
      <c r="H18" s="13">
        <f t="shared" si="0"/>
        <v>45.247595999999987</v>
      </c>
      <c r="I18" s="13">
        <f>F18/12*G18</f>
        <v>3770.6329999999998</v>
      </c>
      <c r="J18" s="24"/>
      <c r="K18" s="8"/>
      <c r="L18" s="8"/>
      <c r="M18" s="8"/>
    </row>
    <row r="19" spans="1:13" ht="15.75" hidden="1" customHeight="1">
      <c r="A19" s="31"/>
      <c r="B19" s="14" t="s">
        <v>92</v>
      </c>
      <c r="C19" s="16" t="s">
        <v>93</v>
      </c>
      <c r="D19" s="14" t="s">
        <v>94</v>
      </c>
      <c r="E19" s="19">
        <v>38.4</v>
      </c>
      <c r="F19" s="13">
        <f>SUM(E19/10)</f>
        <v>3.84</v>
      </c>
      <c r="G19" s="13">
        <v>170.16</v>
      </c>
      <c r="H19" s="13">
        <f t="shared" si="0"/>
        <v>0.65341439999999995</v>
      </c>
      <c r="I19" s="13">
        <v>0</v>
      </c>
      <c r="J19" s="24"/>
      <c r="K19" s="8"/>
      <c r="L19" s="8"/>
      <c r="M19" s="8"/>
    </row>
    <row r="20" spans="1:13" ht="15.75" customHeight="1">
      <c r="A20" s="31">
        <v>4</v>
      </c>
      <c r="B20" s="14" t="s">
        <v>95</v>
      </c>
      <c r="C20" s="16" t="s">
        <v>85</v>
      </c>
      <c r="D20" s="14" t="s">
        <v>117</v>
      </c>
      <c r="E20" s="19">
        <v>35.04</v>
      </c>
      <c r="F20" s="13">
        <f>SUM(E20*12/100)</f>
        <v>4.2048000000000005</v>
      </c>
      <c r="G20" s="13">
        <v>217.88</v>
      </c>
      <c r="H20" s="13">
        <f t="shared" si="0"/>
        <v>0.91614182399999999</v>
      </c>
      <c r="I20" s="13">
        <f>F20/12*G20</f>
        <v>76.345152000000013</v>
      </c>
      <c r="J20" s="24"/>
      <c r="K20" s="8"/>
      <c r="L20" s="8"/>
      <c r="M20" s="8"/>
    </row>
    <row r="21" spans="1:13" ht="15.75" customHeight="1">
      <c r="A21" s="31">
        <v>5</v>
      </c>
      <c r="B21" s="14" t="s">
        <v>96</v>
      </c>
      <c r="C21" s="16" t="s">
        <v>85</v>
      </c>
      <c r="D21" s="14" t="s">
        <v>30</v>
      </c>
      <c r="E21" s="19">
        <v>9.08</v>
      </c>
      <c r="F21" s="13">
        <f>SUM(E21*12/100)</f>
        <v>1.0896000000000001</v>
      </c>
      <c r="G21" s="13">
        <v>216.12</v>
      </c>
      <c r="H21" s="13">
        <f t="shared" si="0"/>
        <v>0.23548435200000004</v>
      </c>
      <c r="I21" s="13">
        <f>F21/12*G21</f>
        <v>19.623696000000002</v>
      </c>
      <c r="J21" s="24"/>
      <c r="K21" s="8"/>
      <c r="L21" s="8"/>
      <c r="M21" s="8"/>
    </row>
    <row r="22" spans="1:13" ht="15.75" hidden="1" customHeight="1">
      <c r="A22" s="31"/>
      <c r="B22" s="14" t="s">
        <v>97</v>
      </c>
      <c r="C22" s="16" t="s">
        <v>52</v>
      </c>
      <c r="D22" s="14" t="s">
        <v>94</v>
      </c>
      <c r="E22" s="19">
        <v>629</v>
      </c>
      <c r="F22" s="13">
        <f>SUM(E22/100)</f>
        <v>6.29</v>
      </c>
      <c r="G22" s="13">
        <v>269.26</v>
      </c>
      <c r="H22" s="13">
        <f t="shared" si="0"/>
        <v>1.6936453999999999</v>
      </c>
      <c r="I22" s="13">
        <v>0</v>
      </c>
      <c r="J22" s="24"/>
      <c r="K22" s="8"/>
      <c r="L22" s="8"/>
      <c r="M22" s="8"/>
    </row>
    <row r="23" spans="1:13" ht="15.75" hidden="1" customHeight="1">
      <c r="A23" s="31"/>
      <c r="B23" s="14" t="s">
        <v>98</v>
      </c>
      <c r="C23" s="16" t="s">
        <v>52</v>
      </c>
      <c r="D23" s="14" t="s">
        <v>94</v>
      </c>
      <c r="E23" s="19">
        <v>58</v>
      </c>
      <c r="F23" s="13">
        <f>SUM(E23/100)</f>
        <v>0.57999999999999996</v>
      </c>
      <c r="G23" s="13">
        <v>44.29</v>
      </c>
      <c r="H23" s="13">
        <f t="shared" si="0"/>
        <v>2.5688199999999998E-2</v>
      </c>
      <c r="I23" s="13">
        <v>0</v>
      </c>
      <c r="J23" s="24"/>
      <c r="K23" s="8"/>
      <c r="L23" s="8"/>
      <c r="M23" s="8"/>
    </row>
    <row r="24" spans="1:13" ht="15.75" hidden="1" customHeight="1">
      <c r="A24" s="31">
        <v>6</v>
      </c>
      <c r="B24" s="14" t="s">
        <v>99</v>
      </c>
      <c r="C24" s="16" t="s">
        <v>52</v>
      </c>
      <c r="D24" s="14" t="s">
        <v>30</v>
      </c>
      <c r="E24" s="19">
        <v>24</v>
      </c>
      <c r="F24" s="13">
        <f>E24*12/100</f>
        <v>2.88</v>
      </c>
      <c r="G24" s="13">
        <v>389.72</v>
      </c>
      <c r="H24" s="13">
        <f t="shared" si="0"/>
        <v>1.1223936000000001</v>
      </c>
      <c r="I24" s="13">
        <f>F24/12*G24</f>
        <v>93.532800000000009</v>
      </c>
      <c r="J24" s="24"/>
      <c r="K24" s="8"/>
      <c r="L24" s="8"/>
      <c r="M24" s="8"/>
    </row>
    <row r="25" spans="1:13" ht="15.75" hidden="1" customHeight="1">
      <c r="A25" s="31"/>
      <c r="B25" s="14" t="s">
        <v>100</v>
      </c>
      <c r="C25" s="16" t="s">
        <v>52</v>
      </c>
      <c r="D25" s="14" t="s">
        <v>53</v>
      </c>
      <c r="E25" s="19">
        <v>17</v>
      </c>
      <c r="F25" s="13">
        <f>SUM(E25/100)</f>
        <v>0.17</v>
      </c>
      <c r="G25" s="13">
        <v>520.79999999999995</v>
      </c>
      <c r="H25" s="13">
        <f t="shared" si="0"/>
        <v>8.8536000000000004E-2</v>
      </c>
      <c r="I25" s="13">
        <v>0</v>
      </c>
      <c r="J25" s="24"/>
      <c r="K25" s="8"/>
      <c r="L25" s="8"/>
      <c r="M25" s="8"/>
    </row>
    <row r="26" spans="1:13" ht="15.75" hidden="1" customHeight="1">
      <c r="A26" s="31"/>
      <c r="B26" s="14" t="s">
        <v>123</v>
      </c>
      <c r="C26" s="16" t="s">
        <v>52</v>
      </c>
      <c r="D26" s="14" t="s">
        <v>53</v>
      </c>
      <c r="E26" s="19">
        <v>24</v>
      </c>
      <c r="F26" s="13">
        <v>0.24</v>
      </c>
      <c r="G26" s="13">
        <v>216.12</v>
      </c>
      <c r="H26" s="13">
        <f>G26*F26/1000</f>
        <v>5.18688E-2</v>
      </c>
      <c r="I26" s="13">
        <v>0</v>
      </c>
      <c r="J26" s="24"/>
      <c r="K26" s="8"/>
      <c r="L26" s="8"/>
      <c r="M26" s="8"/>
    </row>
    <row r="27" spans="1:13" ht="15.75" customHeight="1">
      <c r="A27" s="31">
        <v>7</v>
      </c>
      <c r="B27" s="14" t="s">
        <v>63</v>
      </c>
      <c r="C27" s="16" t="s">
        <v>33</v>
      </c>
      <c r="D27" s="14" t="s">
        <v>160</v>
      </c>
      <c r="E27" s="19">
        <v>0.1</v>
      </c>
      <c r="F27" s="13">
        <f>SUM(E27*365)</f>
        <v>36.5</v>
      </c>
      <c r="G27" s="13">
        <v>147.03</v>
      </c>
      <c r="H27" s="13">
        <f>SUM(F27*G27/1000)</f>
        <v>5.3665950000000002</v>
      </c>
      <c r="I27" s="13">
        <f>F27/12*G27</f>
        <v>447.21625</v>
      </c>
      <c r="J27" s="25"/>
    </row>
    <row r="28" spans="1:13" ht="15.75" customHeight="1">
      <c r="A28" s="31">
        <v>8</v>
      </c>
      <c r="B28" s="44" t="s">
        <v>23</v>
      </c>
      <c r="C28" s="16" t="s">
        <v>24</v>
      </c>
      <c r="D28" s="14" t="s">
        <v>160</v>
      </c>
      <c r="E28" s="19">
        <v>5367.6</v>
      </c>
      <c r="F28" s="13">
        <f>SUM(E28*12)</f>
        <v>64411.200000000004</v>
      </c>
      <c r="G28" s="13">
        <v>3.18</v>
      </c>
      <c r="H28" s="13">
        <f>SUM(F28*G28/1000)</f>
        <v>204.82761600000003</v>
      </c>
      <c r="I28" s="13">
        <f>F28/12*G28</f>
        <v>17068.968000000001</v>
      </c>
      <c r="J28" s="25"/>
    </row>
    <row r="29" spans="1:13" ht="15.75" customHeight="1">
      <c r="A29" s="109" t="s">
        <v>82</v>
      </c>
      <c r="B29" s="109"/>
      <c r="C29" s="109"/>
      <c r="D29" s="109"/>
      <c r="E29" s="109"/>
      <c r="F29" s="109"/>
      <c r="G29" s="109"/>
      <c r="H29" s="109"/>
      <c r="I29" s="109"/>
      <c r="J29" s="24"/>
      <c r="K29" s="8"/>
      <c r="L29" s="8"/>
      <c r="M29" s="8"/>
    </row>
    <row r="30" spans="1:13" ht="15.75" hidden="1" customHeight="1">
      <c r="A30" s="31"/>
      <c r="B30" s="56" t="s">
        <v>28</v>
      </c>
      <c r="C30" s="16"/>
      <c r="D30" s="14"/>
      <c r="E30" s="19"/>
      <c r="F30" s="13"/>
      <c r="G30" s="13"/>
      <c r="H30" s="13"/>
      <c r="I30" s="13"/>
      <c r="J30" s="24"/>
      <c r="K30" s="8"/>
      <c r="L30" s="8"/>
      <c r="M30" s="8"/>
    </row>
    <row r="31" spans="1:13" ht="31.5" hidden="1" customHeight="1">
      <c r="A31" s="31">
        <v>9</v>
      </c>
      <c r="B31" s="14" t="s">
        <v>104</v>
      </c>
      <c r="C31" s="16" t="s">
        <v>87</v>
      </c>
      <c r="D31" s="14" t="s">
        <v>101</v>
      </c>
      <c r="E31" s="13">
        <v>748</v>
      </c>
      <c r="F31" s="13">
        <f>SUM(E31*52/1000)</f>
        <v>38.896000000000001</v>
      </c>
      <c r="G31" s="13">
        <v>155.88999999999999</v>
      </c>
      <c r="H31" s="13">
        <f t="shared" ref="H31:H38" si="1">SUM(F31*G31/1000)</f>
        <v>6.063497439999999</v>
      </c>
      <c r="I31" s="13">
        <f t="shared" ref="I31:I35" si="2">F31/6*G31</f>
        <v>1010.5829066666666</v>
      </c>
      <c r="J31" s="24"/>
      <c r="K31" s="8"/>
      <c r="L31" s="8"/>
      <c r="M31" s="8"/>
    </row>
    <row r="32" spans="1:13" ht="31.5" hidden="1" customHeight="1">
      <c r="A32" s="31">
        <v>10</v>
      </c>
      <c r="B32" s="14" t="s">
        <v>119</v>
      </c>
      <c r="C32" s="16" t="s">
        <v>87</v>
      </c>
      <c r="D32" s="14" t="s">
        <v>102</v>
      </c>
      <c r="E32" s="13">
        <v>374</v>
      </c>
      <c r="F32" s="13">
        <f>SUM(E32*78/1000)</f>
        <v>29.172000000000001</v>
      </c>
      <c r="G32" s="13">
        <v>258.63</v>
      </c>
      <c r="H32" s="13">
        <f t="shared" si="1"/>
        <v>7.5447543599999998</v>
      </c>
      <c r="I32" s="13">
        <f t="shared" si="2"/>
        <v>1257.4590599999999</v>
      </c>
      <c r="J32" s="24"/>
      <c r="K32" s="8"/>
      <c r="L32" s="8"/>
      <c r="M32" s="8"/>
    </row>
    <row r="33" spans="1:14" ht="15.75" hidden="1" customHeight="1">
      <c r="A33" s="31"/>
      <c r="B33" s="14" t="s">
        <v>27</v>
      </c>
      <c r="C33" s="16" t="s">
        <v>87</v>
      </c>
      <c r="D33" s="14" t="s">
        <v>53</v>
      </c>
      <c r="E33" s="13">
        <v>748</v>
      </c>
      <c r="F33" s="13">
        <f>SUM(E33/1000)</f>
        <v>0.748</v>
      </c>
      <c r="G33" s="13">
        <v>3020.33</v>
      </c>
      <c r="H33" s="13">
        <f t="shared" si="1"/>
        <v>2.25920684</v>
      </c>
      <c r="I33" s="13">
        <f>F33*G33</f>
        <v>2259.2068399999998</v>
      </c>
      <c r="J33" s="24"/>
      <c r="K33" s="8"/>
      <c r="L33" s="8"/>
      <c r="M33" s="8"/>
    </row>
    <row r="34" spans="1:14" ht="15.75" hidden="1" customHeight="1">
      <c r="A34" s="31">
        <v>11</v>
      </c>
      <c r="B34" s="14" t="s">
        <v>118</v>
      </c>
      <c r="C34" s="16" t="s">
        <v>40</v>
      </c>
      <c r="D34" s="14" t="s">
        <v>62</v>
      </c>
      <c r="E34" s="13">
        <v>1</v>
      </c>
      <c r="F34" s="13">
        <f>E34*155/100</f>
        <v>1.55</v>
      </c>
      <c r="G34" s="13">
        <v>1302.02</v>
      </c>
      <c r="H34" s="13">
        <f>G34*F34/1000</f>
        <v>2.0181309999999999</v>
      </c>
      <c r="I34" s="13">
        <f t="shared" si="2"/>
        <v>336.35516666666672</v>
      </c>
      <c r="J34" s="24"/>
      <c r="K34" s="8"/>
    </row>
    <row r="35" spans="1:14" ht="15.75" hidden="1" customHeight="1">
      <c r="A35" s="31">
        <v>12</v>
      </c>
      <c r="B35" s="14" t="s">
        <v>103</v>
      </c>
      <c r="C35" s="16" t="s">
        <v>31</v>
      </c>
      <c r="D35" s="14" t="s">
        <v>62</v>
      </c>
      <c r="E35" s="66">
        <v>0.33333333333333331</v>
      </c>
      <c r="F35" s="13">
        <f>155/3</f>
        <v>51.666666666666664</v>
      </c>
      <c r="G35" s="13">
        <v>56.69</v>
      </c>
      <c r="H35" s="13">
        <f>SUM(G35*155/3/1000)</f>
        <v>2.9289833333333331</v>
      </c>
      <c r="I35" s="13">
        <f t="shared" si="2"/>
        <v>488.16388888888883</v>
      </c>
      <c r="J35" s="25"/>
    </row>
    <row r="36" spans="1:14" ht="15.75" hidden="1" customHeight="1">
      <c r="A36" s="31"/>
      <c r="B36" s="14" t="s">
        <v>64</v>
      </c>
      <c r="C36" s="16" t="s">
        <v>33</v>
      </c>
      <c r="D36" s="14" t="s">
        <v>66</v>
      </c>
      <c r="E36" s="19"/>
      <c r="F36" s="13">
        <v>2</v>
      </c>
      <c r="G36" s="13">
        <v>191.32</v>
      </c>
      <c r="H36" s="13">
        <f t="shared" si="1"/>
        <v>0.38263999999999998</v>
      </c>
      <c r="I36" s="13">
        <v>0</v>
      </c>
      <c r="J36" s="25"/>
    </row>
    <row r="37" spans="1:14" ht="15.75" hidden="1" customHeight="1">
      <c r="A37" s="31"/>
      <c r="B37" s="14" t="s">
        <v>65</v>
      </c>
      <c r="C37" s="16" t="s">
        <v>32</v>
      </c>
      <c r="D37" s="14" t="s">
        <v>66</v>
      </c>
      <c r="E37" s="19"/>
      <c r="F37" s="13">
        <v>1</v>
      </c>
      <c r="G37" s="13">
        <v>1136.33</v>
      </c>
      <c r="H37" s="13">
        <f t="shared" si="1"/>
        <v>1.1363299999999998</v>
      </c>
      <c r="I37" s="13">
        <v>0</v>
      </c>
      <c r="J37" s="25"/>
    </row>
    <row r="38" spans="1:14" ht="15.75" hidden="1" customHeight="1">
      <c r="A38" s="31"/>
      <c r="B38" s="14" t="s">
        <v>125</v>
      </c>
      <c r="C38" s="16" t="s">
        <v>29</v>
      </c>
      <c r="D38" s="14"/>
      <c r="E38" s="19">
        <v>932.2</v>
      </c>
      <c r="F38" s="13">
        <v>0.93220000000000003</v>
      </c>
      <c r="G38" s="13">
        <v>1305.02</v>
      </c>
      <c r="H38" s="13">
        <f t="shared" si="1"/>
        <v>1.216539644</v>
      </c>
      <c r="I38" s="13">
        <v>0</v>
      </c>
      <c r="J38" s="25"/>
    </row>
    <row r="39" spans="1:14" ht="15.75" customHeight="1">
      <c r="A39" s="31"/>
      <c r="B39" s="56" t="s">
        <v>5</v>
      </c>
      <c r="C39" s="16"/>
      <c r="D39" s="14"/>
      <c r="E39" s="19"/>
      <c r="F39" s="13"/>
      <c r="G39" s="13"/>
      <c r="H39" s="13" t="s">
        <v>139</v>
      </c>
      <c r="I39" s="13"/>
      <c r="J39" s="25"/>
      <c r="L39" s="20"/>
      <c r="M39" s="21"/>
      <c r="N39" s="22"/>
    </row>
    <row r="40" spans="1:14" ht="15.75" customHeight="1">
      <c r="A40" s="31">
        <v>9</v>
      </c>
      <c r="B40" s="14" t="s">
        <v>26</v>
      </c>
      <c r="C40" s="16" t="s">
        <v>32</v>
      </c>
      <c r="D40" s="14"/>
      <c r="E40" s="19"/>
      <c r="F40" s="13">
        <v>6</v>
      </c>
      <c r="G40" s="13">
        <v>1527.22</v>
      </c>
      <c r="H40" s="13">
        <f t="shared" ref="H40:H45" si="3">SUM(F40*G40/1000)</f>
        <v>9.1633200000000006</v>
      </c>
      <c r="I40" s="13">
        <f t="shared" ref="I40:I45" si="4">F40/6*G40</f>
        <v>1527.22</v>
      </c>
      <c r="J40" s="25"/>
      <c r="L40" s="20"/>
      <c r="M40" s="21"/>
      <c r="N40" s="22"/>
    </row>
    <row r="41" spans="1:14" ht="15.75" customHeight="1">
      <c r="A41" s="31">
        <v>10</v>
      </c>
      <c r="B41" s="14" t="s">
        <v>105</v>
      </c>
      <c r="C41" s="16" t="s">
        <v>29</v>
      </c>
      <c r="D41" s="14" t="s">
        <v>126</v>
      </c>
      <c r="E41" s="19">
        <v>374</v>
      </c>
      <c r="F41" s="13">
        <f>E41*26/1000</f>
        <v>9.7240000000000002</v>
      </c>
      <c r="G41" s="13">
        <v>2102.71</v>
      </c>
      <c r="H41" s="13">
        <f>G41*F41/1000</f>
        <v>20.44675204</v>
      </c>
      <c r="I41" s="13">
        <f t="shared" si="4"/>
        <v>3407.792006666667</v>
      </c>
      <c r="J41" s="25"/>
      <c r="L41" s="20"/>
      <c r="M41" s="21"/>
      <c r="N41" s="22"/>
    </row>
    <row r="42" spans="1:14" ht="15.75" customHeight="1">
      <c r="A42" s="31">
        <v>11</v>
      </c>
      <c r="B42" s="14" t="s">
        <v>67</v>
      </c>
      <c r="C42" s="16" t="s">
        <v>29</v>
      </c>
      <c r="D42" s="14" t="s">
        <v>86</v>
      </c>
      <c r="E42" s="13">
        <v>160</v>
      </c>
      <c r="F42" s="13">
        <f>SUM(E42*155/1000)</f>
        <v>24.8</v>
      </c>
      <c r="G42" s="13">
        <v>350.75</v>
      </c>
      <c r="H42" s="13">
        <f t="shared" si="3"/>
        <v>8.6986000000000008</v>
      </c>
      <c r="I42" s="13">
        <f t="shared" si="4"/>
        <v>1449.7666666666669</v>
      </c>
      <c r="J42" s="25"/>
      <c r="L42" s="20"/>
      <c r="M42" s="21"/>
      <c r="N42" s="22"/>
    </row>
    <row r="43" spans="1:14" ht="47.25" customHeight="1">
      <c r="A43" s="31">
        <v>12</v>
      </c>
      <c r="B43" s="14" t="s">
        <v>81</v>
      </c>
      <c r="C43" s="16" t="s">
        <v>87</v>
      </c>
      <c r="D43" s="14" t="s">
        <v>127</v>
      </c>
      <c r="E43" s="13">
        <v>76</v>
      </c>
      <c r="F43" s="13">
        <f>SUM(E43*50/1000)</f>
        <v>3.8</v>
      </c>
      <c r="G43" s="13">
        <v>5803.28</v>
      </c>
      <c r="H43" s="13">
        <f t="shared" si="3"/>
        <v>22.052463999999997</v>
      </c>
      <c r="I43" s="13">
        <f t="shared" si="4"/>
        <v>3675.4106666666662</v>
      </c>
      <c r="J43" s="25"/>
      <c r="L43" s="20"/>
      <c r="M43" s="21"/>
      <c r="N43" s="22"/>
    </row>
    <row r="44" spans="1:14" ht="15.75" hidden="1" customHeight="1">
      <c r="A44" s="31">
        <v>13</v>
      </c>
      <c r="B44" s="14" t="s">
        <v>88</v>
      </c>
      <c r="C44" s="16" t="s">
        <v>87</v>
      </c>
      <c r="D44" s="14" t="s">
        <v>68</v>
      </c>
      <c r="E44" s="13">
        <v>76</v>
      </c>
      <c r="F44" s="13">
        <f>SUM(E44*45/1000)</f>
        <v>3.42</v>
      </c>
      <c r="G44" s="13">
        <v>428.7</v>
      </c>
      <c r="H44" s="13">
        <f t="shared" si="3"/>
        <v>1.466154</v>
      </c>
      <c r="I44" s="13">
        <f t="shared" si="4"/>
        <v>244.35899999999998</v>
      </c>
      <c r="J44" s="25"/>
      <c r="L44" s="20"/>
      <c r="M44" s="21"/>
      <c r="N44" s="22"/>
    </row>
    <row r="45" spans="1:14" ht="15.75" customHeight="1">
      <c r="A45" s="31">
        <v>13</v>
      </c>
      <c r="B45" s="14" t="s">
        <v>69</v>
      </c>
      <c r="C45" s="16" t="s">
        <v>33</v>
      </c>
      <c r="D45" s="14"/>
      <c r="E45" s="19"/>
      <c r="F45" s="13">
        <v>0.9</v>
      </c>
      <c r="G45" s="13">
        <v>798</v>
      </c>
      <c r="H45" s="13">
        <f t="shared" si="3"/>
        <v>0.71820000000000006</v>
      </c>
      <c r="I45" s="13">
        <f t="shared" si="4"/>
        <v>119.69999999999999</v>
      </c>
      <c r="J45" s="25"/>
      <c r="L45" s="20"/>
      <c r="M45" s="21"/>
      <c r="N45" s="22"/>
    </row>
    <row r="46" spans="1:14" ht="15.75" customHeight="1">
      <c r="A46" s="110" t="s">
        <v>135</v>
      </c>
      <c r="B46" s="111"/>
      <c r="C46" s="111"/>
      <c r="D46" s="111"/>
      <c r="E46" s="111"/>
      <c r="F46" s="111"/>
      <c r="G46" s="111"/>
      <c r="H46" s="111"/>
      <c r="I46" s="112"/>
      <c r="J46" s="25"/>
      <c r="L46" s="20"/>
      <c r="M46" s="21"/>
      <c r="N46" s="22"/>
    </row>
    <row r="47" spans="1:14" ht="15.75" hidden="1" customHeight="1">
      <c r="A47" s="31"/>
      <c r="B47" s="14" t="s">
        <v>140</v>
      </c>
      <c r="C47" s="16" t="s">
        <v>87</v>
      </c>
      <c r="D47" s="14" t="s">
        <v>42</v>
      </c>
      <c r="E47" s="19">
        <v>1099.7</v>
      </c>
      <c r="F47" s="13">
        <f>SUM(E47*2/1000)</f>
        <v>2.1994000000000002</v>
      </c>
      <c r="G47" s="13">
        <v>809.74</v>
      </c>
      <c r="H47" s="13">
        <f t="shared" ref="H47:H56" si="5">SUM(F47*G47/1000)</f>
        <v>1.7809421560000003</v>
      </c>
      <c r="I47" s="13">
        <v>0</v>
      </c>
      <c r="J47" s="25"/>
      <c r="L47" s="20"/>
      <c r="M47" s="21"/>
      <c r="N47" s="22"/>
    </row>
    <row r="48" spans="1:14" ht="15.75" hidden="1" customHeight="1">
      <c r="A48" s="31"/>
      <c r="B48" s="14" t="s">
        <v>35</v>
      </c>
      <c r="C48" s="16" t="s">
        <v>87</v>
      </c>
      <c r="D48" s="14" t="s">
        <v>42</v>
      </c>
      <c r="E48" s="19">
        <v>52</v>
      </c>
      <c r="F48" s="13">
        <f>E48*2/1000</f>
        <v>0.104</v>
      </c>
      <c r="G48" s="13">
        <v>579.48</v>
      </c>
      <c r="H48" s="13">
        <f t="shared" si="5"/>
        <v>6.0265920000000001E-2</v>
      </c>
      <c r="I48" s="13">
        <v>0</v>
      </c>
      <c r="J48" s="25"/>
      <c r="L48" s="20"/>
      <c r="M48" s="21"/>
      <c r="N48" s="22"/>
    </row>
    <row r="49" spans="1:22" ht="15.75" hidden="1" customHeight="1">
      <c r="A49" s="31"/>
      <c r="B49" s="14" t="s">
        <v>36</v>
      </c>
      <c r="C49" s="16" t="s">
        <v>87</v>
      </c>
      <c r="D49" s="14" t="s">
        <v>42</v>
      </c>
      <c r="E49" s="19">
        <v>917.78</v>
      </c>
      <c r="F49" s="13">
        <f>SUM(E49*2/1000)</f>
        <v>1.8355599999999999</v>
      </c>
      <c r="G49" s="13">
        <v>579.48</v>
      </c>
      <c r="H49" s="13">
        <f t="shared" si="5"/>
        <v>1.0636703087999999</v>
      </c>
      <c r="I49" s="13">
        <v>0</v>
      </c>
      <c r="J49" s="25"/>
      <c r="L49" s="20"/>
      <c r="M49" s="21"/>
      <c r="N49" s="22"/>
    </row>
    <row r="50" spans="1:22" ht="15.75" hidden="1" customHeight="1">
      <c r="A50" s="31"/>
      <c r="B50" s="14" t="s">
        <v>37</v>
      </c>
      <c r="C50" s="16" t="s">
        <v>87</v>
      </c>
      <c r="D50" s="14" t="s">
        <v>42</v>
      </c>
      <c r="E50" s="19">
        <v>3930</v>
      </c>
      <c r="F50" s="13">
        <f>SUM(E50*2/1000)</f>
        <v>7.86</v>
      </c>
      <c r="G50" s="13">
        <v>606.77</v>
      </c>
      <c r="H50" s="13">
        <f t="shared" si="5"/>
        <v>4.7692122000000001</v>
      </c>
      <c r="I50" s="13">
        <v>0</v>
      </c>
      <c r="J50" s="25"/>
      <c r="L50" s="20"/>
      <c r="M50" s="21"/>
      <c r="N50" s="22"/>
    </row>
    <row r="51" spans="1:22" ht="15.75" hidden="1" customHeight="1">
      <c r="A51" s="31"/>
      <c r="B51" s="14" t="s">
        <v>34</v>
      </c>
      <c r="C51" s="16" t="s">
        <v>52</v>
      </c>
      <c r="D51" s="14" t="s">
        <v>42</v>
      </c>
      <c r="E51" s="19">
        <v>142.38999999999999</v>
      </c>
      <c r="F51" s="13">
        <f>E51*2/100</f>
        <v>2.8477999999999999</v>
      </c>
      <c r="G51" s="13">
        <v>72.81</v>
      </c>
      <c r="H51" s="13">
        <f>F51*G51/1000</f>
        <v>0.207348318</v>
      </c>
      <c r="I51" s="13">
        <v>0</v>
      </c>
      <c r="J51" s="25"/>
      <c r="L51" s="20"/>
      <c r="M51" s="21"/>
      <c r="N51" s="22"/>
    </row>
    <row r="52" spans="1:22" ht="15.75" customHeight="1">
      <c r="A52" s="31">
        <v>14</v>
      </c>
      <c r="B52" s="14" t="s">
        <v>55</v>
      </c>
      <c r="C52" s="16" t="s">
        <v>87</v>
      </c>
      <c r="D52" s="14" t="s">
        <v>142</v>
      </c>
      <c r="E52" s="19">
        <v>1914</v>
      </c>
      <c r="F52" s="13">
        <f>SUM(E52*5/1000)</f>
        <v>9.57</v>
      </c>
      <c r="G52" s="13">
        <v>1213.55</v>
      </c>
      <c r="H52" s="13">
        <f t="shared" si="5"/>
        <v>11.613673500000001</v>
      </c>
      <c r="I52" s="13">
        <f>F52/5*G52</f>
        <v>2322.7347</v>
      </c>
      <c r="J52" s="25"/>
      <c r="L52" s="20"/>
      <c r="M52" s="21"/>
      <c r="N52" s="22"/>
    </row>
    <row r="53" spans="1:22" ht="31.5" customHeight="1">
      <c r="A53" s="31">
        <v>15</v>
      </c>
      <c r="B53" s="14" t="s">
        <v>89</v>
      </c>
      <c r="C53" s="16" t="s">
        <v>87</v>
      </c>
      <c r="D53" s="14" t="s">
        <v>42</v>
      </c>
      <c r="E53" s="19">
        <v>1914</v>
      </c>
      <c r="F53" s="13">
        <f>SUM(E53*2/1000)</f>
        <v>3.8279999999999998</v>
      </c>
      <c r="G53" s="13">
        <v>1213.55</v>
      </c>
      <c r="H53" s="13">
        <f t="shared" si="5"/>
        <v>4.6454693999999996</v>
      </c>
      <c r="I53" s="13">
        <f>F53/2*G53</f>
        <v>2322.7347</v>
      </c>
      <c r="J53" s="25"/>
      <c r="L53" s="20"/>
      <c r="M53" s="21"/>
      <c r="N53" s="22"/>
    </row>
    <row r="54" spans="1:22" ht="31.5" customHeight="1">
      <c r="A54" s="31">
        <v>16</v>
      </c>
      <c r="B54" s="14" t="s">
        <v>90</v>
      </c>
      <c r="C54" s="16" t="s">
        <v>38</v>
      </c>
      <c r="D54" s="14" t="s">
        <v>42</v>
      </c>
      <c r="E54" s="19">
        <v>20</v>
      </c>
      <c r="F54" s="13">
        <f>SUM(E54*2/100)</f>
        <v>0.4</v>
      </c>
      <c r="G54" s="13">
        <v>2730.49</v>
      </c>
      <c r="H54" s="13">
        <f>SUM(F54*G54/1000)</f>
        <v>1.0921959999999999</v>
      </c>
      <c r="I54" s="13">
        <f>F54/2*G54</f>
        <v>546.09799999999996</v>
      </c>
      <c r="J54" s="25"/>
      <c r="L54" s="20"/>
      <c r="M54" s="21"/>
      <c r="N54" s="22"/>
    </row>
    <row r="55" spans="1:22" ht="15.75" hidden="1" customHeight="1">
      <c r="A55" s="31">
        <v>18</v>
      </c>
      <c r="B55" s="14" t="s">
        <v>39</v>
      </c>
      <c r="C55" s="16" t="s">
        <v>40</v>
      </c>
      <c r="D55" s="14" t="s">
        <v>42</v>
      </c>
      <c r="E55" s="19">
        <v>1</v>
      </c>
      <c r="F55" s="13">
        <v>0.02</v>
      </c>
      <c r="G55" s="13">
        <v>5652.13</v>
      </c>
      <c r="H55" s="13">
        <f t="shared" si="5"/>
        <v>0.11304260000000001</v>
      </c>
      <c r="I55" s="13">
        <f>F55/2*G55</f>
        <v>56.521300000000004</v>
      </c>
      <c r="J55" s="25"/>
      <c r="L55" s="20"/>
      <c r="M55" s="21"/>
      <c r="N55" s="22"/>
    </row>
    <row r="56" spans="1:22" ht="15.75" hidden="1" customHeight="1">
      <c r="A56" s="31">
        <v>19</v>
      </c>
      <c r="B56" s="14" t="s">
        <v>41</v>
      </c>
      <c r="C56" s="16" t="s">
        <v>106</v>
      </c>
      <c r="D56" s="14" t="s">
        <v>70</v>
      </c>
      <c r="E56" s="19">
        <v>120</v>
      </c>
      <c r="F56" s="13">
        <f>SUM(E56)*3</f>
        <v>360</v>
      </c>
      <c r="G56" s="13">
        <v>65.67</v>
      </c>
      <c r="H56" s="13">
        <f t="shared" si="5"/>
        <v>23.641200000000001</v>
      </c>
      <c r="I56" s="13">
        <f>E56*G56</f>
        <v>7880.4000000000005</v>
      </c>
      <c r="J56" s="25"/>
      <c r="L56" s="20"/>
      <c r="M56" s="21"/>
      <c r="N56" s="22"/>
    </row>
    <row r="57" spans="1:22" ht="15.75" customHeight="1">
      <c r="A57" s="110" t="s">
        <v>136</v>
      </c>
      <c r="B57" s="111"/>
      <c r="C57" s="111"/>
      <c r="D57" s="111"/>
      <c r="E57" s="111"/>
      <c r="F57" s="111"/>
      <c r="G57" s="111"/>
      <c r="H57" s="111"/>
      <c r="I57" s="112"/>
      <c r="J57" s="25"/>
      <c r="L57" s="20"/>
      <c r="M57" s="21"/>
      <c r="N57" s="22"/>
    </row>
    <row r="58" spans="1:22" ht="15.75" customHeight="1">
      <c r="A58" s="31"/>
      <c r="B58" s="56" t="s">
        <v>43</v>
      </c>
      <c r="C58" s="16"/>
      <c r="D58" s="14"/>
      <c r="E58" s="19"/>
      <c r="F58" s="13"/>
      <c r="G58" s="13"/>
      <c r="H58" s="13"/>
      <c r="I58" s="13"/>
      <c r="J58" s="25"/>
      <c r="L58" s="20"/>
    </row>
    <row r="59" spans="1:22" ht="31.5" customHeight="1">
      <c r="A59" s="31">
        <v>17</v>
      </c>
      <c r="B59" s="14" t="s">
        <v>141</v>
      </c>
      <c r="C59" s="16" t="s">
        <v>85</v>
      </c>
      <c r="D59" s="14" t="s">
        <v>107</v>
      </c>
      <c r="E59" s="19">
        <v>66</v>
      </c>
      <c r="F59" s="13">
        <f>SUM(E59*6/100)</f>
        <v>3.96</v>
      </c>
      <c r="G59" s="13">
        <v>1547.28</v>
      </c>
      <c r="H59" s="13">
        <f>SUM(F59*G59/1000)</f>
        <v>6.1272288000000001</v>
      </c>
      <c r="I59" s="13">
        <f>F59/6*G59</f>
        <v>1021.2048</v>
      </c>
    </row>
    <row r="60" spans="1:22" ht="15.75" customHeight="1">
      <c r="A60" s="31"/>
      <c r="B60" s="56" t="s">
        <v>44</v>
      </c>
      <c r="C60" s="16"/>
      <c r="D60" s="14"/>
      <c r="E60" s="19"/>
      <c r="F60" s="13"/>
      <c r="G60" s="13"/>
      <c r="H60" s="13"/>
      <c r="I60" s="13"/>
    </row>
    <row r="61" spans="1:22" ht="15.75" hidden="1" customHeight="1">
      <c r="A61" s="31"/>
      <c r="B61" s="14" t="s">
        <v>120</v>
      </c>
      <c r="C61" s="16" t="s">
        <v>52</v>
      </c>
      <c r="D61" s="14" t="s">
        <v>53</v>
      </c>
      <c r="E61" s="19">
        <v>1387</v>
      </c>
      <c r="F61" s="13">
        <f>E61/100</f>
        <v>13.87</v>
      </c>
      <c r="G61" s="13">
        <v>793.61</v>
      </c>
      <c r="H61" s="13">
        <f>F61*G61/1000</f>
        <v>11.007370699999999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31">
        <v>18</v>
      </c>
      <c r="B62" s="14" t="s">
        <v>121</v>
      </c>
      <c r="C62" s="16" t="s">
        <v>25</v>
      </c>
      <c r="D62" s="14" t="s">
        <v>30</v>
      </c>
      <c r="E62" s="19">
        <v>286.8</v>
      </c>
      <c r="F62" s="13">
        <f>E62*12</f>
        <v>3441.6000000000004</v>
      </c>
      <c r="G62" s="13">
        <v>2.6</v>
      </c>
      <c r="H62" s="13">
        <f>F62*G62/1000</f>
        <v>8.9481600000000014</v>
      </c>
      <c r="I62" s="13">
        <f>F62/12*G62</f>
        <v>745.68000000000006</v>
      </c>
      <c r="J62" s="27"/>
      <c r="K62" s="27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31"/>
      <c r="B63" s="56" t="s">
        <v>128</v>
      </c>
      <c r="C63" s="16"/>
      <c r="D63" s="14"/>
      <c r="E63" s="19"/>
      <c r="F63" s="13"/>
      <c r="G63" s="13"/>
      <c r="H63" s="13"/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31"/>
      <c r="B64" s="14" t="s">
        <v>129</v>
      </c>
      <c r="C64" s="16" t="s">
        <v>106</v>
      </c>
      <c r="D64" s="14" t="s">
        <v>53</v>
      </c>
      <c r="E64" s="19">
        <v>4</v>
      </c>
      <c r="F64" s="13">
        <v>4</v>
      </c>
      <c r="G64" s="13">
        <v>237.75</v>
      </c>
      <c r="H64" s="13">
        <f t="shared" ref="H64" si="6">F64*G64/1000</f>
        <v>0.95099999999999996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94"/>
      <c r="S64" s="94"/>
      <c r="T64" s="94"/>
      <c r="U64" s="94"/>
    </row>
    <row r="65" spans="1:21" ht="15.75" customHeight="1">
      <c r="A65" s="31"/>
      <c r="B65" s="56" t="s">
        <v>45</v>
      </c>
      <c r="C65" s="16"/>
      <c r="D65" s="14"/>
      <c r="E65" s="19"/>
      <c r="F65" s="13"/>
      <c r="G65" s="13"/>
      <c r="H65" s="13" t="s">
        <v>139</v>
      </c>
      <c r="I65" s="1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customHeight="1">
      <c r="A66" s="31">
        <v>19</v>
      </c>
      <c r="B66" s="14" t="s">
        <v>46</v>
      </c>
      <c r="C66" s="16" t="s">
        <v>106</v>
      </c>
      <c r="D66" s="14" t="s">
        <v>66</v>
      </c>
      <c r="E66" s="19">
        <v>10</v>
      </c>
      <c r="F66" s="13">
        <v>10</v>
      </c>
      <c r="G66" s="13">
        <v>222.4</v>
      </c>
      <c r="H66" s="13">
        <f t="shared" ref="H66:H79" si="7">SUM(F66*G66/1000)</f>
        <v>2.2240000000000002</v>
      </c>
      <c r="I66" s="13">
        <f>G66*2</f>
        <v>444.8</v>
      </c>
    </row>
    <row r="67" spans="1:21" ht="15.75" hidden="1" customHeight="1">
      <c r="A67" s="31"/>
      <c r="B67" s="14" t="s">
        <v>47</v>
      </c>
      <c r="C67" s="16" t="s">
        <v>106</v>
      </c>
      <c r="D67" s="14" t="s">
        <v>66</v>
      </c>
      <c r="E67" s="19">
        <v>5</v>
      </c>
      <c r="F67" s="13">
        <v>5</v>
      </c>
      <c r="G67" s="13">
        <v>76.25</v>
      </c>
      <c r="H67" s="13">
        <f t="shared" si="7"/>
        <v>0.38124999999999998</v>
      </c>
      <c r="I67" s="13">
        <v>0</v>
      </c>
    </row>
    <row r="68" spans="1:21" ht="15.75" hidden="1" customHeight="1">
      <c r="A68" s="31"/>
      <c r="B68" s="14" t="s">
        <v>48</v>
      </c>
      <c r="C68" s="16" t="s">
        <v>108</v>
      </c>
      <c r="D68" s="14" t="s">
        <v>53</v>
      </c>
      <c r="E68" s="19">
        <v>19138</v>
      </c>
      <c r="F68" s="13">
        <f>SUM(E68/100)</f>
        <v>191.38</v>
      </c>
      <c r="G68" s="13">
        <v>212.15</v>
      </c>
      <c r="H68" s="13">
        <f t="shared" si="7"/>
        <v>40.601267</v>
      </c>
      <c r="I68" s="13">
        <f>F68*G68</f>
        <v>40601.267</v>
      </c>
    </row>
    <row r="69" spans="1:21" ht="15.75" hidden="1" customHeight="1">
      <c r="A69" s="31"/>
      <c r="B69" s="14" t="s">
        <v>49</v>
      </c>
      <c r="C69" s="16" t="s">
        <v>109</v>
      </c>
      <c r="D69" s="14"/>
      <c r="E69" s="19">
        <v>19138</v>
      </c>
      <c r="F69" s="13">
        <f>SUM(E69/1000)</f>
        <v>19.138000000000002</v>
      </c>
      <c r="G69" s="13">
        <v>165.21</v>
      </c>
      <c r="H69" s="13">
        <f t="shared" si="7"/>
        <v>3.1617889800000003</v>
      </c>
      <c r="I69" s="13">
        <f t="shared" ref="I69:I73" si="8">F69*G69</f>
        <v>3161.7889800000003</v>
      </c>
    </row>
    <row r="70" spans="1:21" ht="15.75" hidden="1" customHeight="1">
      <c r="A70" s="31"/>
      <c r="B70" s="14" t="s">
        <v>50</v>
      </c>
      <c r="C70" s="16" t="s">
        <v>76</v>
      </c>
      <c r="D70" s="14" t="s">
        <v>53</v>
      </c>
      <c r="E70" s="19">
        <v>2730</v>
      </c>
      <c r="F70" s="13">
        <f>SUM(E70/100)</f>
        <v>27.3</v>
      </c>
      <c r="G70" s="13">
        <v>2074.63</v>
      </c>
      <c r="H70" s="13">
        <f t="shared" si="7"/>
        <v>56.637399000000002</v>
      </c>
      <c r="I70" s="13">
        <f t="shared" si="8"/>
        <v>56637.399000000005</v>
      </c>
    </row>
    <row r="71" spans="1:21" ht="15.75" hidden="1" customHeight="1">
      <c r="A71" s="31"/>
      <c r="B71" s="67" t="s">
        <v>110</v>
      </c>
      <c r="C71" s="16" t="s">
        <v>33</v>
      </c>
      <c r="D71" s="14"/>
      <c r="E71" s="19">
        <v>13</v>
      </c>
      <c r="F71" s="13">
        <f>SUM(E71)</f>
        <v>13</v>
      </c>
      <c r="G71" s="13">
        <v>45.32</v>
      </c>
      <c r="H71" s="13">
        <f t="shared" si="7"/>
        <v>0.58916000000000002</v>
      </c>
      <c r="I71" s="13">
        <f t="shared" si="8"/>
        <v>589.16</v>
      </c>
    </row>
    <row r="72" spans="1:21" ht="15.75" hidden="1" customHeight="1">
      <c r="A72" s="31"/>
      <c r="B72" s="67" t="s">
        <v>111</v>
      </c>
      <c r="C72" s="16" t="s">
        <v>33</v>
      </c>
      <c r="D72" s="14"/>
      <c r="E72" s="19">
        <v>13</v>
      </c>
      <c r="F72" s="13">
        <f>SUM(E72)</f>
        <v>13</v>
      </c>
      <c r="G72" s="13">
        <v>42.28</v>
      </c>
      <c r="H72" s="13">
        <f t="shared" si="7"/>
        <v>0.54964000000000002</v>
      </c>
      <c r="I72" s="13">
        <f t="shared" si="8"/>
        <v>549.64</v>
      </c>
    </row>
    <row r="73" spans="1:21" ht="15.75" hidden="1" customHeight="1">
      <c r="A73" s="31"/>
      <c r="B73" s="14" t="s">
        <v>56</v>
      </c>
      <c r="C73" s="16" t="s">
        <v>57</v>
      </c>
      <c r="D73" s="14" t="s">
        <v>53</v>
      </c>
      <c r="E73" s="19">
        <v>8</v>
      </c>
      <c r="F73" s="13">
        <v>8</v>
      </c>
      <c r="G73" s="13">
        <v>49.88</v>
      </c>
      <c r="H73" s="13">
        <f t="shared" si="7"/>
        <v>0.39904000000000001</v>
      </c>
      <c r="I73" s="13">
        <f t="shared" si="8"/>
        <v>399.04</v>
      </c>
    </row>
    <row r="74" spans="1:21" ht="15.75" hidden="1" customHeight="1">
      <c r="A74" s="31"/>
      <c r="B74" s="56" t="s">
        <v>71</v>
      </c>
      <c r="C74" s="16"/>
      <c r="D74" s="14"/>
      <c r="E74" s="19"/>
      <c r="F74" s="13"/>
      <c r="G74" s="13"/>
      <c r="H74" s="13" t="s">
        <v>139</v>
      </c>
      <c r="I74" s="13"/>
    </row>
    <row r="75" spans="1:21" ht="15.75" hidden="1" customHeight="1">
      <c r="A75" s="31">
        <v>22</v>
      </c>
      <c r="B75" s="14" t="s">
        <v>72</v>
      </c>
      <c r="C75" s="16" t="s">
        <v>74</v>
      </c>
      <c r="D75" s="14"/>
      <c r="E75" s="19">
        <v>4</v>
      </c>
      <c r="F75" s="13">
        <v>0.4</v>
      </c>
      <c r="G75" s="13">
        <v>501.62</v>
      </c>
      <c r="H75" s="13">
        <f t="shared" si="7"/>
        <v>0.20064800000000002</v>
      </c>
      <c r="I75" s="13">
        <f>G75*0.6</f>
        <v>300.97199999999998</v>
      </c>
    </row>
    <row r="76" spans="1:21" ht="15.75" hidden="1" customHeight="1">
      <c r="A76" s="31"/>
      <c r="B76" s="14" t="s">
        <v>73</v>
      </c>
      <c r="C76" s="16" t="s">
        <v>31</v>
      </c>
      <c r="D76" s="14"/>
      <c r="E76" s="19">
        <v>1</v>
      </c>
      <c r="F76" s="13">
        <v>1</v>
      </c>
      <c r="G76" s="13">
        <v>852.99</v>
      </c>
      <c r="H76" s="13">
        <f>F76*G76/1000</f>
        <v>0.85299000000000003</v>
      </c>
      <c r="I76" s="13">
        <v>0</v>
      </c>
    </row>
    <row r="77" spans="1:21" ht="15.75" hidden="1" customHeight="1">
      <c r="A77" s="31"/>
      <c r="B77" s="14" t="s">
        <v>113</v>
      </c>
      <c r="C77" s="16" t="s">
        <v>31</v>
      </c>
      <c r="D77" s="14"/>
      <c r="E77" s="19">
        <v>1</v>
      </c>
      <c r="F77" s="13">
        <v>1</v>
      </c>
      <c r="G77" s="13">
        <v>358.51</v>
      </c>
      <c r="H77" s="13">
        <f>G77*F77/1000</f>
        <v>0.35851</v>
      </c>
      <c r="I77" s="13">
        <v>0</v>
      </c>
    </row>
    <row r="78" spans="1:21" ht="15.75" hidden="1" customHeight="1">
      <c r="A78" s="31"/>
      <c r="B78" s="64" t="s">
        <v>75</v>
      </c>
      <c r="C78" s="16"/>
      <c r="D78" s="14"/>
      <c r="E78" s="19"/>
      <c r="F78" s="13"/>
      <c r="G78" s="13" t="s">
        <v>139</v>
      </c>
      <c r="H78" s="13" t="s">
        <v>139</v>
      </c>
      <c r="I78" s="13"/>
    </row>
    <row r="79" spans="1:21" ht="15.75" hidden="1" customHeight="1">
      <c r="A79" s="31"/>
      <c r="B79" s="44" t="s">
        <v>124</v>
      </c>
      <c r="C79" s="16" t="s">
        <v>76</v>
      </c>
      <c r="D79" s="14"/>
      <c r="E79" s="19"/>
      <c r="F79" s="13">
        <v>0.1</v>
      </c>
      <c r="G79" s="13">
        <v>2759.44</v>
      </c>
      <c r="H79" s="13">
        <f t="shared" si="7"/>
        <v>0.27594400000000002</v>
      </c>
      <c r="I79" s="13">
        <v>0</v>
      </c>
    </row>
    <row r="80" spans="1:21" ht="15.75" hidden="1" customHeight="1">
      <c r="A80" s="31"/>
      <c r="B80" s="56" t="s">
        <v>91</v>
      </c>
      <c r="C80" s="70"/>
      <c r="D80" s="70"/>
      <c r="E80" s="70"/>
      <c r="F80" s="70"/>
      <c r="G80" s="65"/>
      <c r="H80" s="65">
        <f>SUM(H59:H79)</f>
        <v>133.26539648000002</v>
      </c>
      <c r="I80" s="65"/>
    </row>
    <row r="81" spans="1:9" ht="15.75" hidden="1" customHeight="1">
      <c r="A81" s="31"/>
      <c r="B81" s="14" t="s">
        <v>112</v>
      </c>
      <c r="C81" s="16"/>
      <c r="D81" s="14"/>
      <c r="E81" s="19"/>
      <c r="F81" s="13">
        <v>1</v>
      </c>
      <c r="G81" s="13">
        <v>13441.4</v>
      </c>
      <c r="H81" s="13">
        <f>G81*F81/1000</f>
        <v>13.4414</v>
      </c>
      <c r="I81" s="13">
        <v>0</v>
      </c>
    </row>
    <row r="82" spans="1:9" ht="15.75" customHeight="1">
      <c r="A82" s="95" t="s">
        <v>137</v>
      </c>
      <c r="B82" s="96"/>
      <c r="C82" s="96"/>
      <c r="D82" s="96"/>
      <c r="E82" s="96"/>
      <c r="F82" s="96"/>
      <c r="G82" s="96"/>
      <c r="H82" s="96"/>
      <c r="I82" s="97"/>
    </row>
    <row r="83" spans="1:9" ht="15.75" customHeight="1">
      <c r="A83" s="31">
        <v>20</v>
      </c>
      <c r="B83" s="14" t="s">
        <v>114</v>
      </c>
      <c r="C83" s="16" t="s">
        <v>54</v>
      </c>
      <c r="D83" s="59" t="s">
        <v>152</v>
      </c>
      <c r="E83" s="13">
        <v>5367.6</v>
      </c>
      <c r="F83" s="13">
        <f>SUM(E83*12)</f>
        <v>64411.200000000004</v>
      </c>
      <c r="G83" s="13">
        <v>2.1</v>
      </c>
      <c r="H83" s="13">
        <f>SUM(F83*G83/1000)</f>
        <v>135.26352000000003</v>
      </c>
      <c r="I83" s="13">
        <f>F83/12*G83</f>
        <v>11271.960000000001</v>
      </c>
    </row>
    <row r="84" spans="1:9" ht="31.5" customHeight="1">
      <c r="A84" s="31">
        <v>21</v>
      </c>
      <c r="B84" s="14" t="s">
        <v>77</v>
      </c>
      <c r="C84" s="16"/>
      <c r="D84" s="59" t="s">
        <v>152</v>
      </c>
      <c r="E84" s="19">
        <f>E83</f>
        <v>5367.6</v>
      </c>
      <c r="F84" s="13">
        <f>E84*12</f>
        <v>64411.200000000004</v>
      </c>
      <c r="G84" s="13">
        <v>1.63</v>
      </c>
      <c r="H84" s="13">
        <f>F84*G84/1000</f>
        <v>104.99025599999999</v>
      </c>
      <c r="I84" s="13">
        <f>F84/12*G84</f>
        <v>8749.1880000000001</v>
      </c>
    </row>
    <row r="85" spans="1:9" ht="15.75" customHeight="1">
      <c r="A85" s="31"/>
      <c r="B85" s="36" t="s">
        <v>79</v>
      </c>
      <c r="C85" s="64"/>
      <c r="D85" s="68"/>
      <c r="E85" s="65"/>
      <c r="F85" s="65"/>
      <c r="G85" s="65"/>
      <c r="H85" s="65">
        <f>H84</f>
        <v>104.99025599999999</v>
      </c>
      <c r="I85" s="65">
        <f>I16+I17+I18+I20+I21+I24+I27+I28+I40+I41+I42+I43+I45+I52+I53+I54+I59+I62+I66+I83+I84</f>
        <v>65234.014501999998</v>
      </c>
    </row>
    <row r="86" spans="1:9" ht="15.75" customHeight="1">
      <c r="A86" s="106" t="s">
        <v>59</v>
      </c>
      <c r="B86" s="107"/>
      <c r="C86" s="107"/>
      <c r="D86" s="107"/>
      <c r="E86" s="107"/>
      <c r="F86" s="107"/>
      <c r="G86" s="107"/>
      <c r="H86" s="107"/>
      <c r="I86" s="108"/>
    </row>
    <row r="87" spans="1:9" ht="15.75" customHeight="1">
      <c r="A87" s="31">
        <v>22</v>
      </c>
      <c r="B87" s="47" t="s">
        <v>122</v>
      </c>
      <c r="C87" s="63" t="s">
        <v>106</v>
      </c>
      <c r="D87" s="44"/>
      <c r="E87" s="13"/>
      <c r="F87" s="13">
        <v>488</v>
      </c>
      <c r="G87" s="13">
        <v>53.42</v>
      </c>
      <c r="H87" s="69">
        <f t="shared" ref="H87" si="9">G87*F87/1000</f>
        <v>26.068960000000001</v>
      </c>
      <c r="I87" s="13">
        <f>G87*61</f>
        <v>3258.62</v>
      </c>
    </row>
    <row r="88" spans="1:9" ht="15.75" customHeight="1">
      <c r="A88" s="31"/>
      <c r="B88" s="42" t="s">
        <v>51</v>
      </c>
      <c r="C88" s="38"/>
      <c r="D88" s="45"/>
      <c r="E88" s="38">
        <v>1</v>
      </c>
      <c r="F88" s="38"/>
      <c r="G88" s="38"/>
      <c r="H88" s="38"/>
      <c r="I88" s="33">
        <f>SUM(I87:I87)</f>
        <v>3258.62</v>
      </c>
    </row>
    <row r="89" spans="1:9" ht="15.75" customHeight="1">
      <c r="A89" s="31"/>
      <c r="B89" s="44" t="s">
        <v>78</v>
      </c>
      <c r="C89" s="15"/>
      <c r="D89" s="15"/>
      <c r="E89" s="39"/>
      <c r="F89" s="39"/>
      <c r="G89" s="40"/>
      <c r="H89" s="40"/>
      <c r="I89" s="18">
        <v>0</v>
      </c>
    </row>
    <row r="90" spans="1:9" ht="15.75" customHeight="1">
      <c r="A90" s="46"/>
      <c r="B90" s="43" t="s">
        <v>161</v>
      </c>
      <c r="C90" s="34"/>
      <c r="D90" s="34"/>
      <c r="E90" s="34"/>
      <c r="F90" s="34"/>
      <c r="G90" s="34"/>
      <c r="H90" s="34"/>
      <c r="I90" s="41">
        <f>I85+I88</f>
        <v>68492.634502000001</v>
      </c>
    </row>
    <row r="91" spans="1:9" ht="15.75" customHeight="1">
      <c r="A91" s="98" t="s">
        <v>213</v>
      </c>
      <c r="B91" s="98"/>
      <c r="C91" s="98"/>
      <c r="D91" s="98"/>
      <c r="E91" s="98"/>
      <c r="F91" s="98"/>
      <c r="G91" s="98"/>
      <c r="H91" s="98"/>
      <c r="I91" s="98"/>
    </row>
    <row r="92" spans="1:9" ht="15.75">
      <c r="A92" s="58"/>
      <c r="B92" s="99" t="s">
        <v>214</v>
      </c>
      <c r="C92" s="99"/>
      <c r="D92" s="99"/>
      <c r="E92" s="99"/>
      <c r="F92" s="99"/>
      <c r="G92" s="99"/>
      <c r="H92" s="62"/>
      <c r="I92" s="3"/>
    </row>
    <row r="93" spans="1:9" ht="15.75" customHeight="1">
      <c r="A93" s="54"/>
      <c r="B93" s="100" t="s">
        <v>6</v>
      </c>
      <c r="C93" s="100"/>
      <c r="D93" s="100"/>
      <c r="E93" s="100"/>
      <c r="F93" s="100"/>
      <c r="G93" s="100"/>
      <c r="H93" s="26"/>
      <c r="I93" s="5"/>
    </row>
    <row r="94" spans="1:9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>
      <c r="A95" s="101" t="s">
        <v>7</v>
      </c>
      <c r="B95" s="101"/>
      <c r="C95" s="101"/>
      <c r="D95" s="101"/>
      <c r="E95" s="101"/>
      <c r="F95" s="101"/>
      <c r="G95" s="101"/>
      <c r="H95" s="101"/>
      <c r="I95" s="101"/>
    </row>
    <row r="96" spans="1:9" ht="15.75" customHeight="1">
      <c r="A96" s="101" t="s">
        <v>8</v>
      </c>
      <c r="B96" s="101"/>
      <c r="C96" s="101"/>
      <c r="D96" s="101"/>
      <c r="E96" s="101"/>
      <c r="F96" s="101"/>
      <c r="G96" s="101"/>
      <c r="H96" s="101"/>
      <c r="I96" s="101"/>
    </row>
    <row r="97" spans="1:9" ht="15.75">
      <c r="A97" s="102" t="s">
        <v>60</v>
      </c>
      <c r="B97" s="102"/>
      <c r="C97" s="102"/>
      <c r="D97" s="102"/>
      <c r="E97" s="102"/>
      <c r="F97" s="102"/>
      <c r="G97" s="102"/>
      <c r="H97" s="102"/>
      <c r="I97" s="102"/>
    </row>
    <row r="98" spans="1:9" ht="15.75" customHeight="1">
      <c r="A98" s="11"/>
    </row>
    <row r="99" spans="1:9" ht="15.75" customHeight="1">
      <c r="A99" s="103" t="s">
        <v>9</v>
      </c>
      <c r="B99" s="103"/>
      <c r="C99" s="103"/>
      <c r="D99" s="103"/>
      <c r="E99" s="103"/>
      <c r="F99" s="103"/>
      <c r="G99" s="103"/>
      <c r="H99" s="103"/>
      <c r="I99" s="103"/>
    </row>
    <row r="100" spans="1:9" ht="15.75" customHeight="1">
      <c r="A100" s="4"/>
    </row>
    <row r="101" spans="1:9" ht="15.75">
      <c r="B101" s="55" t="s">
        <v>10</v>
      </c>
      <c r="C101" s="104" t="s">
        <v>132</v>
      </c>
      <c r="D101" s="104"/>
      <c r="E101" s="104"/>
      <c r="F101" s="60"/>
      <c r="I101" s="53"/>
    </row>
    <row r="102" spans="1:9" ht="15.75" customHeight="1">
      <c r="A102" s="54"/>
      <c r="C102" s="100" t="s">
        <v>11</v>
      </c>
      <c r="D102" s="100"/>
      <c r="E102" s="100"/>
      <c r="F102" s="26"/>
      <c r="I102" s="52" t="s">
        <v>12</v>
      </c>
    </row>
    <row r="103" spans="1:9" ht="15.75" customHeight="1">
      <c r="A103" s="27"/>
      <c r="C103" s="12"/>
      <c r="D103" s="12"/>
      <c r="G103" s="12"/>
      <c r="H103" s="12"/>
    </row>
    <row r="104" spans="1:9" ht="15.75" customHeight="1">
      <c r="B104" s="55" t="s">
        <v>13</v>
      </c>
      <c r="C104" s="105"/>
      <c r="D104" s="105"/>
      <c r="E104" s="105"/>
      <c r="F104" s="61"/>
      <c r="I104" s="53"/>
    </row>
    <row r="105" spans="1:9" ht="15.75" customHeight="1">
      <c r="A105" s="54"/>
      <c r="C105" s="94" t="s">
        <v>11</v>
      </c>
      <c r="D105" s="94"/>
      <c r="E105" s="94"/>
      <c r="F105" s="54"/>
      <c r="I105" s="52" t="s">
        <v>12</v>
      </c>
    </row>
    <row r="106" spans="1:9" ht="15.75">
      <c r="A106" s="4" t="s">
        <v>14</v>
      </c>
    </row>
    <row r="107" spans="1:9" ht="15.75" customHeight="1">
      <c r="A107" s="92" t="s">
        <v>15</v>
      </c>
      <c r="B107" s="92"/>
      <c r="C107" s="92"/>
      <c r="D107" s="92"/>
      <c r="E107" s="92"/>
      <c r="F107" s="92"/>
      <c r="G107" s="92"/>
      <c r="H107" s="92"/>
      <c r="I107" s="92"/>
    </row>
    <row r="108" spans="1:9" ht="45" customHeight="1">
      <c r="A108" s="93" t="s">
        <v>16</v>
      </c>
      <c r="B108" s="93"/>
      <c r="C108" s="93"/>
      <c r="D108" s="93"/>
      <c r="E108" s="93"/>
      <c r="F108" s="93"/>
      <c r="G108" s="93"/>
      <c r="H108" s="93"/>
      <c r="I108" s="93"/>
    </row>
    <row r="109" spans="1:9" ht="30" customHeight="1">
      <c r="A109" s="93" t="s">
        <v>17</v>
      </c>
      <c r="B109" s="93"/>
      <c r="C109" s="93"/>
      <c r="D109" s="93"/>
      <c r="E109" s="93"/>
      <c r="F109" s="93"/>
      <c r="G109" s="93"/>
      <c r="H109" s="93"/>
      <c r="I109" s="93"/>
    </row>
    <row r="110" spans="1:9" ht="30" customHeight="1">
      <c r="A110" s="93" t="s">
        <v>21</v>
      </c>
      <c r="B110" s="93"/>
      <c r="C110" s="93"/>
      <c r="D110" s="93"/>
      <c r="E110" s="93"/>
      <c r="F110" s="93"/>
      <c r="G110" s="93"/>
      <c r="H110" s="93"/>
      <c r="I110" s="93"/>
    </row>
    <row r="111" spans="1:9" ht="15" customHeight="1">
      <c r="A111" s="93" t="s">
        <v>20</v>
      </c>
      <c r="B111" s="93"/>
      <c r="C111" s="93"/>
      <c r="D111" s="93"/>
      <c r="E111" s="93"/>
      <c r="F111" s="93"/>
      <c r="G111" s="93"/>
      <c r="H111" s="93"/>
      <c r="I111" s="93"/>
    </row>
  </sheetData>
  <autoFilter ref="I12:I59"/>
  <mergeCells count="29">
    <mergeCell ref="A14:I14"/>
    <mergeCell ref="A3:I3"/>
    <mergeCell ref="A4:I4"/>
    <mergeCell ref="A5:I5"/>
    <mergeCell ref="A8:I8"/>
    <mergeCell ref="A10:I10"/>
    <mergeCell ref="A15:I15"/>
    <mergeCell ref="A29:I29"/>
    <mergeCell ref="A46:I46"/>
    <mergeCell ref="A57:I57"/>
    <mergeCell ref="R64:U64"/>
    <mergeCell ref="C105:E105"/>
    <mergeCell ref="A82:I82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86:I86"/>
    <mergeCell ref="A107:I107"/>
    <mergeCell ref="A108:I108"/>
    <mergeCell ref="A109:I109"/>
    <mergeCell ref="A110:I110"/>
    <mergeCell ref="A111:I111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83</v>
      </c>
      <c r="I1" s="28"/>
      <c r="J1" s="1"/>
      <c r="K1" s="1"/>
      <c r="L1" s="1"/>
      <c r="M1" s="1"/>
    </row>
    <row r="2" spans="1:13" ht="15.75">
      <c r="A2" s="30" t="s">
        <v>61</v>
      </c>
      <c r="J2" s="2"/>
      <c r="K2" s="2"/>
      <c r="L2" s="2"/>
      <c r="M2" s="2"/>
    </row>
    <row r="3" spans="1:13" ht="15.75" customHeight="1">
      <c r="A3" s="114" t="s">
        <v>151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212</v>
      </c>
      <c r="B4" s="115"/>
      <c r="C4" s="115"/>
      <c r="D4" s="115"/>
      <c r="E4" s="115"/>
      <c r="F4" s="115"/>
      <c r="G4" s="115"/>
      <c r="H4" s="115"/>
      <c r="I4" s="115"/>
    </row>
    <row r="5" spans="1:13" ht="15.75">
      <c r="A5" s="114" t="s">
        <v>153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>
      <c r="A6" s="2"/>
      <c r="B6" s="57"/>
      <c r="C6" s="57"/>
      <c r="D6" s="57"/>
      <c r="E6" s="57"/>
      <c r="F6" s="57"/>
      <c r="G6" s="57"/>
      <c r="H6" s="57"/>
      <c r="I6" s="32">
        <v>43039</v>
      </c>
      <c r="J6" s="2"/>
      <c r="K6" s="2"/>
      <c r="L6" s="2"/>
      <c r="M6" s="2"/>
    </row>
    <row r="7" spans="1:13" ht="15.75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7" t="s">
        <v>154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18" t="s">
        <v>155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3" t="s">
        <v>58</v>
      </c>
      <c r="B14" s="113"/>
      <c r="C14" s="113"/>
      <c r="D14" s="113"/>
      <c r="E14" s="113"/>
      <c r="F14" s="113"/>
      <c r="G14" s="113"/>
      <c r="H14" s="113"/>
      <c r="I14" s="113"/>
      <c r="J14" s="8"/>
      <c r="K14" s="8"/>
      <c r="L14" s="8"/>
      <c r="M14" s="8"/>
    </row>
    <row r="15" spans="1:13" ht="15.75" customHeight="1">
      <c r="A15" s="109" t="s">
        <v>4</v>
      </c>
      <c r="B15" s="109"/>
      <c r="C15" s="109"/>
      <c r="D15" s="109"/>
      <c r="E15" s="109"/>
      <c r="F15" s="109"/>
      <c r="G15" s="109"/>
      <c r="H15" s="109"/>
      <c r="I15" s="109"/>
      <c r="J15" s="8"/>
      <c r="K15" s="8"/>
      <c r="L15" s="8"/>
      <c r="M15" s="8"/>
    </row>
    <row r="16" spans="1:13" ht="15.75" customHeight="1">
      <c r="A16" s="31">
        <v>1</v>
      </c>
      <c r="B16" s="14" t="s">
        <v>84</v>
      </c>
      <c r="C16" s="16" t="s">
        <v>85</v>
      </c>
      <c r="D16" s="14" t="s">
        <v>157</v>
      </c>
      <c r="E16" s="19">
        <v>62.28</v>
      </c>
      <c r="F16" s="13">
        <f>SUM(E16*156/100)</f>
        <v>97.156800000000004</v>
      </c>
      <c r="G16" s="13">
        <v>175.38</v>
      </c>
      <c r="H16" s="13">
        <f t="shared" ref="H16:H25" si="0">SUM(F16*G16/1000)</f>
        <v>17.039359584000003</v>
      </c>
      <c r="I16" s="13">
        <f>F16/12*G16</f>
        <v>1419.9466320000001</v>
      </c>
      <c r="J16" s="23"/>
      <c r="K16" s="8"/>
      <c r="L16" s="8"/>
      <c r="M16" s="8"/>
    </row>
    <row r="17" spans="1:13" ht="15.75" customHeight="1">
      <c r="A17" s="31">
        <v>2</v>
      </c>
      <c r="B17" s="14" t="s">
        <v>115</v>
      </c>
      <c r="C17" s="16" t="s">
        <v>85</v>
      </c>
      <c r="D17" s="14" t="s">
        <v>158</v>
      </c>
      <c r="E17" s="19">
        <v>311.42</v>
      </c>
      <c r="F17" s="13">
        <f>SUM(E17*104/100)</f>
        <v>323.8768</v>
      </c>
      <c r="G17" s="13">
        <v>175.38</v>
      </c>
      <c r="H17" s="13">
        <f t="shared" si="0"/>
        <v>56.801513183999994</v>
      </c>
      <c r="I17" s="13">
        <f>F17/12*G17</f>
        <v>4733.4594319999997</v>
      </c>
      <c r="J17" s="24"/>
      <c r="K17" s="8"/>
      <c r="L17" s="8"/>
      <c r="M17" s="8"/>
    </row>
    <row r="18" spans="1:13" ht="15.75" customHeight="1">
      <c r="A18" s="31">
        <v>3</v>
      </c>
      <c r="B18" s="14" t="s">
        <v>116</v>
      </c>
      <c r="C18" s="16" t="s">
        <v>85</v>
      </c>
      <c r="D18" s="14" t="s">
        <v>159</v>
      </c>
      <c r="E18" s="19">
        <v>373.7</v>
      </c>
      <c r="F18" s="13">
        <f>SUM(E18*24/100)</f>
        <v>89.687999999999988</v>
      </c>
      <c r="G18" s="13">
        <v>504.5</v>
      </c>
      <c r="H18" s="13">
        <f t="shared" si="0"/>
        <v>45.247595999999987</v>
      </c>
      <c r="I18" s="13">
        <f>F18/12*G18</f>
        <v>3770.6329999999998</v>
      </c>
      <c r="J18" s="24"/>
      <c r="K18" s="8"/>
      <c r="L18" s="8"/>
      <c r="M18" s="8"/>
    </row>
    <row r="19" spans="1:13" ht="15.75" hidden="1" customHeight="1">
      <c r="A19" s="31"/>
      <c r="B19" s="14" t="s">
        <v>92</v>
      </c>
      <c r="C19" s="16" t="s">
        <v>93</v>
      </c>
      <c r="D19" s="14" t="s">
        <v>94</v>
      </c>
      <c r="E19" s="19">
        <v>38.4</v>
      </c>
      <c r="F19" s="13">
        <f>SUM(E19/10)</f>
        <v>3.84</v>
      </c>
      <c r="G19" s="13">
        <v>170.16</v>
      </c>
      <c r="H19" s="13">
        <f t="shared" si="0"/>
        <v>0.65341439999999995</v>
      </c>
      <c r="I19" s="13">
        <v>0</v>
      </c>
      <c r="J19" s="24"/>
      <c r="K19" s="8"/>
      <c r="L19" s="8"/>
      <c r="M19" s="8"/>
    </row>
    <row r="20" spans="1:13" ht="15.75" customHeight="1">
      <c r="A20" s="31">
        <v>4</v>
      </c>
      <c r="B20" s="14" t="s">
        <v>95</v>
      </c>
      <c r="C20" s="16" t="s">
        <v>85</v>
      </c>
      <c r="D20" s="14" t="s">
        <v>117</v>
      </c>
      <c r="E20" s="19">
        <v>35.04</v>
      </c>
      <c r="F20" s="13">
        <f>SUM(E20*12/100)</f>
        <v>4.2048000000000005</v>
      </c>
      <c r="G20" s="13">
        <v>217.88</v>
      </c>
      <c r="H20" s="13">
        <f t="shared" si="0"/>
        <v>0.91614182399999999</v>
      </c>
      <c r="I20" s="13">
        <f>F20/12*G20</f>
        <v>76.345152000000013</v>
      </c>
      <c r="J20" s="24"/>
      <c r="K20" s="8"/>
      <c r="L20" s="8"/>
      <c r="M20" s="8"/>
    </row>
    <row r="21" spans="1:13" ht="15.75" customHeight="1">
      <c r="A21" s="31">
        <v>5</v>
      </c>
      <c r="B21" s="14" t="s">
        <v>96</v>
      </c>
      <c r="C21" s="16" t="s">
        <v>85</v>
      </c>
      <c r="D21" s="14" t="s">
        <v>30</v>
      </c>
      <c r="E21" s="19">
        <v>9.08</v>
      </c>
      <c r="F21" s="13">
        <f>SUM(E21*12/100)</f>
        <v>1.0896000000000001</v>
      </c>
      <c r="G21" s="13">
        <v>216.12</v>
      </c>
      <c r="H21" s="13">
        <f t="shared" si="0"/>
        <v>0.23548435200000004</v>
      </c>
      <c r="I21" s="13">
        <f>F21/12*G21</f>
        <v>19.623696000000002</v>
      </c>
      <c r="J21" s="24"/>
      <c r="K21" s="8"/>
      <c r="L21" s="8"/>
      <c r="M21" s="8"/>
    </row>
    <row r="22" spans="1:13" ht="15.75" hidden="1" customHeight="1">
      <c r="A22" s="31"/>
      <c r="B22" s="14" t="s">
        <v>97</v>
      </c>
      <c r="C22" s="16" t="s">
        <v>52</v>
      </c>
      <c r="D22" s="14" t="s">
        <v>94</v>
      </c>
      <c r="E22" s="19">
        <v>629</v>
      </c>
      <c r="F22" s="13">
        <f>SUM(E22/100)</f>
        <v>6.29</v>
      </c>
      <c r="G22" s="13">
        <v>269.26</v>
      </c>
      <c r="H22" s="13">
        <f t="shared" si="0"/>
        <v>1.6936453999999999</v>
      </c>
      <c r="I22" s="13">
        <v>0</v>
      </c>
      <c r="J22" s="24"/>
      <c r="K22" s="8"/>
      <c r="L22" s="8"/>
      <c r="M22" s="8"/>
    </row>
    <row r="23" spans="1:13" ht="15.75" hidden="1" customHeight="1">
      <c r="A23" s="31"/>
      <c r="B23" s="14" t="s">
        <v>98</v>
      </c>
      <c r="C23" s="16" t="s">
        <v>52</v>
      </c>
      <c r="D23" s="14" t="s">
        <v>94</v>
      </c>
      <c r="E23" s="19">
        <v>58</v>
      </c>
      <c r="F23" s="13">
        <f>SUM(E23/100)</f>
        <v>0.57999999999999996</v>
      </c>
      <c r="G23" s="13">
        <v>44.29</v>
      </c>
      <c r="H23" s="13">
        <f t="shared" si="0"/>
        <v>2.5688199999999998E-2</v>
      </c>
      <c r="I23" s="13">
        <v>0</v>
      </c>
      <c r="J23" s="24"/>
      <c r="K23" s="8"/>
      <c r="L23" s="8"/>
      <c r="M23" s="8"/>
    </row>
    <row r="24" spans="1:13" ht="15.75" customHeight="1">
      <c r="A24" s="31">
        <v>6</v>
      </c>
      <c r="B24" s="14" t="s">
        <v>99</v>
      </c>
      <c r="C24" s="16" t="s">
        <v>52</v>
      </c>
      <c r="D24" s="14" t="s">
        <v>30</v>
      </c>
      <c r="E24" s="19">
        <v>24</v>
      </c>
      <c r="F24" s="13">
        <f>E24*12/100</f>
        <v>2.88</v>
      </c>
      <c r="G24" s="13">
        <v>389.72</v>
      </c>
      <c r="H24" s="13">
        <f t="shared" si="0"/>
        <v>1.1223936000000001</v>
      </c>
      <c r="I24" s="13">
        <f>F24/12*G24</f>
        <v>93.532800000000009</v>
      </c>
      <c r="J24" s="24"/>
      <c r="K24" s="8"/>
      <c r="L24" s="8"/>
      <c r="M24" s="8"/>
    </row>
    <row r="25" spans="1:13" ht="15.75" hidden="1" customHeight="1">
      <c r="A25" s="31"/>
      <c r="B25" s="14" t="s">
        <v>100</v>
      </c>
      <c r="C25" s="16" t="s">
        <v>52</v>
      </c>
      <c r="D25" s="14" t="s">
        <v>53</v>
      </c>
      <c r="E25" s="19">
        <v>17</v>
      </c>
      <c r="F25" s="13">
        <f>SUM(E25/100)</f>
        <v>0.17</v>
      </c>
      <c r="G25" s="13">
        <v>520.79999999999995</v>
      </c>
      <c r="H25" s="13">
        <f t="shared" si="0"/>
        <v>8.8536000000000004E-2</v>
      </c>
      <c r="I25" s="13">
        <v>0</v>
      </c>
      <c r="J25" s="24"/>
      <c r="K25" s="8"/>
      <c r="L25" s="8"/>
      <c r="M25" s="8"/>
    </row>
    <row r="26" spans="1:13" ht="15.75" hidden="1" customHeight="1">
      <c r="A26" s="31"/>
      <c r="B26" s="14" t="s">
        <v>123</v>
      </c>
      <c r="C26" s="16" t="s">
        <v>52</v>
      </c>
      <c r="D26" s="14" t="s">
        <v>53</v>
      </c>
      <c r="E26" s="19">
        <v>24</v>
      </c>
      <c r="F26" s="13">
        <v>0.24</v>
      </c>
      <c r="G26" s="13">
        <v>216.12</v>
      </c>
      <c r="H26" s="13">
        <f>G26*F26/1000</f>
        <v>5.18688E-2</v>
      </c>
      <c r="I26" s="13">
        <v>0</v>
      </c>
      <c r="J26" s="24"/>
      <c r="K26" s="8"/>
      <c r="L26" s="8"/>
      <c r="M26" s="8"/>
    </row>
    <row r="27" spans="1:13" ht="15.75" customHeight="1">
      <c r="A27" s="31">
        <v>7</v>
      </c>
      <c r="B27" s="14" t="s">
        <v>63</v>
      </c>
      <c r="C27" s="16" t="s">
        <v>33</v>
      </c>
      <c r="D27" s="14" t="s">
        <v>160</v>
      </c>
      <c r="E27" s="19">
        <v>0.1</v>
      </c>
      <c r="F27" s="13">
        <f>SUM(E27*365)</f>
        <v>36.5</v>
      </c>
      <c r="G27" s="13">
        <v>147.03</v>
      </c>
      <c r="H27" s="13">
        <f>SUM(F27*G27/1000)</f>
        <v>5.3665950000000002</v>
      </c>
      <c r="I27" s="13">
        <f>F27/12*G27</f>
        <v>447.21625</v>
      </c>
      <c r="J27" s="25"/>
    </row>
    <row r="28" spans="1:13" ht="15.75" customHeight="1">
      <c r="A28" s="31">
        <v>8</v>
      </c>
      <c r="B28" s="44" t="s">
        <v>23</v>
      </c>
      <c r="C28" s="16" t="s">
        <v>24</v>
      </c>
      <c r="D28" s="14" t="s">
        <v>160</v>
      </c>
      <c r="E28" s="19">
        <v>5367.6</v>
      </c>
      <c r="F28" s="13">
        <f>SUM(E28*12)</f>
        <v>64411.200000000004</v>
      </c>
      <c r="G28" s="13">
        <v>3.18</v>
      </c>
      <c r="H28" s="13">
        <f>SUM(F28*G28/1000)</f>
        <v>204.82761600000003</v>
      </c>
      <c r="I28" s="13">
        <f>F28/12*G28</f>
        <v>17068.968000000001</v>
      </c>
      <c r="J28" s="25"/>
    </row>
    <row r="29" spans="1:13" ht="15.75" customHeight="1">
      <c r="A29" s="109" t="s">
        <v>82</v>
      </c>
      <c r="B29" s="109"/>
      <c r="C29" s="109"/>
      <c r="D29" s="109"/>
      <c r="E29" s="109"/>
      <c r="F29" s="109"/>
      <c r="G29" s="109"/>
      <c r="H29" s="109"/>
      <c r="I29" s="109"/>
      <c r="J29" s="24"/>
      <c r="K29" s="8"/>
      <c r="L29" s="8"/>
      <c r="M29" s="8"/>
    </row>
    <row r="30" spans="1:13" ht="15.75" customHeight="1">
      <c r="A30" s="31"/>
      <c r="B30" s="56" t="s">
        <v>28</v>
      </c>
      <c r="C30" s="16"/>
      <c r="D30" s="14"/>
      <c r="E30" s="19"/>
      <c r="F30" s="13"/>
      <c r="G30" s="13"/>
      <c r="H30" s="13"/>
      <c r="I30" s="13"/>
      <c r="J30" s="24"/>
      <c r="K30" s="8"/>
      <c r="L30" s="8"/>
      <c r="M30" s="8"/>
    </row>
    <row r="31" spans="1:13" ht="15.75" customHeight="1">
      <c r="A31" s="31">
        <v>9</v>
      </c>
      <c r="B31" s="14" t="s">
        <v>104</v>
      </c>
      <c r="C31" s="16" t="s">
        <v>87</v>
      </c>
      <c r="D31" s="14" t="s">
        <v>179</v>
      </c>
      <c r="E31" s="13">
        <v>748</v>
      </c>
      <c r="F31" s="13">
        <f>SUM(E31*52/1000)</f>
        <v>38.896000000000001</v>
      </c>
      <c r="G31" s="13">
        <v>155.88999999999999</v>
      </c>
      <c r="H31" s="13">
        <f t="shared" ref="H31:H38" si="1">SUM(F31*G31/1000)</f>
        <v>6.063497439999999</v>
      </c>
      <c r="I31" s="13">
        <f t="shared" ref="I31:I35" si="2">F31/6*G31</f>
        <v>1010.5829066666666</v>
      </c>
      <c r="J31" s="24"/>
      <c r="K31" s="8"/>
      <c r="L31" s="8"/>
      <c r="M31" s="8"/>
    </row>
    <row r="32" spans="1:13" ht="31.5" customHeight="1">
      <c r="A32" s="31">
        <v>10</v>
      </c>
      <c r="B32" s="14" t="s">
        <v>119</v>
      </c>
      <c r="C32" s="16" t="s">
        <v>87</v>
      </c>
      <c r="D32" s="14" t="s">
        <v>180</v>
      </c>
      <c r="E32" s="13">
        <v>374</v>
      </c>
      <c r="F32" s="13">
        <f>SUM(E32*78/1000)</f>
        <v>29.172000000000001</v>
      </c>
      <c r="G32" s="13">
        <v>258.63</v>
      </c>
      <c r="H32" s="13">
        <f t="shared" si="1"/>
        <v>7.5447543599999998</v>
      </c>
      <c r="I32" s="13">
        <f t="shared" si="2"/>
        <v>1257.4590599999999</v>
      </c>
      <c r="J32" s="24"/>
      <c r="K32" s="8"/>
      <c r="L32" s="8"/>
      <c r="M32" s="8"/>
    </row>
    <row r="33" spans="1:14" ht="15.75" hidden="1" customHeight="1">
      <c r="A33" s="31"/>
      <c r="B33" s="14" t="s">
        <v>27</v>
      </c>
      <c r="C33" s="16" t="s">
        <v>87</v>
      </c>
      <c r="D33" s="14" t="s">
        <v>53</v>
      </c>
      <c r="E33" s="13">
        <v>748</v>
      </c>
      <c r="F33" s="13">
        <f>SUM(E33/1000)</f>
        <v>0.748</v>
      </c>
      <c r="G33" s="13">
        <v>3020.33</v>
      </c>
      <c r="H33" s="13">
        <f t="shared" si="1"/>
        <v>2.25920684</v>
      </c>
      <c r="I33" s="13">
        <f>F33*G33</f>
        <v>2259.2068399999998</v>
      </c>
      <c r="J33" s="24"/>
      <c r="K33" s="8"/>
      <c r="L33" s="8"/>
      <c r="M33" s="8"/>
    </row>
    <row r="34" spans="1:14" ht="15.75" customHeight="1">
      <c r="A34" s="31">
        <v>11</v>
      </c>
      <c r="B34" s="14" t="s">
        <v>118</v>
      </c>
      <c r="C34" s="16" t="s">
        <v>40</v>
      </c>
      <c r="D34" s="14" t="s">
        <v>62</v>
      </c>
      <c r="E34" s="13">
        <v>1</v>
      </c>
      <c r="F34" s="13">
        <f>E34*155/100</f>
        <v>1.55</v>
      </c>
      <c r="G34" s="13">
        <v>1302.02</v>
      </c>
      <c r="H34" s="13">
        <f>G34*F34/1000</f>
        <v>2.0181309999999999</v>
      </c>
      <c r="I34" s="13">
        <f t="shared" si="2"/>
        <v>336.35516666666672</v>
      </c>
      <c r="J34" s="24"/>
      <c r="K34" s="8"/>
    </row>
    <row r="35" spans="1:14" ht="15.75" customHeight="1">
      <c r="A35" s="31">
        <v>12</v>
      </c>
      <c r="B35" s="14" t="s">
        <v>103</v>
      </c>
      <c r="C35" s="16" t="s">
        <v>31</v>
      </c>
      <c r="D35" s="14" t="s">
        <v>62</v>
      </c>
      <c r="E35" s="66">
        <v>0.33333333333333331</v>
      </c>
      <c r="F35" s="13">
        <f>155/3</f>
        <v>51.666666666666664</v>
      </c>
      <c r="G35" s="13">
        <v>56.69</v>
      </c>
      <c r="H35" s="13">
        <f>SUM(G35*155/3/1000)</f>
        <v>2.9289833333333331</v>
      </c>
      <c r="I35" s="13">
        <f t="shared" si="2"/>
        <v>488.16388888888883</v>
      </c>
      <c r="J35" s="25"/>
    </row>
    <row r="36" spans="1:14" ht="15.75" hidden="1" customHeight="1">
      <c r="A36" s="31"/>
      <c r="B36" s="14" t="s">
        <v>64</v>
      </c>
      <c r="C36" s="16" t="s">
        <v>33</v>
      </c>
      <c r="D36" s="14" t="s">
        <v>66</v>
      </c>
      <c r="E36" s="19"/>
      <c r="F36" s="13">
        <v>2</v>
      </c>
      <c r="G36" s="13">
        <v>191.32</v>
      </c>
      <c r="H36" s="13">
        <f t="shared" si="1"/>
        <v>0.38263999999999998</v>
      </c>
      <c r="I36" s="13">
        <v>0</v>
      </c>
      <c r="J36" s="25"/>
    </row>
    <row r="37" spans="1:14" ht="15.75" hidden="1" customHeight="1">
      <c r="A37" s="31"/>
      <c r="B37" s="14" t="s">
        <v>65</v>
      </c>
      <c r="C37" s="16" t="s">
        <v>32</v>
      </c>
      <c r="D37" s="14" t="s">
        <v>66</v>
      </c>
      <c r="E37" s="19"/>
      <c r="F37" s="13">
        <v>1</v>
      </c>
      <c r="G37" s="13">
        <v>1136.33</v>
      </c>
      <c r="H37" s="13">
        <f t="shared" si="1"/>
        <v>1.1363299999999998</v>
      </c>
      <c r="I37" s="13">
        <v>0</v>
      </c>
      <c r="J37" s="25"/>
    </row>
    <row r="38" spans="1:14" ht="15.75" hidden="1" customHeight="1">
      <c r="A38" s="31"/>
      <c r="B38" s="14" t="s">
        <v>125</v>
      </c>
      <c r="C38" s="16" t="s">
        <v>29</v>
      </c>
      <c r="D38" s="14"/>
      <c r="E38" s="19">
        <v>932.2</v>
      </c>
      <c r="F38" s="13">
        <v>0.93220000000000003</v>
      </c>
      <c r="G38" s="13">
        <v>1305.02</v>
      </c>
      <c r="H38" s="13">
        <f t="shared" si="1"/>
        <v>1.216539644</v>
      </c>
      <c r="I38" s="13">
        <v>0</v>
      </c>
      <c r="J38" s="25"/>
    </row>
    <row r="39" spans="1:14" ht="15.75" hidden="1" customHeight="1">
      <c r="A39" s="31"/>
      <c r="B39" s="56" t="s">
        <v>5</v>
      </c>
      <c r="C39" s="16"/>
      <c r="D39" s="14"/>
      <c r="E39" s="19"/>
      <c r="F39" s="13"/>
      <c r="G39" s="13"/>
      <c r="H39" s="13" t="s">
        <v>139</v>
      </c>
      <c r="I39" s="13"/>
      <c r="J39" s="25"/>
      <c r="L39" s="20"/>
      <c r="M39" s="21"/>
      <c r="N39" s="22"/>
    </row>
    <row r="40" spans="1:14" ht="15.75" hidden="1" customHeight="1">
      <c r="A40" s="31">
        <v>9</v>
      </c>
      <c r="B40" s="14" t="s">
        <v>26</v>
      </c>
      <c r="C40" s="16" t="s">
        <v>32</v>
      </c>
      <c r="D40" s="14"/>
      <c r="E40" s="19"/>
      <c r="F40" s="13">
        <v>6</v>
      </c>
      <c r="G40" s="13">
        <v>1527.22</v>
      </c>
      <c r="H40" s="13">
        <f t="shared" ref="H40:H45" si="3">SUM(F40*G40/1000)</f>
        <v>9.1633200000000006</v>
      </c>
      <c r="I40" s="13">
        <f t="shared" ref="I40:I45" si="4">F40/6*G40</f>
        <v>1527.22</v>
      </c>
      <c r="J40" s="25"/>
      <c r="L40" s="20"/>
      <c r="M40" s="21"/>
      <c r="N40" s="22"/>
    </row>
    <row r="41" spans="1:14" ht="15.75" hidden="1" customHeight="1">
      <c r="A41" s="31">
        <v>10</v>
      </c>
      <c r="B41" s="14" t="s">
        <v>105</v>
      </c>
      <c r="C41" s="16" t="s">
        <v>29</v>
      </c>
      <c r="D41" s="14" t="s">
        <v>126</v>
      </c>
      <c r="E41" s="19">
        <v>374</v>
      </c>
      <c r="F41" s="13">
        <f>E41*26/1000</f>
        <v>9.7240000000000002</v>
      </c>
      <c r="G41" s="13">
        <v>2102.71</v>
      </c>
      <c r="H41" s="13">
        <f>G41*F41/1000</f>
        <v>20.44675204</v>
      </c>
      <c r="I41" s="13">
        <f t="shared" si="4"/>
        <v>3407.792006666667</v>
      </c>
      <c r="J41" s="25"/>
      <c r="L41" s="20"/>
      <c r="M41" s="21"/>
      <c r="N41" s="22"/>
    </row>
    <row r="42" spans="1:14" ht="15.75" hidden="1" customHeight="1">
      <c r="A42" s="31">
        <v>11</v>
      </c>
      <c r="B42" s="14" t="s">
        <v>67</v>
      </c>
      <c r="C42" s="16" t="s">
        <v>29</v>
      </c>
      <c r="D42" s="14" t="s">
        <v>86</v>
      </c>
      <c r="E42" s="13">
        <v>160</v>
      </c>
      <c r="F42" s="13">
        <f>SUM(E42*155/1000)</f>
        <v>24.8</v>
      </c>
      <c r="G42" s="13">
        <v>350.75</v>
      </c>
      <c r="H42" s="13">
        <f t="shared" si="3"/>
        <v>8.6986000000000008</v>
      </c>
      <c r="I42" s="13">
        <f t="shared" si="4"/>
        <v>1449.7666666666669</v>
      </c>
      <c r="J42" s="25"/>
      <c r="L42" s="20"/>
      <c r="M42" s="21"/>
      <c r="N42" s="22"/>
    </row>
    <row r="43" spans="1:14" ht="47.25" hidden="1" customHeight="1">
      <c r="A43" s="31">
        <v>12</v>
      </c>
      <c r="B43" s="14" t="s">
        <v>81</v>
      </c>
      <c r="C43" s="16" t="s">
        <v>87</v>
      </c>
      <c r="D43" s="14" t="s">
        <v>127</v>
      </c>
      <c r="E43" s="13">
        <v>76</v>
      </c>
      <c r="F43" s="13">
        <f>SUM(E43*50/1000)</f>
        <v>3.8</v>
      </c>
      <c r="G43" s="13">
        <v>5803.28</v>
      </c>
      <c r="H43" s="13">
        <f t="shared" si="3"/>
        <v>22.052463999999997</v>
      </c>
      <c r="I43" s="13">
        <f t="shared" si="4"/>
        <v>3675.4106666666662</v>
      </c>
      <c r="J43" s="25"/>
      <c r="L43" s="20"/>
      <c r="M43" s="21"/>
      <c r="N43" s="22"/>
    </row>
    <row r="44" spans="1:14" ht="15.75" hidden="1" customHeight="1">
      <c r="A44" s="31">
        <v>13</v>
      </c>
      <c r="B44" s="14" t="s">
        <v>88</v>
      </c>
      <c r="C44" s="16" t="s">
        <v>87</v>
      </c>
      <c r="D44" s="14" t="s">
        <v>68</v>
      </c>
      <c r="E44" s="13">
        <v>76</v>
      </c>
      <c r="F44" s="13">
        <f>SUM(E44*45/1000)</f>
        <v>3.42</v>
      </c>
      <c r="G44" s="13">
        <v>428.7</v>
      </c>
      <c r="H44" s="13">
        <f t="shared" si="3"/>
        <v>1.466154</v>
      </c>
      <c r="I44" s="13">
        <f t="shared" si="4"/>
        <v>244.35899999999998</v>
      </c>
      <c r="J44" s="25"/>
      <c r="L44" s="20"/>
      <c r="M44" s="21"/>
      <c r="N44" s="22"/>
    </row>
    <row r="45" spans="1:14" ht="15.75" hidden="1" customHeight="1">
      <c r="A45" s="31">
        <v>14</v>
      </c>
      <c r="B45" s="14" t="s">
        <v>69</v>
      </c>
      <c r="C45" s="16" t="s">
        <v>33</v>
      </c>
      <c r="D45" s="14"/>
      <c r="E45" s="19"/>
      <c r="F45" s="13">
        <v>0.9</v>
      </c>
      <c r="G45" s="13">
        <v>798</v>
      </c>
      <c r="H45" s="13">
        <f t="shared" si="3"/>
        <v>0.71820000000000006</v>
      </c>
      <c r="I45" s="13">
        <f t="shared" si="4"/>
        <v>119.69999999999999</v>
      </c>
      <c r="J45" s="25"/>
      <c r="L45" s="20"/>
      <c r="M45" s="21"/>
      <c r="N45" s="22"/>
    </row>
    <row r="46" spans="1:14" ht="15" hidden="1" customHeight="1">
      <c r="A46" s="110" t="s">
        <v>135</v>
      </c>
      <c r="B46" s="111"/>
      <c r="C46" s="111"/>
      <c r="D46" s="111"/>
      <c r="E46" s="111"/>
      <c r="F46" s="111"/>
      <c r="G46" s="111"/>
      <c r="H46" s="111"/>
      <c r="I46" s="112"/>
      <c r="J46" s="25"/>
      <c r="L46" s="20"/>
      <c r="M46" s="21"/>
      <c r="N46" s="22"/>
    </row>
    <row r="47" spans="1:14" ht="15.75" hidden="1" customHeight="1">
      <c r="A47" s="31"/>
      <c r="B47" s="14" t="s">
        <v>140</v>
      </c>
      <c r="C47" s="16" t="s">
        <v>87</v>
      </c>
      <c r="D47" s="14" t="s">
        <v>42</v>
      </c>
      <c r="E47" s="19">
        <v>1099.7</v>
      </c>
      <c r="F47" s="13">
        <f>SUM(E47*2/1000)</f>
        <v>2.1994000000000002</v>
      </c>
      <c r="G47" s="13">
        <v>809.74</v>
      </c>
      <c r="H47" s="13">
        <f t="shared" ref="H47:H56" si="5">SUM(F47*G47/1000)</f>
        <v>1.7809421560000003</v>
      </c>
      <c r="I47" s="13">
        <v>0</v>
      </c>
      <c r="J47" s="25"/>
      <c r="L47" s="20"/>
      <c r="M47" s="21"/>
      <c r="N47" s="22"/>
    </row>
    <row r="48" spans="1:14" ht="15.75" hidden="1" customHeight="1">
      <c r="A48" s="31"/>
      <c r="B48" s="14" t="s">
        <v>35</v>
      </c>
      <c r="C48" s="16" t="s">
        <v>87</v>
      </c>
      <c r="D48" s="14" t="s">
        <v>42</v>
      </c>
      <c r="E48" s="19">
        <v>52</v>
      </c>
      <c r="F48" s="13">
        <f>E48*2/1000</f>
        <v>0.104</v>
      </c>
      <c r="G48" s="13">
        <v>579.48</v>
      </c>
      <c r="H48" s="13">
        <f t="shared" si="5"/>
        <v>6.0265920000000001E-2</v>
      </c>
      <c r="I48" s="13">
        <v>0</v>
      </c>
      <c r="J48" s="25"/>
      <c r="L48" s="20"/>
      <c r="M48" s="21"/>
      <c r="N48" s="22"/>
    </row>
    <row r="49" spans="1:22" ht="15.75" hidden="1" customHeight="1">
      <c r="A49" s="31"/>
      <c r="B49" s="14" t="s">
        <v>36</v>
      </c>
      <c r="C49" s="16" t="s">
        <v>87</v>
      </c>
      <c r="D49" s="14" t="s">
        <v>42</v>
      </c>
      <c r="E49" s="19">
        <v>917.78</v>
      </c>
      <c r="F49" s="13">
        <f>SUM(E49*2/1000)</f>
        <v>1.8355599999999999</v>
      </c>
      <c r="G49" s="13">
        <v>579.48</v>
      </c>
      <c r="H49" s="13">
        <f t="shared" si="5"/>
        <v>1.0636703087999999</v>
      </c>
      <c r="I49" s="13">
        <v>0</v>
      </c>
      <c r="J49" s="25"/>
      <c r="L49" s="20"/>
      <c r="M49" s="21"/>
      <c r="N49" s="22"/>
    </row>
    <row r="50" spans="1:22" ht="15.75" hidden="1" customHeight="1">
      <c r="A50" s="31"/>
      <c r="B50" s="14" t="s">
        <v>37</v>
      </c>
      <c r="C50" s="16" t="s">
        <v>87</v>
      </c>
      <c r="D50" s="14" t="s">
        <v>42</v>
      </c>
      <c r="E50" s="19">
        <v>3930</v>
      </c>
      <c r="F50" s="13">
        <f>SUM(E50*2/1000)</f>
        <v>7.86</v>
      </c>
      <c r="G50" s="13">
        <v>606.77</v>
      </c>
      <c r="H50" s="13">
        <f t="shared" si="5"/>
        <v>4.7692122000000001</v>
      </c>
      <c r="I50" s="13">
        <v>0</v>
      </c>
      <c r="J50" s="25"/>
      <c r="L50" s="20"/>
      <c r="M50" s="21"/>
      <c r="N50" s="22"/>
    </row>
    <row r="51" spans="1:22" ht="15.75" hidden="1" customHeight="1">
      <c r="A51" s="31"/>
      <c r="B51" s="14" t="s">
        <v>34</v>
      </c>
      <c r="C51" s="16" t="s">
        <v>52</v>
      </c>
      <c r="D51" s="14" t="s">
        <v>42</v>
      </c>
      <c r="E51" s="19">
        <v>142.38999999999999</v>
      </c>
      <c r="F51" s="13">
        <f>E51*2/100</f>
        <v>2.8477999999999999</v>
      </c>
      <c r="G51" s="13">
        <v>72.81</v>
      </c>
      <c r="H51" s="13">
        <f>F51*G51/1000</f>
        <v>0.207348318</v>
      </c>
      <c r="I51" s="13">
        <v>0</v>
      </c>
      <c r="J51" s="25"/>
      <c r="L51" s="20"/>
      <c r="M51" s="21"/>
      <c r="N51" s="22"/>
    </row>
    <row r="52" spans="1:22" ht="15.75" hidden="1" customHeight="1">
      <c r="A52" s="31">
        <v>15</v>
      </c>
      <c r="B52" s="14" t="s">
        <v>55</v>
      </c>
      <c r="C52" s="16" t="s">
        <v>87</v>
      </c>
      <c r="D52" s="14" t="s">
        <v>142</v>
      </c>
      <c r="E52" s="19">
        <v>1914</v>
      </c>
      <c r="F52" s="13">
        <f>SUM(E52*5/1000)</f>
        <v>9.57</v>
      </c>
      <c r="G52" s="13">
        <v>1213.55</v>
      </c>
      <c r="H52" s="13">
        <f t="shared" si="5"/>
        <v>11.613673500000001</v>
      </c>
      <c r="I52" s="13">
        <f>F52/5*G52</f>
        <v>2322.7347</v>
      </c>
      <c r="J52" s="25"/>
      <c r="L52" s="20"/>
      <c r="M52" s="21"/>
      <c r="N52" s="22"/>
    </row>
    <row r="53" spans="1:22" ht="31.5" hidden="1" customHeight="1">
      <c r="A53" s="31">
        <v>16</v>
      </c>
      <c r="B53" s="14" t="s">
        <v>89</v>
      </c>
      <c r="C53" s="16" t="s">
        <v>87</v>
      </c>
      <c r="D53" s="14" t="s">
        <v>42</v>
      </c>
      <c r="E53" s="19">
        <v>1914</v>
      </c>
      <c r="F53" s="13">
        <f>SUM(E53*2/1000)</f>
        <v>3.8279999999999998</v>
      </c>
      <c r="G53" s="13">
        <v>1213.55</v>
      </c>
      <c r="H53" s="13">
        <f t="shared" si="5"/>
        <v>4.6454693999999996</v>
      </c>
      <c r="I53" s="13">
        <f>F53/2*G53</f>
        <v>2322.7347</v>
      </c>
      <c r="J53" s="25"/>
      <c r="L53" s="20"/>
      <c r="M53" s="21"/>
      <c r="N53" s="22"/>
    </row>
    <row r="54" spans="1:22" ht="31.5" hidden="1" customHeight="1">
      <c r="A54" s="31">
        <v>17</v>
      </c>
      <c r="B54" s="14" t="s">
        <v>90</v>
      </c>
      <c r="C54" s="16" t="s">
        <v>38</v>
      </c>
      <c r="D54" s="14" t="s">
        <v>42</v>
      </c>
      <c r="E54" s="19">
        <v>20</v>
      </c>
      <c r="F54" s="13">
        <f>SUM(E54*2/100)</f>
        <v>0.4</v>
      </c>
      <c r="G54" s="13">
        <v>2730.49</v>
      </c>
      <c r="H54" s="13">
        <f>SUM(F54*G54/1000)</f>
        <v>1.0921959999999999</v>
      </c>
      <c r="I54" s="13">
        <f>F54/2*G54</f>
        <v>546.09799999999996</v>
      </c>
      <c r="J54" s="25"/>
      <c r="L54" s="20"/>
      <c r="M54" s="21"/>
      <c r="N54" s="22"/>
    </row>
    <row r="55" spans="1:22" ht="15.75" hidden="1" customHeight="1">
      <c r="A55" s="31">
        <v>18</v>
      </c>
      <c r="B55" s="14" t="s">
        <v>39</v>
      </c>
      <c r="C55" s="16" t="s">
        <v>40</v>
      </c>
      <c r="D55" s="14" t="s">
        <v>42</v>
      </c>
      <c r="E55" s="19">
        <v>1</v>
      </c>
      <c r="F55" s="13">
        <v>0.02</v>
      </c>
      <c r="G55" s="13">
        <v>5652.13</v>
      </c>
      <c r="H55" s="13">
        <f t="shared" si="5"/>
        <v>0.11304260000000001</v>
      </c>
      <c r="I55" s="13">
        <f>F55/2*G55</f>
        <v>56.521300000000004</v>
      </c>
      <c r="J55" s="25"/>
      <c r="L55" s="20"/>
      <c r="M55" s="21"/>
      <c r="N55" s="22"/>
    </row>
    <row r="56" spans="1:22" ht="15.75" hidden="1" customHeight="1">
      <c r="A56" s="31">
        <v>19</v>
      </c>
      <c r="B56" s="14" t="s">
        <v>41</v>
      </c>
      <c r="C56" s="16" t="s">
        <v>106</v>
      </c>
      <c r="D56" s="14" t="s">
        <v>70</v>
      </c>
      <c r="E56" s="19">
        <v>120</v>
      </c>
      <c r="F56" s="13">
        <f>SUM(E56)*3</f>
        <v>360</v>
      </c>
      <c r="G56" s="13">
        <v>65.67</v>
      </c>
      <c r="H56" s="13">
        <f t="shared" si="5"/>
        <v>23.641200000000001</v>
      </c>
      <c r="I56" s="13">
        <f>E56*G56</f>
        <v>7880.4000000000005</v>
      </c>
      <c r="J56" s="25"/>
      <c r="L56" s="20"/>
      <c r="M56" s="21"/>
      <c r="N56" s="22"/>
    </row>
    <row r="57" spans="1:22" ht="15.75" customHeight="1">
      <c r="A57" s="110" t="s">
        <v>133</v>
      </c>
      <c r="B57" s="111"/>
      <c r="C57" s="111"/>
      <c r="D57" s="111"/>
      <c r="E57" s="111"/>
      <c r="F57" s="111"/>
      <c r="G57" s="111"/>
      <c r="H57" s="111"/>
      <c r="I57" s="112"/>
      <c r="J57" s="25"/>
      <c r="L57" s="20"/>
      <c r="M57" s="21"/>
      <c r="N57" s="22"/>
    </row>
    <row r="58" spans="1:22" ht="15.75" hidden="1" customHeight="1">
      <c r="A58" s="31"/>
      <c r="B58" s="56" t="s">
        <v>43</v>
      </c>
      <c r="C58" s="16"/>
      <c r="D58" s="14"/>
      <c r="E58" s="19"/>
      <c r="F58" s="13"/>
      <c r="G58" s="13"/>
      <c r="H58" s="13"/>
      <c r="I58" s="13"/>
      <c r="J58" s="25"/>
      <c r="L58" s="20"/>
    </row>
    <row r="59" spans="1:22" ht="31.5" hidden="1" customHeight="1">
      <c r="A59" s="31">
        <v>20</v>
      </c>
      <c r="B59" s="14" t="s">
        <v>141</v>
      </c>
      <c r="C59" s="16" t="s">
        <v>85</v>
      </c>
      <c r="D59" s="14" t="s">
        <v>107</v>
      </c>
      <c r="E59" s="19">
        <v>66</v>
      </c>
      <c r="F59" s="13">
        <f>SUM(E59*6/100)</f>
        <v>3.96</v>
      </c>
      <c r="G59" s="13">
        <v>1547.28</v>
      </c>
      <c r="H59" s="13">
        <f>SUM(F59*G59/1000)</f>
        <v>6.1272288000000001</v>
      </c>
      <c r="I59" s="13">
        <f>F59/6*G59</f>
        <v>1021.2048</v>
      </c>
    </row>
    <row r="60" spans="1:22" ht="15.75" customHeight="1">
      <c r="A60" s="31"/>
      <c r="B60" s="56" t="s">
        <v>44</v>
      </c>
      <c r="C60" s="16"/>
      <c r="D60" s="14"/>
      <c r="E60" s="19"/>
      <c r="F60" s="13"/>
      <c r="G60" s="13"/>
      <c r="H60" s="13"/>
      <c r="I60" s="13"/>
    </row>
    <row r="61" spans="1:22" ht="15.75" hidden="1" customHeight="1">
      <c r="A61" s="31"/>
      <c r="B61" s="14" t="s">
        <v>120</v>
      </c>
      <c r="C61" s="16" t="s">
        <v>52</v>
      </c>
      <c r="D61" s="14" t="s">
        <v>53</v>
      </c>
      <c r="E61" s="19">
        <v>1387</v>
      </c>
      <c r="F61" s="13">
        <f>E61/100</f>
        <v>13.87</v>
      </c>
      <c r="G61" s="13">
        <v>793.61</v>
      </c>
      <c r="H61" s="13">
        <f>F61*G61/1000</f>
        <v>11.007370699999999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31">
        <v>13</v>
      </c>
      <c r="B62" s="14" t="s">
        <v>121</v>
      </c>
      <c r="C62" s="16" t="s">
        <v>25</v>
      </c>
      <c r="D62" s="14" t="s">
        <v>30</v>
      </c>
      <c r="E62" s="19">
        <v>286.8</v>
      </c>
      <c r="F62" s="13">
        <f>E62*12</f>
        <v>3441.6000000000004</v>
      </c>
      <c r="G62" s="13">
        <v>2.6</v>
      </c>
      <c r="H62" s="13">
        <f>F62*G62/1000</f>
        <v>8.9481600000000014</v>
      </c>
      <c r="I62" s="13">
        <f>F62/12*G62</f>
        <v>745.68000000000006</v>
      </c>
      <c r="J62" s="27"/>
      <c r="K62" s="27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31"/>
      <c r="B63" s="56" t="s">
        <v>128</v>
      </c>
      <c r="C63" s="16"/>
      <c r="D63" s="14"/>
      <c r="E63" s="19"/>
      <c r="F63" s="13"/>
      <c r="G63" s="13"/>
      <c r="H63" s="13"/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31"/>
      <c r="B64" s="14" t="s">
        <v>129</v>
      </c>
      <c r="C64" s="16" t="s">
        <v>106</v>
      </c>
      <c r="D64" s="14" t="s">
        <v>53</v>
      </c>
      <c r="E64" s="19">
        <v>4</v>
      </c>
      <c r="F64" s="13">
        <v>4</v>
      </c>
      <c r="G64" s="13">
        <v>237.75</v>
      </c>
      <c r="H64" s="13">
        <f t="shared" ref="H64" si="6">F64*G64/1000</f>
        <v>0.95099999999999996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94"/>
      <c r="S64" s="94"/>
      <c r="T64" s="94"/>
      <c r="U64" s="94"/>
    </row>
    <row r="65" spans="1:21" ht="15.75" customHeight="1">
      <c r="A65" s="31"/>
      <c r="B65" s="56" t="s">
        <v>45</v>
      </c>
      <c r="C65" s="16"/>
      <c r="D65" s="14"/>
      <c r="E65" s="19"/>
      <c r="F65" s="13"/>
      <c r="G65" s="13"/>
      <c r="H65" s="13" t="s">
        <v>139</v>
      </c>
      <c r="I65" s="1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customHeight="1">
      <c r="A66" s="31">
        <v>14</v>
      </c>
      <c r="B66" s="14" t="s">
        <v>46</v>
      </c>
      <c r="C66" s="16" t="s">
        <v>106</v>
      </c>
      <c r="D66" s="14" t="s">
        <v>66</v>
      </c>
      <c r="E66" s="19">
        <v>10</v>
      </c>
      <c r="F66" s="13">
        <v>10</v>
      </c>
      <c r="G66" s="13">
        <v>222.4</v>
      </c>
      <c r="H66" s="13">
        <f t="shared" ref="H66:H79" si="7">SUM(F66*G66/1000)</f>
        <v>2.2240000000000002</v>
      </c>
      <c r="I66" s="13">
        <f>G66*2</f>
        <v>444.8</v>
      </c>
    </row>
    <row r="67" spans="1:21" ht="15.75" hidden="1" customHeight="1">
      <c r="A67" s="31"/>
      <c r="B67" s="14" t="s">
        <v>47</v>
      </c>
      <c r="C67" s="16" t="s">
        <v>106</v>
      </c>
      <c r="D67" s="14" t="s">
        <v>66</v>
      </c>
      <c r="E67" s="19">
        <v>5</v>
      </c>
      <c r="F67" s="13">
        <v>5</v>
      </c>
      <c r="G67" s="13">
        <v>76.25</v>
      </c>
      <c r="H67" s="13">
        <f t="shared" si="7"/>
        <v>0.38124999999999998</v>
      </c>
      <c r="I67" s="13">
        <v>0</v>
      </c>
    </row>
    <row r="68" spans="1:21" ht="15.75" hidden="1" customHeight="1">
      <c r="A68" s="31"/>
      <c r="B68" s="14" t="s">
        <v>48</v>
      </c>
      <c r="C68" s="16" t="s">
        <v>108</v>
      </c>
      <c r="D68" s="14" t="s">
        <v>53</v>
      </c>
      <c r="E68" s="19">
        <v>19138</v>
      </c>
      <c r="F68" s="13">
        <f>SUM(E68/100)</f>
        <v>191.38</v>
      </c>
      <c r="G68" s="13">
        <v>212.15</v>
      </c>
      <c r="H68" s="13">
        <f t="shared" si="7"/>
        <v>40.601267</v>
      </c>
      <c r="I68" s="13">
        <f>F68*G68</f>
        <v>40601.267</v>
      </c>
    </row>
    <row r="69" spans="1:21" ht="15.75" hidden="1" customHeight="1">
      <c r="A69" s="31"/>
      <c r="B69" s="14" t="s">
        <v>49</v>
      </c>
      <c r="C69" s="16" t="s">
        <v>109</v>
      </c>
      <c r="D69" s="14"/>
      <c r="E69" s="19">
        <v>19138</v>
      </c>
      <c r="F69" s="13">
        <f>SUM(E69/1000)</f>
        <v>19.138000000000002</v>
      </c>
      <c r="G69" s="13">
        <v>165.21</v>
      </c>
      <c r="H69" s="13">
        <f t="shared" si="7"/>
        <v>3.1617889800000003</v>
      </c>
      <c r="I69" s="13">
        <f t="shared" ref="I69:I73" si="8">F69*G69</f>
        <v>3161.7889800000003</v>
      </c>
    </row>
    <row r="70" spans="1:21" ht="15.75" hidden="1" customHeight="1">
      <c r="A70" s="31"/>
      <c r="B70" s="14" t="s">
        <v>50</v>
      </c>
      <c r="C70" s="16" t="s">
        <v>76</v>
      </c>
      <c r="D70" s="14" t="s">
        <v>53</v>
      </c>
      <c r="E70" s="19">
        <v>2730</v>
      </c>
      <c r="F70" s="13">
        <f>SUM(E70/100)</f>
        <v>27.3</v>
      </c>
      <c r="G70" s="13">
        <v>2074.63</v>
      </c>
      <c r="H70" s="13">
        <f t="shared" si="7"/>
        <v>56.637399000000002</v>
      </c>
      <c r="I70" s="13">
        <f t="shared" si="8"/>
        <v>56637.399000000005</v>
      </c>
    </row>
    <row r="71" spans="1:21" ht="15.75" hidden="1" customHeight="1">
      <c r="A71" s="31"/>
      <c r="B71" s="67" t="s">
        <v>110</v>
      </c>
      <c r="C71" s="16" t="s">
        <v>33</v>
      </c>
      <c r="D71" s="14"/>
      <c r="E71" s="19">
        <v>13</v>
      </c>
      <c r="F71" s="13">
        <f>SUM(E71)</f>
        <v>13</v>
      </c>
      <c r="G71" s="13">
        <v>45.32</v>
      </c>
      <c r="H71" s="13">
        <f t="shared" si="7"/>
        <v>0.58916000000000002</v>
      </c>
      <c r="I71" s="13">
        <f t="shared" si="8"/>
        <v>589.16</v>
      </c>
    </row>
    <row r="72" spans="1:21" ht="15.75" hidden="1" customHeight="1">
      <c r="A72" s="31"/>
      <c r="B72" s="67" t="s">
        <v>111</v>
      </c>
      <c r="C72" s="16" t="s">
        <v>33</v>
      </c>
      <c r="D72" s="14"/>
      <c r="E72" s="19">
        <v>13</v>
      </c>
      <c r="F72" s="13">
        <f>SUM(E72)</f>
        <v>13</v>
      </c>
      <c r="G72" s="13">
        <v>42.28</v>
      </c>
      <c r="H72" s="13">
        <f t="shared" si="7"/>
        <v>0.54964000000000002</v>
      </c>
      <c r="I72" s="13">
        <f t="shared" si="8"/>
        <v>549.64</v>
      </c>
    </row>
    <row r="73" spans="1:21" ht="15.75" hidden="1" customHeight="1">
      <c r="A73" s="31"/>
      <c r="B73" s="14" t="s">
        <v>56</v>
      </c>
      <c r="C73" s="16" t="s">
        <v>57</v>
      </c>
      <c r="D73" s="14" t="s">
        <v>53</v>
      </c>
      <c r="E73" s="19">
        <v>8</v>
      </c>
      <c r="F73" s="13">
        <v>8</v>
      </c>
      <c r="G73" s="13">
        <v>49.88</v>
      </c>
      <c r="H73" s="13">
        <f t="shared" si="7"/>
        <v>0.39904000000000001</v>
      </c>
      <c r="I73" s="13">
        <f t="shared" si="8"/>
        <v>399.04</v>
      </c>
    </row>
    <row r="74" spans="1:21" ht="15.75" hidden="1" customHeight="1">
      <c r="A74" s="31"/>
      <c r="B74" s="56" t="s">
        <v>71</v>
      </c>
      <c r="C74" s="16"/>
      <c r="D74" s="14"/>
      <c r="E74" s="19"/>
      <c r="F74" s="13"/>
      <c r="G74" s="13"/>
      <c r="H74" s="13" t="s">
        <v>139</v>
      </c>
      <c r="I74" s="13"/>
    </row>
    <row r="75" spans="1:21" ht="15.75" hidden="1" customHeight="1">
      <c r="A75" s="31">
        <v>15</v>
      </c>
      <c r="B75" s="14" t="s">
        <v>72</v>
      </c>
      <c r="C75" s="16" t="s">
        <v>74</v>
      </c>
      <c r="D75" s="14"/>
      <c r="E75" s="19">
        <v>4</v>
      </c>
      <c r="F75" s="13">
        <v>0.4</v>
      </c>
      <c r="G75" s="13">
        <v>501.62</v>
      </c>
      <c r="H75" s="13">
        <f t="shared" si="7"/>
        <v>0.20064800000000002</v>
      </c>
      <c r="I75" s="13">
        <f>G75*0.1</f>
        <v>50.162000000000006</v>
      </c>
    </row>
    <row r="76" spans="1:21" ht="15.75" hidden="1" customHeight="1">
      <c r="A76" s="31"/>
      <c r="B76" s="14" t="s">
        <v>73</v>
      </c>
      <c r="C76" s="16" t="s">
        <v>31</v>
      </c>
      <c r="D76" s="14"/>
      <c r="E76" s="19">
        <v>1</v>
      </c>
      <c r="F76" s="13">
        <v>1</v>
      </c>
      <c r="G76" s="13">
        <v>852.99</v>
      </c>
      <c r="H76" s="13">
        <f>F76*G76/1000</f>
        <v>0.85299000000000003</v>
      </c>
      <c r="I76" s="13">
        <v>0</v>
      </c>
    </row>
    <row r="77" spans="1:21" ht="15.75" hidden="1" customHeight="1">
      <c r="A77" s="31"/>
      <c r="B77" s="14" t="s">
        <v>113</v>
      </c>
      <c r="C77" s="16" t="s">
        <v>31</v>
      </c>
      <c r="D77" s="14"/>
      <c r="E77" s="19">
        <v>1</v>
      </c>
      <c r="F77" s="13">
        <v>1</v>
      </c>
      <c r="G77" s="13">
        <v>358.51</v>
      </c>
      <c r="H77" s="13">
        <f>G77*F77/1000</f>
        <v>0.35851</v>
      </c>
      <c r="I77" s="13">
        <v>0</v>
      </c>
    </row>
    <row r="78" spans="1:21" ht="15.75" hidden="1" customHeight="1">
      <c r="A78" s="31"/>
      <c r="B78" s="64" t="s">
        <v>75</v>
      </c>
      <c r="C78" s="16"/>
      <c r="D78" s="14"/>
      <c r="E78" s="19"/>
      <c r="F78" s="13"/>
      <c r="G78" s="13" t="s">
        <v>139</v>
      </c>
      <c r="H78" s="13" t="s">
        <v>139</v>
      </c>
      <c r="I78" s="13"/>
    </row>
    <row r="79" spans="1:21" ht="15.75" hidden="1" customHeight="1">
      <c r="A79" s="31"/>
      <c r="B79" s="44" t="s">
        <v>124</v>
      </c>
      <c r="C79" s="16" t="s">
        <v>76</v>
      </c>
      <c r="D79" s="14"/>
      <c r="E79" s="19"/>
      <c r="F79" s="13">
        <v>0.1</v>
      </c>
      <c r="G79" s="13">
        <v>2759.44</v>
      </c>
      <c r="H79" s="13">
        <f t="shared" si="7"/>
        <v>0.27594400000000002</v>
      </c>
      <c r="I79" s="13">
        <v>0</v>
      </c>
    </row>
    <row r="80" spans="1:21" ht="15.75" customHeight="1">
      <c r="A80" s="31"/>
      <c r="B80" s="56" t="s">
        <v>91</v>
      </c>
      <c r="C80" s="70"/>
      <c r="D80" s="70"/>
      <c r="E80" s="70"/>
      <c r="F80" s="70"/>
      <c r="G80" s="65"/>
      <c r="H80" s="65">
        <f>SUM(H59:H79)</f>
        <v>133.26539648000002</v>
      </c>
      <c r="I80" s="65"/>
    </row>
    <row r="81" spans="1:9" ht="15.75" customHeight="1">
      <c r="A81" s="31">
        <v>15</v>
      </c>
      <c r="B81" s="14" t="s">
        <v>112</v>
      </c>
      <c r="C81" s="16"/>
      <c r="D81" s="14"/>
      <c r="E81" s="19"/>
      <c r="F81" s="13">
        <v>1</v>
      </c>
      <c r="G81" s="13">
        <v>14584.4</v>
      </c>
      <c r="H81" s="13">
        <f>G81*F81/1000</f>
        <v>14.5844</v>
      </c>
      <c r="I81" s="13">
        <v>2083.4</v>
      </c>
    </row>
    <row r="82" spans="1:9" ht="15.75" customHeight="1">
      <c r="A82" s="95" t="s">
        <v>134</v>
      </c>
      <c r="B82" s="96"/>
      <c r="C82" s="96"/>
      <c r="D82" s="96"/>
      <c r="E82" s="96"/>
      <c r="F82" s="96"/>
      <c r="G82" s="96"/>
      <c r="H82" s="96"/>
      <c r="I82" s="97"/>
    </row>
    <row r="83" spans="1:9" ht="15.75" customHeight="1">
      <c r="A83" s="31">
        <v>16</v>
      </c>
      <c r="B83" s="14" t="s">
        <v>114</v>
      </c>
      <c r="C83" s="16" t="s">
        <v>54</v>
      </c>
      <c r="D83" s="59" t="s">
        <v>152</v>
      </c>
      <c r="E83" s="13">
        <v>5367.6</v>
      </c>
      <c r="F83" s="13">
        <f>SUM(E83*12)</f>
        <v>64411.200000000004</v>
      </c>
      <c r="G83" s="13">
        <v>2.1</v>
      </c>
      <c r="H83" s="13">
        <f>SUM(F83*G83/1000)</f>
        <v>135.26352000000003</v>
      </c>
      <c r="I83" s="13">
        <f>F83/12*G83</f>
        <v>11271.960000000001</v>
      </c>
    </row>
    <row r="84" spans="1:9" ht="31.5" customHeight="1">
      <c r="A84" s="31">
        <v>17</v>
      </c>
      <c r="B84" s="14" t="s">
        <v>77</v>
      </c>
      <c r="C84" s="16"/>
      <c r="D84" s="59" t="s">
        <v>152</v>
      </c>
      <c r="E84" s="19">
        <f>E83</f>
        <v>5367.6</v>
      </c>
      <c r="F84" s="13">
        <f>E84*12</f>
        <v>64411.200000000004</v>
      </c>
      <c r="G84" s="13">
        <v>1.63</v>
      </c>
      <c r="H84" s="13">
        <f>F84*G84/1000</f>
        <v>104.99025599999999</v>
      </c>
      <c r="I84" s="13">
        <f>F84/12*G84</f>
        <v>8749.1880000000001</v>
      </c>
    </row>
    <row r="85" spans="1:9" ht="15.75" customHeight="1">
      <c r="A85" s="31"/>
      <c r="B85" s="36" t="s">
        <v>79</v>
      </c>
      <c r="C85" s="64"/>
      <c r="D85" s="68"/>
      <c r="E85" s="65"/>
      <c r="F85" s="65"/>
      <c r="G85" s="65"/>
      <c r="H85" s="65">
        <f>H84</f>
        <v>104.99025599999999</v>
      </c>
      <c r="I85" s="65">
        <f>I16+I17+I18+I20+I21+I24+I27+I28+I31+I32+I34+I35+I62+I66+I81+I83+I84</f>
        <v>54017.313984222223</v>
      </c>
    </row>
    <row r="86" spans="1:9" ht="15.75" customHeight="1">
      <c r="A86" s="106" t="s">
        <v>59</v>
      </c>
      <c r="B86" s="107"/>
      <c r="C86" s="107"/>
      <c r="D86" s="107"/>
      <c r="E86" s="107"/>
      <c r="F86" s="107"/>
      <c r="G86" s="107"/>
      <c r="H86" s="107"/>
      <c r="I86" s="108"/>
    </row>
    <row r="87" spans="1:9" ht="15.75" customHeight="1">
      <c r="A87" s="31">
        <v>18</v>
      </c>
      <c r="B87" s="47" t="s">
        <v>122</v>
      </c>
      <c r="C87" s="63" t="s">
        <v>106</v>
      </c>
      <c r="D87" s="44"/>
      <c r="E87" s="13"/>
      <c r="F87" s="13">
        <v>732</v>
      </c>
      <c r="G87" s="13">
        <v>53.42</v>
      </c>
      <c r="H87" s="13">
        <f t="shared" ref="H87:H88" si="9">G87*F87/1000</f>
        <v>39.103439999999999</v>
      </c>
      <c r="I87" s="13">
        <f>G87*61</f>
        <v>3258.62</v>
      </c>
    </row>
    <row r="88" spans="1:9" ht="31.5" customHeight="1">
      <c r="A88" s="31">
        <v>19</v>
      </c>
      <c r="B88" s="48" t="s">
        <v>166</v>
      </c>
      <c r="C88" s="49" t="s">
        <v>130</v>
      </c>
      <c r="D88" s="83"/>
      <c r="E88" s="35"/>
      <c r="F88" s="35">
        <v>8</v>
      </c>
      <c r="G88" s="35">
        <v>1046.06</v>
      </c>
      <c r="H88" s="84">
        <f t="shared" si="9"/>
        <v>8.3684799999999999</v>
      </c>
      <c r="I88" s="13">
        <f>G88*7</f>
        <v>7322.42</v>
      </c>
    </row>
    <row r="89" spans="1:9" ht="15.75" customHeight="1">
      <c r="A89" s="31">
        <v>20</v>
      </c>
      <c r="B89" s="50" t="s">
        <v>186</v>
      </c>
      <c r="C89" s="51" t="s">
        <v>131</v>
      </c>
      <c r="D89" s="83"/>
      <c r="E89" s="35"/>
      <c r="F89" s="35">
        <f>58/3</f>
        <v>19.333333333333332</v>
      </c>
      <c r="G89" s="35">
        <v>1120.8900000000001</v>
      </c>
      <c r="H89" s="84">
        <f>G89*F89/1000</f>
        <v>21.670540000000003</v>
      </c>
      <c r="I89" s="13">
        <f>G89*(10/3)</f>
        <v>3736.3000000000006</v>
      </c>
    </row>
    <row r="90" spans="1:9" ht="15.75" customHeight="1">
      <c r="A90" s="31">
        <v>21</v>
      </c>
      <c r="B90" s="47" t="s">
        <v>198</v>
      </c>
      <c r="C90" s="63" t="s">
        <v>200</v>
      </c>
      <c r="D90" s="90"/>
      <c r="E90" s="18"/>
      <c r="F90" s="35"/>
      <c r="G90" s="35">
        <v>78197</v>
      </c>
      <c r="H90" s="84"/>
      <c r="I90" s="13">
        <f>G90</f>
        <v>78197</v>
      </c>
    </row>
    <row r="91" spans="1:9" ht="15.75" customHeight="1">
      <c r="A91" s="31">
        <v>22</v>
      </c>
      <c r="B91" s="48" t="s">
        <v>199</v>
      </c>
      <c r="C91" s="49" t="s">
        <v>130</v>
      </c>
      <c r="D91" s="83"/>
      <c r="E91" s="35"/>
      <c r="F91" s="35">
        <v>2</v>
      </c>
      <c r="G91" s="35">
        <v>832.06</v>
      </c>
      <c r="H91" s="84">
        <f t="shared" ref="H91" si="10">G91*F91/1000</f>
        <v>1.6641199999999998</v>
      </c>
      <c r="I91" s="13">
        <f>G91*2</f>
        <v>1664.12</v>
      </c>
    </row>
    <row r="92" spans="1:9" ht="15.75" customHeight="1">
      <c r="A92" s="31"/>
      <c r="B92" s="42" t="s">
        <v>51</v>
      </c>
      <c r="C92" s="38"/>
      <c r="D92" s="45"/>
      <c r="E92" s="38">
        <v>1</v>
      </c>
      <c r="F92" s="38"/>
      <c r="G92" s="38"/>
      <c r="H92" s="38"/>
      <c r="I92" s="33">
        <f>SUM(I87:I91)</f>
        <v>94178.459999999992</v>
      </c>
    </row>
    <row r="93" spans="1:9" ht="15.75" customHeight="1">
      <c r="A93" s="31"/>
      <c r="B93" s="44" t="s">
        <v>78</v>
      </c>
      <c r="C93" s="15"/>
      <c r="D93" s="15"/>
      <c r="E93" s="39"/>
      <c r="F93" s="39"/>
      <c r="G93" s="40"/>
      <c r="H93" s="40"/>
      <c r="I93" s="18">
        <v>0</v>
      </c>
    </row>
    <row r="94" spans="1:9" ht="15.75" customHeight="1">
      <c r="A94" s="46"/>
      <c r="B94" s="43" t="s">
        <v>161</v>
      </c>
      <c r="C94" s="34"/>
      <c r="D94" s="34"/>
      <c r="E94" s="34"/>
      <c r="F94" s="34"/>
      <c r="G94" s="34"/>
      <c r="H94" s="34"/>
      <c r="I94" s="41">
        <f>I85+I92</f>
        <v>148195.77398422221</v>
      </c>
    </row>
    <row r="95" spans="1:9" ht="15.75" customHeight="1">
      <c r="A95" s="98" t="s">
        <v>201</v>
      </c>
      <c r="B95" s="98"/>
      <c r="C95" s="98"/>
      <c r="D95" s="98"/>
      <c r="E95" s="98"/>
      <c r="F95" s="98"/>
      <c r="G95" s="98"/>
      <c r="H95" s="98"/>
      <c r="I95" s="98"/>
    </row>
    <row r="96" spans="1:9" ht="15.75">
      <c r="A96" s="58"/>
      <c r="B96" s="99" t="s">
        <v>202</v>
      </c>
      <c r="C96" s="99"/>
      <c r="D96" s="99"/>
      <c r="E96" s="99"/>
      <c r="F96" s="99"/>
      <c r="G96" s="99"/>
      <c r="H96" s="62"/>
      <c r="I96" s="3"/>
    </row>
    <row r="97" spans="1:9" ht="15.75" customHeight="1">
      <c r="A97" s="54"/>
      <c r="B97" s="100" t="s">
        <v>6</v>
      </c>
      <c r="C97" s="100"/>
      <c r="D97" s="100"/>
      <c r="E97" s="100"/>
      <c r="F97" s="100"/>
      <c r="G97" s="100"/>
      <c r="H97" s="26"/>
      <c r="I97" s="5"/>
    </row>
    <row r="98" spans="1:9" ht="15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01" t="s">
        <v>7</v>
      </c>
      <c r="B99" s="101"/>
      <c r="C99" s="101"/>
      <c r="D99" s="101"/>
      <c r="E99" s="101"/>
      <c r="F99" s="101"/>
      <c r="G99" s="101"/>
      <c r="H99" s="101"/>
      <c r="I99" s="101"/>
    </row>
    <row r="100" spans="1:9" ht="15.75" customHeight="1">
      <c r="A100" s="101" t="s">
        <v>8</v>
      </c>
      <c r="B100" s="101"/>
      <c r="C100" s="101"/>
      <c r="D100" s="101"/>
      <c r="E100" s="101"/>
      <c r="F100" s="101"/>
      <c r="G100" s="101"/>
      <c r="H100" s="101"/>
      <c r="I100" s="101"/>
    </row>
    <row r="101" spans="1:9" ht="15.75">
      <c r="A101" s="102" t="s">
        <v>60</v>
      </c>
      <c r="B101" s="102"/>
      <c r="C101" s="102"/>
      <c r="D101" s="102"/>
      <c r="E101" s="102"/>
      <c r="F101" s="102"/>
      <c r="G101" s="102"/>
      <c r="H101" s="102"/>
      <c r="I101" s="102"/>
    </row>
    <row r="102" spans="1:9" ht="15.75" customHeight="1">
      <c r="A102" s="11"/>
    </row>
    <row r="103" spans="1:9" ht="15.75" customHeight="1">
      <c r="A103" s="103" t="s">
        <v>9</v>
      </c>
      <c r="B103" s="103"/>
      <c r="C103" s="103"/>
      <c r="D103" s="103"/>
      <c r="E103" s="103"/>
      <c r="F103" s="103"/>
      <c r="G103" s="103"/>
      <c r="H103" s="103"/>
      <c r="I103" s="103"/>
    </row>
    <row r="104" spans="1:9" ht="15.75" customHeight="1">
      <c r="A104" s="4"/>
    </row>
    <row r="105" spans="1:9" ht="15.75">
      <c r="B105" s="55" t="s">
        <v>10</v>
      </c>
      <c r="C105" s="104" t="s">
        <v>132</v>
      </c>
      <c r="D105" s="104"/>
      <c r="E105" s="104"/>
      <c r="F105" s="60"/>
      <c r="I105" s="53"/>
    </row>
    <row r="106" spans="1:9" ht="15.75" customHeight="1">
      <c r="A106" s="54"/>
      <c r="C106" s="100" t="s">
        <v>11</v>
      </c>
      <c r="D106" s="100"/>
      <c r="E106" s="100"/>
      <c r="F106" s="26"/>
      <c r="I106" s="52" t="s">
        <v>12</v>
      </c>
    </row>
    <row r="107" spans="1:9" ht="15.75" customHeight="1">
      <c r="A107" s="27"/>
      <c r="C107" s="12"/>
      <c r="D107" s="12"/>
      <c r="G107" s="12"/>
      <c r="H107" s="12"/>
    </row>
    <row r="108" spans="1:9" ht="15.75" customHeight="1">
      <c r="B108" s="55" t="s">
        <v>13</v>
      </c>
      <c r="C108" s="105"/>
      <c r="D108" s="105"/>
      <c r="E108" s="105"/>
      <c r="F108" s="61"/>
      <c r="I108" s="53"/>
    </row>
    <row r="109" spans="1:9" ht="15.75" customHeight="1">
      <c r="A109" s="54"/>
      <c r="C109" s="94" t="s">
        <v>11</v>
      </c>
      <c r="D109" s="94"/>
      <c r="E109" s="94"/>
      <c r="F109" s="54"/>
      <c r="I109" s="52" t="s">
        <v>12</v>
      </c>
    </row>
    <row r="110" spans="1:9" ht="15.75">
      <c r="A110" s="4" t="s">
        <v>14</v>
      </c>
    </row>
    <row r="111" spans="1:9" ht="15.75" customHeight="1">
      <c r="A111" s="92" t="s">
        <v>15</v>
      </c>
      <c r="B111" s="92"/>
      <c r="C111" s="92"/>
      <c r="D111" s="92"/>
      <c r="E111" s="92"/>
      <c r="F111" s="92"/>
      <c r="G111" s="92"/>
      <c r="H111" s="92"/>
      <c r="I111" s="92"/>
    </row>
    <row r="112" spans="1:9" ht="45" customHeight="1">
      <c r="A112" s="93" t="s">
        <v>16</v>
      </c>
      <c r="B112" s="93"/>
      <c r="C112" s="93"/>
      <c r="D112" s="93"/>
      <c r="E112" s="93"/>
      <c r="F112" s="93"/>
      <c r="G112" s="93"/>
      <c r="H112" s="93"/>
      <c r="I112" s="93"/>
    </row>
    <row r="113" spans="1:9" ht="30" customHeight="1">
      <c r="A113" s="93" t="s">
        <v>17</v>
      </c>
      <c r="B113" s="93"/>
      <c r="C113" s="93"/>
      <c r="D113" s="93"/>
      <c r="E113" s="93"/>
      <c r="F113" s="93"/>
      <c r="G113" s="93"/>
      <c r="H113" s="93"/>
      <c r="I113" s="93"/>
    </row>
    <row r="114" spans="1:9" ht="30" customHeight="1">
      <c r="A114" s="93" t="s">
        <v>21</v>
      </c>
      <c r="B114" s="93"/>
      <c r="C114" s="93"/>
      <c r="D114" s="93"/>
      <c r="E114" s="93"/>
      <c r="F114" s="93"/>
      <c r="G114" s="93"/>
      <c r="H114" s="93"/>
      <c r="I114" s="93"/>
    </row>
    <row r="115" spans="1:9" ht="15" customHeight="1">
      <c r="A115" s="93" t="s">
        <v>20</v>
      </c>
      <c r="B115" s="93"/>
      <c r="C115" s="93"/>
      <c r="D115" s="93"/>
      <c r="E115" s="93"/>
      <c r="F115" s="93"/>
      <c r="G115" s="93"/>
      <c r="H115" s="93"/>
      <c r="I115" s="93"/>
    </row>
  </sheetData>
  <autoFilter ref="I12:I59"/>
  <mergeCells count="29">
    <mergeCell ref="R64:U64"/>
    <mergeCell ref="A82:I82"/>
    <mergeCell ref="A3:I3"/>
    <mergeCell ref="A4:I4"/>
    <mergeCell ref="A5:I5"/>
    <mergeCell ref="A8:I8"/>
    <mergeCell ref="A10:I10"/>
    <mergeCell ref="A14:I14"/>
    <mergeCell ref="A101:I101"/>
    <mergeCell ref="A15:I15"/>
    <mergeCell ref="A29:I29"/>
    <mergeCell ref="A46:I46"/>
    <mergeCell ref="A57:I57"/>
    <mergeCell ref="A95:I95"/>
    <mergeCell ref="B96:G96"/>
    <mergeCell ref="B97:G97"/>
    <mergeCell ref="A99:I99"/>
    <mergeCell ref="A100:I100"/>
    <mergeCell ref="A86:I86"/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83</v>
      </c>
      <c r="I1" s="28"/>
      <c r="J1" s="1"/>
      <c r="K1" s="1"/>
      <c r="L1" s="1"/>
      <c r="M1" s="1"/>
    </row>
    <row r="2" spans="1:13" ht="15.75">
      <c r="A2" s="30" t="s">
        <v>61</v>
      </c>
      <c r="J2" s="2"/>
      <c r="K2" s="2"/>
      <c r="L2" s="2"/>
      <c r="M2" s="2"/>
    </row>
    <row r="3" spans="1:13" ht="15.75" customHeight="1">
      <c r="A3" s="114" t="s">
        <v>203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212</v>
      </c>
      <c r="B4" s="115"/>
      <c r="C4" s="115"/>
      <c r="D4" s="115"/>
      <c r="E4" s="115"/>
      <c r="F4" s="115"/>
      <c r="G4" s="115"/>
      <c r="H4" s="115"/>
      <c r="I4" s="115"/>
    </row>
    <row r="5" spans="1:13" ht="15.75">
      <c r="A5" s="114" t="s">
        <v>204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>
      <c r="A6" s="2"/>
      <c r="B6" s="72"/>
      <c r="C6" s="72"/>
      <c r="D6" s="72"/>
      <c r="E6" s="72"/>
      <c r="F6" s="72"/>
      <c r="G6" s="72"/>
      <c r="H6" s="72"/>
      <c r="I6" s="32">
        <v>43069</v>
      </c>
      <c r="J6" s="2"/>
      <c r="K6" s="2"/>
      <c r="L6" s="2"/>
      <c r="M6" s="2"/>
    </row>
    <row r="7" spans="1:13" ht="15.75">
      <c r="B7" s="75"/>
      <c r="C7" s="75"/>
      <c r="D7" s="75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7" t="s">
        <v>154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18" t="s">
        <v>155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3" t="s">
        <v>58</v>
      </c>
      <c r="B14" s="113"/>
      <c r="C14" s="113"/>
      <c r="D14" s="113"/>
      <c r="E14" s="113"/>
      <c r="F14" s="113"/>
      <c r="G14" s="113"/>
      <c r="H14" s="113"/>
      <c r="I14" s="113"/>
      <c r="J14" s="8"/>
      <c r="K14" s="8"/>
      <c r="L14" s="8"/>
      <c r="M14" s="8"/>
    </row>
    <row r="15" spans="1:13" ht="15.75" customHeight="1">
      <c r="A15" s="109" t="s">
        <v>4</v>
      </c>
      <c r="B15" s="109"/>
      <c r="C15" s="109"/>
      <c r="D15" s="109"/>
      <c r="E15" s="109"/>
      <c r="F15" s="109"/>
      <c r="G15" s="109"/>
      <c r="H15" s="109"/>
      <c r="I15" s="109"/>
      <c r="J15" s="8"/>
      <c r="K15" s="8"/>
      <c r="L15" s="8"/>
      <c r="M15" s="8"/>
    </row>
    <row r="16" spans="1:13" ht="15.75" customHeight="1">
      <c r="A16" s="31">
        <v>1</v>
      </c>
      <c r="B16" s="14" t="s">
        <v>84</v>
      </c>
      <c r="C16" s="16" t="s">
        <v>85</v>
      </c>
      <c r="D16" s="14" t="s">
        <v>157</v>
      </c>
      <c r="E16" s="19">
        <v>62.28</v>
      </c>
      <c r="F16" s="13">
        <f>SUM(E16*156/100)</f>
        <v>97.156800000000004</v>
      </c>
      <c r="G16" s="13">
        <v>175.38</v>
      </c>
      <c r="H16" s="13">
        <f t="shared" ref="H16:H25" si="0">SUM(F16*G16/1000)</f>
        <v>17.039359584000003</v>
      </c>
      <c r="I16" s="13">
        <f>F16/12*G16</f>
        <v>1419.9466320000001</v>
      </c>
      <c r="J16" s="23"/>
      <c r="K16" s="8"/>
      <c r="L16" s="8"/>
      <c r="M16" s="8"/>
    </row>
    <row r="17" spans="1:13" ht="15.75" customHeight="1">
      <c r="A17" s="31">
        <v>2</v>
      </c>
      <c r="B17" s="14" t="s">
        <v>115</v>
      </c>
      <c r="C17" s="16" t="s">
        <v>85</v>
      </c>
      <c r="D17" s="14" t="s">
        <v>158</v>
      </c>
      <c r="E17" s="19">
        <v>311.42</v>
      </c>
      <c r="F17" s="13">
        <f>SUM(E17*104/100)</f>
        <v>323.8768</v>
      </c>
      <c r="G17" s="13">
        <v>175.38</v>
      </c>
      <c r="H17" s="13">
        <f t="shared" si="0"/>
        <v>56.801513183999994</v>
      </c>
      <c r="I17" s="13">
        <f>F17/12*G17</f>
        <v>4733.4594319999997</v>
      </c>
      <c r="J17" s="24"/>
      <c r="K17" s="8"/>
      <c r="L17" s="8"/>
      <c r="M17" s="8"/>
    </row>
    <row r="18" spans="1:13" ht="15.75" customHeight="1">
      <c r="A18" s="31">
        <v>3</v>
      </c>
      <c r="B18" s="14" t="s">
        <v>116</v>
      </c>
      <c r="C18" s="16" t="s">
        <v>85</v>
      </c>
      <c r="D18" s="14" t="s">
        <v>159</v>
      </c>
      <c r="E18" s="19">
        <v>373.7</v>
      </c>
      <c r="F18" s="13">
        <f>SUM(E18*24/100)</f>
        <v>89.687999999999988</v>
      </c>
      <c r="G18" s="13">
        <v>504.5</v>
      </c>
      <c r="H18" s="13">
        <f t="shared" si="0"/>
        <v>45.247595999999987</v>
      </c>
      <c r="I18" s="13">
        <f>F18/12*G18</f>
        <v>3770.6329999999998</v>
      </c>
      <c r="J18" s="24"/>
      <c r="K18" s="8"/>
      <c r="L18" s="8"/>
      <c r="M18" s="8"/>
    </row>
    <row r="19" spans="1:13" ht="15.75" hidden="1" customHeight="1">
      <c r="A19" s="31"/>
      <c r="B19" s="14" t="s">
        <v>92</v>
      </c>
      <c r="C19" s="16" t="s">
        <v>93</v>
      </c>
      <c r="D19" s="14" t="s">
        <v>94</v>
      </c>
      <c r="E19" s="19">
        <v>38.4</v>
      </c>
      <c r="F19" s="13">
        <f>SUM(E19/10)</f>
        <v>3.84</v>
      </c>
      <c r="G19" s="13">
        <v>170.16</v>
      </c>
      <c r="H19" s="13">
        <f t="shared" si="0"/>
        <v>0.65341439999999995</v>
      </c>
      <c r="I19" s="13">
        <v>0</v>
      </c>
      <c r="J19" s="24"/>
      <c r="K19" s="8"/>
      <c r="L19" s="8"/>
      <c r="M19" s="8"/>
    </row>
    <row r="20" spans="1:13" ht="15.75" customHeight="1">
      <c r="A20" s="31">
        <v>4</v>
      </c>
      <c r="B20" s="14" t="s">
        <v>95</v>
      </c>
      <c r="C20" s="16" t="s">
        <v>85</v>
      </c>
      <c r="D20" s="14" t="s">
        <v>117</v>
      </c>
      <c r="E20" s="19">
        <v>35.04</v>
      </c>
      <c r="F20" s="13">
        <f>SUM(E20*12/100)</f>
        <v>4.2048000000000005</v>
      </c>
      <c r="G20" s="13">
        <v>217.88</v>
      </c>
      <c r="H20" s="13">
        <f t="shared" si="0"/>
        <v>0.91614182399999999</v>
      </c>
      <c r="I20" s="13">
        <f>F20/12*G20</f>
        <v>76.345152000000013</v>
      </c>
      <c r="J20" s="24"/>
      <c r="K20" s="8"/>
      <c r="L20" s="8"/>
      <c r="M20" s="8"/>
    </row>
    <row r="21" spans="1:13" ht="15.75" customHeight="1">
      <c r="A21" s="31">
        <v>5</v>
      </c>
      <c r="B21" s="14" t="s">
        <v>96</v>
      </c>
      <c r="C21" s="16" t="s">
        <v>85</v>
      </c>
      <c r="D21" s="14" t="s">
        <v>30</v>
      </c>
      <c r="E21" s="19">
        <v>9.08</v>
      </c>
      <c r="F21" s="13">
        <f>SUM(E21*12/100)</f>
        <v>1.0896000000000001</v>
      </c>
      <c r="G21" s="13">
        <v>216.12</v>
      </c>
      <c r="H21" s="13">
        <f t="shared" si="0"/>
        <v>0.23548435200000004</v>
      </c>
      <c r="I21" s="13">
        <f>F21/12*G21</f>
        <v>19.623696000000002</v>
      </c>
      <c r="J21" s="24"/>
      <c r="K21" s="8"/>
      <c r="L21" s="8"/>
      <c r="M21" s="8"/>
    </row>
    <row r="22" spans="1:13" ht="15.75" hidden="1" customHeight="1">
      <c r="A22" s="31"/>
      <c r="B22" s="14" t="s">
        <v>97</v>
      </c>
      <c r="C22" s="16" t="s">
        <v>52</v>
      </c>
      <c r="D22" s="14" t="s">
        <v>94</v>
      </c>
      <c r="E22" s="19">
        <v>629</v>
      </c>
      <c r="F22" s="13">
        <f>SUM(E22/100)</f>
        <v>6.29</v>
      </c>
      <c r="G22" s="13">
        <v>269.26</v>
      </c>
      <c r="H22" s="13">
        <f t="shared" si="0"/>
        <v>1.6936453999999999</v>
      </c>
      <c r="I22" s="13">
        <v>0</v>
      </c>
      <c r="J22" s="24"/>
      <c r="K22" s="8"/>
      <c r="L22" s="8"/>
      <c r="M22" s="8"/>
    </row>
    <row r="23" spans="1:13" ht="15.75" hidden="1" customHeight="1">
      <c r="A23" s="31"/>
      <c r="B23" s="14" t="s">
        <v>98</v>
      </c>
      <c r="C23" s="16" t="s">
        <v>52</v>
      </c>
      <c r="D23" s="14" t="s">
        <v>94</v>
      </c>
      <c r="E23" s="19">
        <v>58</v>
      </c>
      <c r="F23" s="13">
        <f>SUM(E23/100)</f>
        <v>0.57999999999999996</v>
      </c>
      <c r="G23" s="13">
        <v>44.29</v>
      </c>
      <c r="H23" s="13">
        <f t="shared" si="0"/>
        <v>2.5688199999999998E-2</v>
      </c>
      <c r="I23" s="13">
        <v>0</v>
      </c>
      <c r="J23" s="24"/>
      <c r="K23" s="8"/>
      <c r="L23" s="8"/>
      <c r="M23" s="8"/>
    </row>
    <row r="24" spans="1:13" ht="15.75" customHeight="1">
      <c r="A24" s="31">
        <v>6</v>
      </c>
      <c r="B24" s="14" t="s">
        <v>99</v>
      </c>
      <c r="C24" s="16" t="s">
        <v>52</v>
      </c>
      <c r="D24" s="14" t="s">
        <v>30</v>
      </c>
      <c r="E24" s="19">
        <v>24</v>
      </c>
      <c r="F24" s="13">
        <f>E24*12/100</f>
        <v>2.88</v>
      </c>
      <c r="G24" s="13">
        <v>389.72</v>
      </c>
      <c r="H24" s="13">
        <f t="shared" si="0"/>
        <v>1.1223936000000001</v>
      </c>
      <c r="I24" s="13">
        <f>F24/12*G24</f>
        <v>93.532800000000009</v>
      </c>
      <c r="J24" s="24"/>
      <c r="K24" s="8"/>
      <c r="L24" s="8"/>
      <c r="M24" s="8"/>
    </row>
    <row r="25" spans="1:13" ht="15.75" hidden="1" customHeight="1">
      <c r="A25" s="31"/>
      <c r="B25" s="14" t="s">
        <v>100</v>
      </c>
      <c r="C25" s="16" t="s">
        <v>52</v>
      </c>
      <c r="D25" s="14" t="s">
        <v>53</v>
      </c>
      <c r="E25" s="19">
        <v>17</v>
      </c>
      <c r="F25" s="13">
        <f>SUM(E25/100)</f>
        <v>0.17</v>
      </c>
      <c r="G25" s="13">
        <v>520.79999999999995</v>
      </c>
      <c r="H25" s="13">
        <f t="shared" si="0"/>
        <v>8.8536000000000004E-2</v>
      </c>
      <c r="I25" s="13">
        <v>0</v>
      </c>
      <c r="J25" s="24"/>
      <c r="K25" s="8"/>
      <c r="L25" s="8"/>
      <c r="M25" s="8"/>
    </row>
    <row r="26" spans="1:13" ht="15.75" hidden="1" customHeight="1">
      <c r="A26" s="31"/>
      <c r="B26" s="14" t="s">
        <v>123</v>
      </c>
      <c r="C26" s="16" t="s">
        <v>52</v>
      </c>
      <c r="D26" s="14" t="s">
        <v>53</v>
      </c>
      <c r="E26" s="19">
        <v>24</v>
      </c>
      <c r="F26" s="13">
        <v>0.24</v>
      </c>
      <c r="G26" s="13">
        <v>216.12</v>
      </c>
      <c r="H26" s="13">
        <f>G26*F26/1000</f>
        <v>5.18688E-2</v>
      </c>
      <c r="I26" s="13">
        <v>0</v>
      </c>
      <c r="J26" s="24"/>
      <c r="K26" s="8"/>
      <c r="L26" s="8"/>
      <c r="M26" s="8"/>
    </row>
    <row r="27" spans="1:13" ht="15.75" customHeight="1">
      <c r="A27" s="31">
        <v>7</v>
      </c>
      <c r="B27" s="14" t="s">
        <v>63</v>
      </c>
      <c r="C27" s="16" t="s">
        <v>33</v>
      </c>
      <c r="D27" s="14" t="s">
        <v>160</v>
      </c>
      <c r="E27" s="19">
        <v>0.1</v>
      </c>
      <c r="F27" s="13">
        <f>SUM(E27*365)</f>
        <v>36.5</v>
      </c>
      <c r="G27" s="13">
        <v>147.03</v>
      </c>
      <c r="H27" s="13">
        <f>SUM(F27*G27/1000)</f>
        <v>5.3665950000000002</v>
      </c>
      <c r="I27" s="13">
        <f>F27/12*G27</f>
        <v>447.21625</v>
      </c>
      <c r="J27" s="25"/>
    </row>
    <row r="28" spans="1:13" ht="15.75" customHeight="1">
      <c r="A28" s="31">
        <v>8</v>
      </c>
      <c r="B28" s="44" t="s">
        <v>23</v>
      </c>
      <c r="C28" s="16" t="s">
        <v>24</v>
      </c>
      <c r="D28" s="14" t="s">
        <v>160</v>
      </c>
      <c r="E28" s="19">
        <v>5367.6</v>
      </c>
      <c r="F28" s="13">
        <f>SUM(E28*12)</f>
        <v>64411.200000000004</v>
      </c>
      <c r="G28" s="13">
        <v>3.18</v>
      </c>
      <c r="H28" s="13">
        <f>SUM(F28*G28/1000)</f>
        <v>204.82761600000003</v>
      </c>
      <c r="I28" s="13">
        <f>F28/12*G28</f>
        <v>17068.968000000001</v>
      </c>
      <c r="J28" s="25"/>
    </row>
    <row r="29" spans="1:13" ht="15.75" customHeight="1">
      <c r="A29" s="109" t="s">
        <v>82</v>
      </c>
      <c r="B29" s="109"/>
      <c r="C29" s="109"/>
      <c r="D29" s="109"/>
      <c r="E29" s="109"/>
      <c r="F29" s="109"/>
      <c r="G29" s="109"/>
      <c r="H29" s="109"/>
      <c r="I29" s="109"/>
      <c r="J29" s="24"/>
      <c r="K29" s="8"/>
      <c r="L29" s="8"/>
      <c r="M29" s="8"/>
    </row>
    <row r="30" spans="1:13" ht="15.75" hidden="1" customHeight="1">
      <c r="A30" s="31"/>
      <c r="B30" s="71" t="s">
        <v>28</v>
      </c>
      <c r="C30" s="16"/>
      <c r="D30" s="14"/>
      <c r="E30" s="19"/>
      <c r="F30" s="13"/>
      <c r="G30" s="13"/>
      <c r="H30" s="13"/>
      <c r="I30" s="13"/>
      <c r="J30" s="24"/>
      <c r="K30" s="8"/>
      <c r="L30" s="8"/>
      <c r="M30" s="8"/>
    </row>
    <row r="31" spans="1:13" ht="15.75" hidden="1" customHeight="1">
      <c r="A31" s="31">
        <v>9</v>
      </c>
      <c r="B31" s="14" t="s">
        <v>104</v>
      </c>
      <c r="C31" s="16" t="s">
        <v>87</v>
      </c>
      <c r="D31" s="14" t="s">
        <v>179</v>
      </c>
      <c r="E31" s="13">
        <v>748</v>
      </c>
      <c r="F31" s="13">
        <f>SUM(E31*52/1000)</f>
        <v>38.896000000000001</v>
      </c>
      <c r="G31" s="13">
        <v>155.88999999999999</v>
      </c>
      <c r="H31" s="13">
        <f t="shared" ref="H31:H38" si="1">SUM(F31*G31/1000)</f>
        <v>6.063497439999999</v>
      </c>
      <c r="I31" s="13">
        <f t="shared" ref="I31:I35" si="2">F31/6*G31</f>
        <v>1010.5829066666666</v>
      </c>
      <c r="J31" s="24"/>
      <c r="K31" s="8"/>
      <c r="L31" s="8"/>
      <c r="M31" s="8"/>
    </row>
    <row r="32" spans="1:13" ht="31.5" hidden="1" customHeight="1">
      <c r="A32" s="31">
        <v>10</v>
      </c>
      <c r="B32" s="14" t="s">
        <v>119</v>
      </c>
      <c r="C32" s="16" t="s">
        <v>87</v>
      </c>
      <c r="D32" s="14" t="s">
        <v>180</v>
      </c>
      <c r="E32" s="13">
        <v>374</v>
      </c>
      <c r="F32" s="13">
        <f>SUM(E32*78/1000)</f>
        <v>29.172000000000001</v>
      </c>
      <c r="G32" s="13">
        <v>258.63</v>
      </c>
      <c r="H32" s="13">
        <f t="shared" si="1"/>
        <v>7.5447543599999998</v>
      </c>
      <c r="I32" s="13">
        <f t="shared" si="2"/>
        <v>1257.4590599999999</v>
      </c>
      <c r="J32" s="24"/>
      <c r="K32" s="8"/>
      <c r="L32" s="8"/>
      <c r="M32" s="8"/>
    </row>
    <row r="33" spans="1:14" ht="15.75" hidden="1" customHeight="1">
      <c r="A33" s="31"/>
      <c r="B33" s="14" t="s">
        <v>27</v>
      </c>
      <c r="C33" s="16" t="s">
        <v>87</v>
      </c>
      <c r="D33" s="14" t="s">
        <v>53</v>
      </c>
      <c r="E33" s="13">
        <v>748</v>
      </c>
      <c r="F33" s="13">
        <f>SUM(E33/1000)</f>
        <v>0.748</v>
      </c>
      <c r="G33" s="13">
        <v>3020.33</v>
      </c>
      <c r="H33" s="13">
        <f t="shared" si="1"/>
        <v>2.25920684</v>
      </c>
      <c r="I33" s="13">
        <f>F33*G33</f>
        <v>2259.2068399999998</v>
      </c>
      <c r="J33" s="24"/>
      <c r="K33" s="8"/>
      <c r="L33" s="8"/>
      <c r="M33" s="8"/>
    </row>
    <row r="34" spans="1:14" ht="15.75" hidden="1" customHeight="1">
      <c r="A34" s="31">
        <v>11</v>
      </c>
      <c r="B34" s="14" t="s">
        <v>118</v>
      </c>
      <c r="C34" s="16" t="s">
        <v>40</v>
      </c>
      <c r="D34" s="14" t="s">
        <v>62</v>
      </c>
      <c r="E34" s="13">
        <v>1</v>
      </c>
      <c r="F34" s="13">
        <f>E34*155/100</f>
        <v>1.55</v>
      </c>
      <c r="G34" s="13">
        <v>1302.02</v>
      </c>
      <c r="H34" s="13">
        <f>G34*F34/1000</f>
        <v>2.0181309999999999</v>
      </c>
      <c r="I34" s="13">
        <f t="shared" si="2"/>
        <v>336.35516666666672</v>
      </c>
      <c r="J34" s="24"/>
      <c r="K34" s="8"/>
    </row>
    <row r="35" spans="1:14" ht="15.75" hidden="1" customHeight="1">
      <c r="A35" s="31">
        <v>12</v>
      </c>
      <c r="B35" s="14" t="s">
        <v>103</v>
      </c>
      <c r="C35" s="16" t="s">
        <v>31</v>
      </c>
      <c r="D35" s="14" t="s">
        <v>62</v>
      </c>
      <c r="E35" s="66">
        <v>0.33333333333333331</v>
      </c>
      <c r="F35" s="13">
        <f>155/3</f>
        <v>51.666666666666664</v>
      </c>
      <c r="G35" s="13">
        <v>56.69</v>
      </c>
      <c r="H35" s="13">
        <f>SUM(G35*155/3/1000)</f>
        <v>2.9289833333333331</v>
      </c>
      <c r="I35" s="13">
        <f t="shared" si="2"/>
        <v>488.16388888888883</v>
      </c>
      <c r="J35" s="25"/>
    </row>
    <row r="36" spans="1:14" ht="15.75" hidden="1" customHeight="1">
      <c r="A36" s="31"/>
      <c r="B36" s="14" t="s">
        <v>64</v>
      </c>
      <c r="C36" s="16" t="s">
        <v>33</v>
      </c>
      <c r="D36" s="14" t="s">
        <v>66</v>
      </c>
      <c r="E36" s="19"/>
      <c r="F36" s="13">
        <v>2</v>
      </c>
      <c r="G36" s="13">
        <v>191.32</v>
      </c>
      <c r="H36" s="13">
        <f t="shared" si="1"/>
        <v>0.38263999999999998</v>
      </c>
      <c r="I36" s="13">
        <v>0</v>
      </c>
      <c r="J36" s="25"/>
    </row>
    <row r="37" spans="1:14" ht="15.75" hidden="1" customHeight="1">
      <c r="A37" s="31"/>
      <c r="B37" s="14" t="s">
        <v>65</v>
      </c>
      <c r="C37" s="16" t="s">
        <v>32</v>
      </c>
      <c r="D37" s="14" t="s">
        <v>66</v>
      </c>
      <c r="E37" s="19"/>
      <c r="F37" s="13">
        <v>1</v>
      </c>
      <c r="G37" s="13">
        <v>1136.33</v>
      </c>
      <c r="H37" s="13">
        <f t="shared" si="1"/>
        <v>1.1363299999999998</v>
      </c>
      <c r="I37" s="13">
        <v>0</v>
      </c>
      <c r="J37" s="25"/>
    </row>
    <row r="38" spans="1:14" ht="15.75" hidden="1" customHeight="1">
      <c r="A38" s="31"/>
      <c r="B38" s="14" t="s">
        <v>125</v>
      </c>
      <c r="C38" s="16" t="s">
        <v>29</v>
      </c>
      <c r="D38" s="14"/>
      <c r="E38" s="19">
        <v>932.2</v>
      </c>
      <c r="F38" s="13">
        <v>0.93220000000000003</v>
      </c>
      <c r="G38" s="13">
        <v>1305.02</v>
      </c>
      <c r="H38" s="13">
        <f t="shared" si="1"/>
        <v>1.216539644</v>
      </c>
      <c r="I38" s="13">
        <v>0</v>
      </c>
      <c r="J38" s="25"/>
    </row>
    <row r="39" spans="1:14" ht="15.75" customHeight="1">
      <c r="A39" s="31"/>
      <c r="B39" s="71" t="s">
        <v>5</v>
      </c>
      <c r="C39" s="16"/>
      <c r="D39" s="14"/>
      <c r="E39" s="19"/>
      <c r="F39" s="13"/>
      <c r="G39" s="13"/>
      <c r="H39" s="13" t="s">
        <v>139</v>
      </c>
      <c r="I39" s="13"/>
      <c r="J39" s="25"/>
      <c r="L39" s="20"/>
      <c r="M39" s="21"/>
      <c r="N39" s="22"/>
    </row>
    <row r="40" spans="1:14" ht="15.75" customHeight="1">
      <c r="A40" s="31">
        <v>9</v>
      </c>
      <c r="B40" s="14" t="s">
        <v>26</v>
      </c>
      <c r="C40" s="16" t="s">
        <v>32</v>
      </c>
      <c r="D40" s="14"/>
      <c r="E40" s="19"/>
      <c r="F40" s="13">
        <v>6</v>
      </c>
      <c r="G40" s="13">
        <v>1527.22</v>
      </c>
      <c r="H40" s="13">
        <f t="shared" ref="H40:H45" si="3">SUM(F40*G40/1000)</f>
        <v>9.1633200000000006</v>
      </c>
      <c r="I40" s="13">
        <f t="shared" ref="I40:I45" si="4">F40/6*G40</f>
        <v>1527.22</v>
      </c>
      <c r="J40" s="25"/>
      <c r="L40" s="20"/>
      <c r="M40" s="21"/>
      <c r="N40" s="22"/>
    </row>
    <row r="41" spans="1:14" ht="15.75" customHeight="1">
      <c r="A41" s="31">
        <v>10</v>
      </c>
      <c r="B41" s="14" t="s">
        <v>105</v>
      </c>
      <c r="C41" s="16" t="s">
        <v>29</v>
      </c>
      <c r="D41" s="14" t="s">
        <v>126</v>
      </c>
      <c r="E41" s="19">
        <v>374</v>
      </c>
      <c r="F41" s="13">
        <f>E41*26/1000</f>
        <v>9.7240000000000002</v>
      </c>
      <c r="G41" s="13">
        <v>2102.71</v>
      </c>
      <c r="H41" s="13">
        <f>G41*F41/1000</f>
        <v>20.44675204</v>
      </c>
      <c r="I41" s="13">
        <f t="shared" si="4"/>
        <v>3407.792006666667</v>
      </c>
      <c r="J41" s="25"/>
      <c r="L41" s="20"/>
      <c r="M41" s="21"/>
      <c r="N41" s="22"/>
    </row>
    <row r="42" spans="1:14" ht="15.75" customHeight="1">
      <c r="A42" s="31">
        <v>11</v>
      </c>
      <c r="B42" s="14" t="s">
        <v>67</v>
      </c>
      <c r="C42" s="16" t="s">
        <v>29</v>
      </c>
      <c r="D42" s="14" t="s">
        <v>86</v>
      </c>
      <c r="E42" s="13">
        <v>160</v>
      </c>
      <c r="F42" s="13">
        <f>SUM(E42*155/1000)</f>
        <v>24.8</v>
      </c>
      <c r="G42" s="13">
        <v>350.75</v>
      </c>
      <c r="H42" s="13">
        <f t="shared" si="3"/>
        <v>8.6986000000000008</v>
      </c>
      <c r="I42" s="13">
        <f t="shared" si="4"/>
        <v>1449.7666666666669</v>
      </c>
      <c r="J42" s="25"/>
      <c r="L42" s="20"/>
      <c r="M42" s="21"/>
      <c r="N42" s="22"/>
    </row>
    <row r="43" spans="1:14" ht="47.25" customHeight="1">
      <c r="A43" s="31">
        <v>12</v>
      </c>
      <c r="B43" s="14" t="s">
        <v>81</v>
      </c>
      <c r="C43" s="16" t="s">
        <v>87</v>
      </c>
      <c r="D43" s="14" t="s">
        <v>127</v>
      </c>
      <c r="E43" s="13">
        <v>76</v>
      </c>
      <c r="F43" s="13">
        <f>SUM(E43*50/1000)</f>
        <v>3.8</v>
      </c>
      <c r="G43" s="13">
        <v>5803.28</v>
      </c>
      <c r="H43" s="13">
        <f t="shared" si="3"/>
        <v>22.052463999999997</v>
      </c>
      <c r="I43" s="13">
        <f t="shared" si="4"/>
        <v>3675.4106666666662</v>
      </c>
      <c r="J43" s="25"/>
      <c r="L43" s="20"/>
      <c r="M43" s="21"/>
      <c r="N43" s="22"/>
    </row>
    <row r="44" spans="1:14" ht="15.75" hidden="1" customHeight="1">
      <c r="A44" s="31">
        <v>13</v>
      </c>
      <c r="B44" s="14" t="s">
        <v>88</v>
      </c>
      <c r="C44" s="16" t="s">
        <v>87</v>
      </c>
      <c r="D44" s="14" t="s">
        <v>68</v>
      </c>
      <c r="E44" s="13">
        <v>76</v>
      </c>
      <c r="F44" s="13">
        <f>SUM(E44*45/1000)</f>
        <v>3.42</v>
      </c>
      <c r="G44" s="13">
        <v>428.7</v>
      </c>
      <c r="H44" s="13">
        <f t="shared" si="3"/>
        <v>1.466154</v>
      </c>
      <c r="I44" s="13">
        <f t="shared" si="4"/>
        <v>244.35899999999998</v>
      </c>
      <c r="J44" s="25"/>
      <c r="L44" s="20"/>
      <c r="M44" s="21"/>
      <c r="N44" s="22"/>
    </row>
    <row r="45" spans="1:14" ht="15.75" customHeight="1">
      <c r="A45" s="31">
        <v>13</v>
      </c>
      <c r="B45" s="14" t="s">
        <v>69</v>
      </c>
      <c r="C45" s="16" t="s">
        <v>33</v>
      </c>
      <c r="D45" s="14"/>
      <c r="E45" s="19"/>
      <c r="F45" s="13">
        <v>0.9</v>
      </c>
      <c r="G45" s="13">
        <v>798</v>
      </c>
      <c r="H45" s="13">
        <f t="shared" si="3"/>
        <v>0.71820000000000006</v>
      </c>
      <c r="I45" s="13">
        <f t="shared" si="4"/>
        <v>119.69999999999999</v>
      </c>
      <c r="J45" s="25"/>
      <c r="L45" s="20"/>
      <c r="M45" s="21"/>
      <c r="N45" s="22"/>
    </row>
    <row r="46" spans="1:14" ht="15" hidden="1" customHeight="1">
      <c r="A46" s="110" t="s">
        <v>135</v>
      </c>
      <c r="B46" s="111"/>
      <c r="C46" s="111"/>
      <c r="D46" s="111"/>
      <c r="E46" s="111"/>
      <c r="F46" s="111"/>
      <c r="G46" s="111"/>
      <c r="H46" s="111"/>
      <c r="I46" s="112"/>
      <c r="J46" s="25"/>
      <c r="L46" s="20"/>
      <c r="M46" s="21"/>
      <c r="N46" s="22"/>
    </row>
    <row r="47" spans="1:14" ht="15.75" hidden="1" customHeight="1">
      <c r="A47" s="31"/>
      <c r="B47" s="14" t="s">
        <v>140</v>
      </c>
      <c r="C47" s="16" t="s">
        <v>87</v>
      </c>
      <c r="D47" s="14" t="s">
        <v>42</v>
      </c>
      <c r="E47" s="19">
        <v>1099.7</v>
      </c>
      <c r="F47" s="13">
        <f>SUM(E47*2/1000)</f>
        <v>2.1994000000000002</v>
      </c>
      <c r="G47" s="13">
        <v>809.74</v>
      </c>
      <c r="H47" s="13">
        <f t="shared" ref="H47:H56" si="5">SUM(F47*G47/1000)</f>
        <v>1.7809421560000003</v>
      </c>
      <c r="I47" s="13">
        <v>0</v>
      </c>
      <c r="J47" s="25"/>
      <c r="L47" s="20"/>
      <c r="M47" s="21"/>
      <c r="N47" s="22"/>
    </row>
    <row r="48" spans="1:14" ht="15.75" hidden="1" customHeight="1">
      <c r="A48" s="31"/>
      <c r="B48" s="14" t="s">
        <v>35</v>
      </c>
      <c r="C48" s="16" t="s">
        <v>87</v>
      </c>
      <c r="D48" s="14" t="s">
        <v>42</v>
      </c>
      <c r="E48" s="19">
        <v>52</v>
      </c>
      <c r="F48" s="13">
        <f>E48*2/1000</f>
        <v>0.104</v>
      </c>
      <c r="G48" s="13">
        <v>579.48</v>
      </c>
      <c r="H48" s="13">
        <f t="shared" si="5"/>
        <v>6.0265920000000001E-2</v>
      </c>
      <c r="I48" s="13">
        <v>0</v>
      </c>
      <c r="J48" s="25"/>
      <c r="L48" s="20"/>
      <c r="M48" s="21"/>
      <c r="N48" s="22"/>
    </row>
    <row r="49" spans="1:22" ht="15.75" hidden="1" customHeight="1">
      <c r="A49" s="31"/>
      <c r="B49" s="14" t="s">
        <v>36</v>
      </c>
      <c r="C49" s="16" t="s">
        <v>87</v>
      </c>
      <c r="D49" s="14" t="s">
        <v>42</v>
      </c>
      <c r="E49" s="19">
        <v>917.78</v>
      </c>
      <c r="F49" s="13">
        <f>SUM(E49*2/1000)</f>
        <v>1.8355599999999999</v>
      </c>
      <c r="G49" s="13">
        <v>579.48</v>
      </c>
      <c r="H49" s="13">
        <f t="shared" si="5"/>
        <v>1.0636703087999999</v>
      </c>
      <c r="I49" s="13">
        <v>0</v>
      </c>
      <c r="J49" s="25"/>
      <c r="L49" s="20"/>
      <c r="M49" s="21"/>
      <c r="N49" s="22"/>
    </row>
    <row r="50" spans="1:22" ht="15.75" hidden="1" customHeight="1">
      <c r="A50" s="31"/>
      <c r="B50" s="14" t="s">
        <v>37</v>
      </c>
      <c r="C50" s="16" t="s">
        <v>87</v>
      </c>
      <c r="D50" s="14" t="s">
        <v>42</v>
      </c>
      <c r="E50" s="19">
        <v>3930</v>
      </c>
      <c r="F50" s="13">
        <f>SUM(E50*2/1000)</f>
        <v>7.86</v>
      </c>
      <c r="G50" s="13">
        <v>606.77</v>
      </c>
      <c r="H50" s="13">
        <f t="shared" si="5"/>
        <v>4.7692122000000001</v>
      </c>
      <c r="I50" s="13">
        <v>0</v>
      </c>
      <c r="J50" s="25"/>
      <c r="L50" s="20"/>
      <c r="M50" s="21"/>
      <c r="N50" s="22"/>
    </row>
    <row r="51" spans="1:22" ht="15.75" hidden="1" customHeight="1">
      <c r="A51" s="31"/>
      <c r="B51" s="14" t="s">
        <v>34</v>
      </c>
      <c r="C51" s="16" t="s">
        <v>52</v>
      </c>
      <c r="D51" s="14" t="s">
        <v>42</v>
      </c>
      <c r="E51" s="19">
        <v>142.38999999999999</v>
      </c>
      <c r="F51" s="13">
        <f>E51*2/100</f>
        <v>2.8477999999999999</v>
      </c>
      <c r="G51" s="13">
        <v>72.81</v>
      </c>
      <c r="H51" s="13">
        <f>F51*G51/1000</f>
        <v>0.207348318</v>
      </c>
      <c r="I51" s="13">
        <v>0</v>
      </c>
      <c r="J51" s="25"/>
      <c r="L51" s="20"/>
      <c r="M51" s="21"/>
      <c r="N51" s="22"/>
    </row>
    <row r="52" spans="1:22" ht="15.75" hidden="1" customHeight="1">
      <c r="A52" s="31">
        <v>15</v>
      </c>
      <c r="B52" s="14" t="s">
        <v>55</v>
      </c>
      <c r="C52" s="16" t="s">
        <v>87</v>
      </c>
      <c r="D52" s="14" t="s">
        <v>142</v>
      </c>
      <c r="E52" s="19">
        <v>1914</v>
      </c>
      <c r="F52" s="13">
        <f>SUM(E52*5/1000)</f>
        <v>9.57</v>
      </c>
      <c r="G52" s="13">
        <v>1213.55</v>
      </c>
      <c r="H52" s="13">
        <f t="shared" si="5"/>
        <v>11.613673500000001</v>
      </c>
      <c r="I52" s="13">
        <f>F52/5*G52</f>
        <v>2322.7347</v>
      </c>
      <c r="J52" s="25"/>
      <c r="L52" s="20"/>
      <c r="M52" s="21"/>
      <c r="N52" s="22"/>
    </row>
    <row r="53" spans="1:22" ht="31.5" hidden="1" customHeight="1">
      <c r="A53" s="31">
        <v>16</v>
      </c>
      <c r="B53" s="14" t="s">
        <v>89</v>
      </c>
      <c r="C53" s="16" t="s">
        <v>87</v>
      </c>
      <c r="D53" s="14" t="s">
        <v>42</v>
      </c>
      <c r="E53" s="19">
        <v>1914</v>
      </c>
      <c r="F53" s="13">
        <f>SUM(E53*2/1000)</f>
        <v>3.8279999999999998</v>
      </c>
      <c r="G53" s="13">
        <v>1213.55</v>
      </c>
      <c r="H53" s="13">
        <f t="shared" si="5"/>
        <v>4.6454693999999996</v>
      </c>
      <c r="I53" s="13">
        <f>F53/2*G53</f>
        <v>2322.7347</v>
      </c>
      <c r="J53" s="25"/>
      <c r="L53" s="20"/>
      <c r="M53" s="21"/>
      <c r="N53" s="22"/>
    </row>
    <row r="54" spans="1:22" ht="31.5" hidden="1" customHeight="1">
      <c r="A54" s="31">
        <v>17</v>
      </c>
      <c r="B54" s="14" t="s">
        <v>90</v>
      </c>
      <c r="C54" s="16" t="s">
        <v>38</v>
      </c>
      <c r="D54" s="14" t="s">
        <v>42</v>
      </c>
      <c r="E54" s="19">
        <v>20</v>
      </c>
      <c r="F54" s="13">
        <f>SUM(E54*2/100)</f>
        <v>0.4</v>
      </c>
      <c r="G54" s="13">
        <v>2730.49</v>
      </c>
      <c r="H54" s="13">
        <f>SUM(F54*G54/1000)</f>
        <v>1.0921959999999999</v>
      </c>
      <c r="I54" s="13">
        <f>F54/2*G54</f>
        <v>546.09799999999996</v>
      </c>
      <c r="J54" s="25"/>
      <c r="L54" s="20"/>
      <c r="M54" s="21"/>
      <c r="N54" s="22"/>
    </row>
    <row r="55" spans="1:22" ht="15.75" hidden="1" customHeight="1">
      <c r="A55" s="31">
        <v>18</v>
      </c>
      <c r="B55" s="14" t="s">
        <v>39</v>
      </c>
      <c r="C55" s="16" t="s">
        <v>40</v>
      </c>
      <c r="D55" s="14" t="s">
        <v>42</v>
      </c>
      <c r="E55" s="19">
        <v>1</v>
      </c>
      <c r="F55" s="13">
        <v>0.02</v>
      </c>
      <c r="G55" s="13">
        <v>5652.13</v>
      </c>
      <c r="H55" s="13">
        <f t="shared" si="5"/>
        <v>0.11304260000000001</v>
      </c>
      <c r="I55" s="13">
        <f>F55/2*G55</f>
        <v>56.521300000000004</v>
      </c>
      <c r="J55" s="25"/>
      <c r="L55" s="20"/>
      <c r="M55" s="21"/>
      <c r="N55" s="22"/>
    </row>
    <row r="56" spans="1:22" ht="15.75" hidden="1" customHeight="1">
      <c r="A56" s="31">
        <v>19</v>
      </c>
      <c r="B56" s="14" t="s">
        <v>41</v>
      </c>
      <c r="C56" s="16" t="s">
        <v>106</v>
      </c>
      <c r="D56" s="14" t="s">
        <v>70</v>
      </c>
      <c r="E56" s="19">
        <v>120</v>
      </c>
      <c r="F56" s="13">
        <f>SUM(E56)*3</f>
        <v>360</v>
      </c>
      <c r="G56" s="13">
        <v>65.67</v>
      </c>
      <c r="H56" s="13">
        <f t="shared" si="5"/>
        <v>23.641200000000001</v>
      </c>
      <c r="I56" s="13">
        <f>E56*G56</f>
        <v>7880.4000000000005</v>
      </c>
      <c r="J56" s="25"/>
      <c r="L56" s="20"/>
      <c r="M56" s="21"/>
      <c r="N56" s="22"/>
    </row>
    <row r="57" spans="1:22" ht="15.75" customHeight="1">
      <c r="A57" s="110" t="s">
        <v>133</v>
      </c>
      <c r="B57" s="111"/>
      <c r="C57" s="111"/>
      <c r="D57" s="111"/>
      <c r="E57" s="111"/>
      <c r="F57" s="111"/>
      <c r="G57" s="111"/>
      <c r="H57" s="111"/>
      <c r="I57" s="112"/>
      <c r="J57" s="25"/>
      <c r="L57" s="20"/>
      <c r="M57" s="21"/>
      <c r="N57" s="22"/>
    </row>
    <row r="58" spans="1:22" ht="15.75" customHeight="1">
      <c r="A58" s="31"/>
      <c r="B58" s="71" t="s">
        <v>43</v>
      </c>
      <c r="C58" s="16"/>
      <c r="D58" s="14"/>
      <c r="E58" s="19"/>
      <c r="F58" s="13"/>
      <c r="G58" s="13"/>
      <c r="H58" s="13"/>
      <c r="I58" s="13"/>
      <c r="J58" s="25"/>
      <c r="L58" s="20"/>
    </row>
    <row r="59" spans="1:22" ht="31.5" customHeight="1">
      <c r="A59" s="31">
        <v>14</v>
      </c>
      <c r="B59" s="14" t="s">
        <v>141</v>
      </c>
      <c r="C59" s="16" t="s">
        <v>85</v>
      </c>
      <c r="D59" s="14" t="s">
        <v>107</v>
      </c>
      <c r="E59" s="19">
        <v>66</v>
      </c>
      <c r="F59" s="13">
        <f>SUM(E59*6/100)</f>
        <v>3.96</v>
      </c>
      <c r="G59" s="13">
        <v>1547.28</v>
      </c>
      <c r="H59" s="13">
        <f>SUM(F59*G59/1000)</f>
        <v>6.1272288000000001</v>
      </c>
      <c r="I59" s="13">
        <f>F59/6*G59</f>
        <v>1021.2048</v>
      </c>
    </row>
    <row r="60" spans="1:22" ht="15.75" customHeight="1">
      <c r="A60" s="31"/>
      <c r="B60" s="71" t="s">
        <v>44</v>
      </c>
      <c r="C60" s="16"/>
      <c r="D60" s="14"/>
      <c r="E60" s="19"/>
      <c r="F60" s="13"/>
      <c r="G60" s="13"/>
      <c r="H60" s="13"/>
      <c r="I60" s="13"/>
    </row>
    <row r="61" spans="1:22" ht="15.75" hidden="1" customHeight="1">
      <c r="A61" s="31"/>
      <c r="B61" s="14" t="s">
        <v>120</v>
      </c>
      <c r="C61" s="16" t="s">
        <v>52</v>
      </c>
      <c r="D61" s="14" t="s">
        <v>53</v>
      </c>
      <c r="E61" s="19">
        <v>1387</v>
      </c>
      <c r="F61" s="13">
        <f>E61/100</f>
        <v>13.87</v>
      </c>
      <c r="G61" s="13">
        <v>793.61</v>
      </c>
      <c r="H61" s="13">
        <f>F61*G61/1000</f>
        <v>11.007370699999999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31">
        <v>15</v>
      </c>
      <c r="B62" s="14" t="s">
        <v>121</v>
      </c>
      <c r="C62" s="16" t="s">
        <v>25</v>
      </c>
      <c r="D62" s="14" t="s">
        <v>30</v>
      </c>
      <c r="E62" s="19">
        <v>286.8</v>
      </c>
      <c r="F62" s="13">
        <f>E62*12</f>
        <v>3441.6000000000004</v>
      </c>
      <c r="G62" s="13">
        <v>2.6</v>
      </c>
      <c r="H62" s="13">
        <f>F62*G62/1000</f>
        <v>8.9481600000000014</v>
      </c>
      <c r="I62" s="13">
        <f>F62/12*G62</f>
        <v>745.68000000000006</v>
      </c>
      <c r="J62" s="27"/>
      <c r="K62" s="27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customHeight="1">
      <c r="A63" s="31"/>
      <c r="B63" s="71" t="s">
        <v>128</v>
      </c>
      <c r="C63" s="16"/>
      <c r="D63" s="14"/>
      <c r="E63" s="19"/>
      <c r="F63" s="13"/>
      <c r="G63" s="13"/>
      <c r="H63" s="13"/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customHeight="1">
      <c r="A64" s="31">
        <v>16</v>
      </c>
      <c r="B64" s="14" t="s">
        <v>129</v>
      </c>
      <c r="C64" s="16" t="s">
        <v>106</v>
      </c>
      <c r="D64" s="14" t="s">
        <v>53</v>
      </c>
      <c r="E64" s="19">
        <v>4</v>
      </c>
      <c r="F64" s="13">
        <v>4</v>
      </c>
      <c r="G64" s="13">
        <v>237.75</v>
      </c>
      <c r="H64" s="13">
        <f t="shared" ref="H64" si="6">F64*G64/1000</f>
        <v>0.95099999999999996</v>
      </c>
      <c r="I64" s="13">
        <f>G64</f>
        <v>237.75</v>
      </c>
      <c r="J64" s="5"/>
      <c r="K64" s="5"/>
      <c r="L64" s="5"/>
      <c r="M64" s="5"/>
      <c r="N64" s="5"/>
      <c r="O64" s="5"/>
      <c r="P64" s="5"/>
      <c r="Q64" s="5"/>
      <c r="R64" s="94"/>
      <c r="S64" s="94"/>
      <c r="T64" s="94"/>
      <c r="U64" s="94"/>
    </row>
    <row r="65" spans="1:21" ht="15.75" hidden="1" customHeight="1">
      <c r="A65" s="31"/>
      <c r="B65" s="71" t="s">
        <v>45</v>
      </c>
      <c r="C65" s="16"/>
      <c r="D65" s="14"/>
      <c r="E65" s="19"/>
      <c r="F65" s="13"/>
      <c r="G65" s="13"/>
      <c r="H65" s="13" t="s">
        <v>139</v>
      </c>
      <c r="I65" s="1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hidden="1" customHeight="1">
      <c r="A66" s="31">
        <v>14</v>
      </c>
      <c r="B66" s="14" t="s">
        <v>46</v>
      </c>
      <c r="C66" s="16" t="s">
        <v>106</v>
      </c>
      <c r="D66" s="14" t="s">
        <v>66</v>
      </c>
      <c r="E66" s="19">
        <v>10</v>
      </c>
      <c r="F66" s="13">
        <v>10</v>
      </c>
      <c r="G66" s="13">
        <v>222.4</v>
      </c>
      <c r="H66" s="13">
        <f t="shared" ref="H66:H79" si="7">SUM(F66*G66/1000)</f>
        <v>2.2240000000000002</v>
      </c>
      <c r="I66" s="13">
        <f>G66*2</f>
        <v>444.8</v>
      </c>
    </row>
    <row r="67" spans="1:21" ht="15.75" hidden="1" customHeight="1">
      <c r="A67" s="31"/>
      <c r="B67" s="14" t="s">
        <v>47</v>
      </c>
      <c r="C67" s="16" t="s">
        <v>106</v>
      </c>
      <c r="D67" s="14" t="s">
        <v>66</v>
      </c>
      <c r="E67" s="19">
        <v>5</v>
      </c>
      <c r="F67" s="13">
        <v>5</v>
      </c>
      <c r="G67" s="13">
        <v>76.25</v>
      </c>
      <c r="H67" s="13">
        <f t="shared" si="7"/>
        <v>0.38124999999999998</v>
      </c>
      <c r="I67" s="13">
        <v>0</v>
      </c>
    </row>
    <row r="68" spans="1:21" ht="15.75" hidden="1" customHeight="1">
      <c r="A68" s="31"/>
      <c r="B68" s="14" t="s">
        <v>48</v>
      </c>
      <c r="C68" s="16" t="s">
        <v>108</v>
      </c>
      <c r="D68" s="14" t="s">
        <v>53</v>
      </c>
      <c r="E68" s="19">
        <v>19138</v>
      </c>
      <c r="F68" s="13">
        <f>SUM(E68/100)</f>
        <v>191.38</v>
      </c>
      <c r="G68" s="13">
        <v>212.15</v>
      </c>
      <c r="H68" s="13">
        <f t="shared" si="7"/>
        <v>40.601267</v>
      </c>
      <c r="I68" s="13">
        <f>F68*G68</f>
        <v>40601.267</v>
      </c>
    </row>
    <row r="69" spans="1:21" ht="15.75" hidden="1" customHeight="1">
      <c r="A69" s="31"/>
      <c r="B69" s="14" t="s">
        <v>49</v>
      </c>
      <c r="C69" s="16" t="s">
        <v>109</v>
      </c>
      <c r="D69" s="14"/>
      <c r="E69" s="19">
        <v>19138</v>
      </c>
      <c r="F69" s="13">
        <f>SUM(E69/1000)</f>
        <v>19.138000000000002</v>
      </c>
      <c r="G69" s="13">
        <v>165.21</v>
      </c>
      <c r="H69" s="13">
        <f t="shared" si="7"/>
        <v>3.1617889800000003</v>
      </c>
      <c r="I69" s="13">
        <f t="shared" ref="I69:I73" si="8">F69*G69</f>
        <v>3161.7889800000003</v>
      </c>
    </row>
    <row r="70" spans="1:21" ht="15.75" hidden="1" customHeight="1">
      <c r="A70" s="31"/>
      <c r="B70" s="14" t="s">
        <v>50</v>
      </c>
      <c r="C70" s="16" t="s">
        <v>76</v>
      </c>
      <c r="D70" s="14" t="s">
        <v>53</v>
      </c>
      <c r="E70" s="19">
        <v>2730</v>
      </c>
      <c r="F70" s="13">
        <f>SUM(E70/100)</f>
        <v>27.3</v>
      </c>
      <c r="G70" s="13">
        <v>2074.63</v>
      </c>
      <c r="H70" s="13">
        <f t="shared" si="7"/>
        <v>56.637399000000002</v>
      </c>
      <c r="I70" s="13">
        <f t="shared" si="8"/>
        <v>56637.399000000005</v>
      </c>
    </row>
    <row r="71" spans="1:21" ht="15.75" hidden="1" customHeight="1">
      <c r="A71" s="31"/>
      <c r="B71" s="67" t="s">
        <v>110</v>
      </c>
      <c r="C71" s="16" t="s">
        <v>33</v>
      </c>
      <c r="D71" s="14"/>
      <c r="E71" s="19">
        <v>13</v>
      </c>
      <c r="F71" s="13">
        <f>SUM(E71)</f>
        <v>13</v>
      </c>
      <c r="G71" s="13">
        <v>45.32</v>
      </c>
      <c r="H71" s="13">
        <f t="shared" si="7"/>
        <v>0.58916000000000002</v>
      </c>
      <c r="I71" s="13">
        <f t="shared" si="8"/>
        <v>589.16</v>
      </c>
    </row>
    <row r="72" spans="1:21" ht="15.75" hidden="1" customHeight="1">
      <c r="A72" s="31"/>
      <c r="B72" s="67" t="s">
        <v>111</v>
      </c>
      <c r="C72" s="16" t="s">
        <v>33</v>
      </c>
      <c r="D72" s="14"/>
      <c r="E72" s="19">
        <v>13</v>
      </c>
      <c r="F72" s="13">
        <f>SUM(E72)</f>
        <v>13</v>
      </c>
      <c r="G72" s="13">
        <v>42.28</v>
      </c>
      <c r="H72" s="13">
        <f t="shared" si="7"/>
        <v>0.54964000000000002</v>
      </c>
      <c r="I72" s="13">
        <f t="shared" si="8"/>
        <v>549.64</v>
      </c>
    </row>
    <row r="73" spans="1:21" ht="15.75" hidden="1" customHeight="1">
      <c r="A73" s="31"/>
      <c r="B73" s="14" t="s">
        <v>56</v>
      </c>
      <c r="C73" s="16" t="s">
        <v>57</v>
      </c>
      <c r="D73" s="14" t="s">
        <v>53</v>
      </c>
      <c r="E73" s="19">
        <v>8</v>
      </c>
      <c r="F73" s="13">
        <v>8</v>
      </c>
      <c r="G73" s="13">
        <v>49.88</v>
      </c>
      <c r="H73" s="13">
        <f t="shared" si="7"/>
        <v>0.39904000000000001</v>
      </c>
      <c r="I73" s="13">
        <f t="shared" si="8"/>
        <v>399.04</v>
      </c>
    </row>
    <row r="74" spans="1:21" ht="15.75" customHeight="1">
      <c r="A74" s="31"/>
      <c r="B74" s="71" t="s">
        <v>71</v>
      </c>
      <c r="C74" s="16"/>
      <c r="D74" s="14"/>
      <c r="E74" s="19"/>
      <c r="F74" s="13"/>
      <c r="G74" s="13"/>
      <c r="H74" s="13" t="s">
        <v>139</v>
      </c>
      <c r="I74" s="13"/>
    </row>
    <row r="75" spans="1:21" ht="15.75" customHeight="1">
      <c r="A75" s="31">
        <v>17</v>
      </c>
      <c r="B75" s="14" t="s">
        <v>72</v>
      </c>
      <c r="C75" s="16" t="s">
        <v>74</v>
      </c>
      <c r="D75" s="14"/>
      <c r="E75" s="19">
        <v>4</v>
      </c>
      <c r="F75" s="13">
        <v>0.4</v>
      </c>
      <c r="G75" s="13">
        <v>501.62</v>
      </c>
      <c r="H75" s="13">
        <f t="shared" si="7"/>
        <v>0.20064800000000002</v>
      </c>
      <c r="I75" s="13">
        <f>G75*0.1</f>
        <v>50.162000000000006</v>
      </c>
    </row>
    <row r="76" spans="1:21" ht="15.75" hidden="1" customHeight="1">
      <c r="A76" s="31"/>
      <c r="B76" s="14" t="s">
        <v>73</v>
      </c>
      <c r="C76" s="16" t="s">
        <v>31</v>
      </c>
      <c r="D76" s="14"/>
      <c r="E76" s="19">
        <v>1</v>
      </c>
      <c r="F76" s="13">
        <v>1</v>
      </c>
      <c r="G76" s="13">
        <v>852.99</v>
      </c>
      <c r="H76" s="13">
        <f>F76*G76/1000</f>
        <v>0.85299000000000003</v>
      </c>
      <c r="I76" s="13">
        <v>0</v>
      </c>
    </row>
    <row r="77" spans="1:21" ht="15.75" hidden="1" customHeight="1">
      <c r="A77" s="31"/>
      <c r="B77" s="14" t="s">
        <v>113</v>
      </c>
      <c r="C77" s="16" t="s">
        <v>31</v>
      </c>
      <c r="D77" s="14"/>
      <c r="E77" s="19">
        <v>1</v>
      </c>
      <c r="F77" s="13">
        <v>1</v>
      </c>
      <c r="G77" s="13">
        <v>358.51</v>
      </c>
      <c r="H77" s="13">
        <f>G77*F77/1000</f>
        <v>0.35851</v>
      </c>
      <c r="I77" s="13">
        <v>0</v>
      </c>
    </row>
    <row r="78" spans="1:21" ht="15.75" hidden="1" customHeight="1">
      <c r="A78" s="31"/>
      <c r="B78" s="64" t="s">
        <v>75</v>
      </c>
      <c r="C78" s="16"/>
      <c r="D78" s="14"/>
      <c r="E78" s="19"/>
      <c r="F78" s="13"/>
      <c r="G78" s="13" t="s">
        <v>139</v>
      </c>
      <c r="H78" s="13" t="s">
        <v>139</v>
      </c>
      <c r="I78" s="13"/>
    </row>
    <row r="79" spans="1:21" ht="15.75" hidden="1" customHeight="1">
      <c r="A79" s="31"/>
      <c r="B79" s="44" t="s">
        <v>124</v>
      </c>
      <c r="C79" s="16" t="s">
        <v>76</v>
      </c>
      <c r="D79" s="14"/>
      <c r="E79" s="19"/>
      <c r="F79" s="13">
        <v>0.1</v>
      </c>
      <c r="G79" s="13">
        <v>2759.44</v>
      </c>
      <c r="H79" s="13">
        <f t="shared" si="7"/>
        <v>0.27594400000000002</v>
      </c>
      <c r="I79" s="13">
        <v>0</v>
      </c>
    </row>
    <row r="80" spans="1:21" ht="15.75" hidden="1" customHeight="1">
      <c r="A80" s="31"/>
      <c r="B80" s="71" t="s">
        <v>91</v>
      </c>
      <c r="C80" s="70"/>
      <c r="D80" s="70"/>
      <c r="E80" s="70"/>
      <c r="F80" s="70"/>
      <c r="G80" s="65"/>
      <c r="H80" s="65">
        <f>SUM(H59:H79)</f>
        <v>133.26539648000002</v>
      </c>
      <c r="I80" s="65"/>
    </row>
    <row r="81" spans="1:9" ht="15.75" hidden="1" customHeight="1">
      <c r="A81" s="31">
        <v>15</v>
      </c>
      <c r="B81" s="14" t="s">
        <v>112</v>
      </c>
      <c r="C81" s="16"/>
      <c r="D81" s="14"/>
      <c r="E81" s="19"/>
      <c r="F81" s="13">
        <v>1</v>
      </c>
      <c r="G81" s="13">
        <v>14584.4</v>
      </c>
      <c r="H81" s="13">
        <f>G81*F81/1000</f>
        <v>14.5844</v>
      </c>
      <c r="I81" s="13">
        <v>2083.4</v>
      </c>
    </row>
    <row r="82" spans="1:9" ht="15.75" customHeight="1">
      <c r="A82" s="95" t="s">
        <v>134</v>
      </c>
      <c r="B82" s="96"/>
      <c r="C82" s="96"/>
      <c r="D82" s="96"/>
      <c r="E82" s="96"/>
      <c r="F82" s="96"/>
      <c r="G82" s="96"/>
      <c r="H82" s="96"/>
      <c r="I82" s="97"/>
    </row>
    <row r="83" spans="1:9" ht="15.75" customHeight="1">
      <c r="A83" s="31">
        <v>18</v>
      </c>
      <c r="B83" s="14" t="s">
        <v>114</v>
      </c>
      <c r="C83" s="16" t="s">
        <v>54</v>
      </c>
      <c r="D83" s="59" t="s">
        <v>152</v>
      </c>
      <c r="E83" s="13">
        <v>5367.6</v>
      </c>
      <c r="F83" s="13">
        <f>SUM(E83*12)</f>
        <v>64411.200000000004</v>
      </c>
      <c r="G83" s="13">
        <v>2.1</v>
      </c>
      <c r="H83" s="13">
        <f>SUM(F83*G83/1000)</f>
        <v>135.26352000000003</v>
      </c>
      <c r="I83" s="13">
        <f>F83/12*G83</f>
        <v>11271.960000000001</v>
      </c>
    </row>
    <row r="84" spans="1:9" ht="31.5" customHeight="1">
      <c r="A84" s="31">
        <v>19</v>
      </c>
      <c r="B84" s="14" t="s">
        <v>77</v>
      </c>
      <c r="C84" s="16"/>
      <c r="D84" s="59" t="s">
        <v>152</v>
      </c>
      <c r="E84" s="19">
        <f>E83</f>
        <v>5367.6</v>
      </c>
      <c r="F84" s="13">
        <f>E84*12</f>
        <v>64411.200000000004</v>
      </c>
      <c r="G84" s="13">
        <v>1.63</v>
      </c>
      <c r="H84" s="13">
        <f>F84*G84/1000</f>
        <v>104.99025599999999</v>
      </c>
      <c r="I84" s="13">
        <f>F84/12*G84</f>
        <v>8749.1880000000001</v>
      </c>
    </row>
    <row r="85" spans="1:9" ht="15.75" customHeight="1">
      <c r="A85" s="31"/>
      <c r="B85" s="36" t="s">
        <v>79</v>
      </c>
      <c r="C85" s="64"/>
      <c r="D85" s="68"/>
      <c r="E85" s="65"/>
      <c r="F85" s="65"/>
      <c r="G85" s="65"/>
      <c r="H85" s="65">
        <f>H84</f>
        <v>104.99025599999999</v>
      </c>
      <c r="I85" s="65">
        <f>I16+I17+I18+I20+I21+I24+I27+I28+I40+I41+I42+I43+I45+I59+I62+I64+I75+I83+I84</f>
        <v>59885.559101999992</v>
      </c>
    </row>
    <row r="86" spans="1:9" ht="15.75" customHeight="1">
      <c r="A86" s="106" t="s">
        <v>59</v>
      </c>
      <c r="B86" s="107"/>
      <c r="C86" s="107"/>
      <c r="D86" s="107"/>
      <c r="E86" s="107"/>
      <c r="F86" s="107"/>
      <c r="G86" s="107"/>
      <c r="H86" s="107"/>
      <c r="I86" s="108"/>
    </row>
    <row r="87" spans="1:9" ht="15.75" customHeight="1">
      <c r="A87" s="31">
        <v>20</v>
      </c>
      <c r="B87" s="47" t="s">
        <v>122</v>
      </c>
      <c r="C87" s="63" t="s">
        <v>106</v>
      </c>
      <c r="D87" s="44"/>
      <c r="E87" s="13"/>
      <c r="F87" s="13">
        <v>732</v>
      </c>
      <c r="G87" s="13">
        <v>53.42</v>
      </c>
      <c r="H87" s="13">
        <f t="shared" ref="H87" si="9">G87*F87/1000</f>
        <v>39.103439999999999</v>
      </c>
      <c r="I87" s="13">
        <f>G87*61</f>
        <v>3258.62</v>
      </c>
    </row>
    <row r="88" spans="1:9" ht="15.75" customHeight="1">
      <c r="A88" s="31">
        <v>21</v>
      </c>
      <c r="B88" s="50" t="s">
        <v>186</v>
      </c>
      <c r="C88" s="51" t="s">
        <v>131</v>
      </c>
      <c r="D88" s="83"/>
      <c r="E88" s="35"/>
      <c r="F88" s="35">
        <f>58/3</f>
        <v>19.333333333333332</v>
      </c>
      <c r="G88" s="35">
        <v>1120.8900000000001</v>
      </c>
      <c r="H88" s="84">
        <f>G88*F88/1000</f>
        <v>21.670540000000003</v>
      </c>
      <c r="I88" s="13">
        <f>G88*(8/3)</f>
        <v>2989.04</v>
      </c>
    </row>
    <row r="89" spans="1:9" ht="31.5" customHeight="1">
      <c r="A89" s="31">
        <v>22</v>
      </c>
      <c r="B89" s="91" t="s">
        <v>205</v>
      </c>
      <c r="C89" s="31" t="s">
        <v>206</v>
      </c>
      <c r="D89" s="90"/>
      <c r="E89" s="18"/>
      <c r="F89" s="35">
        <v>4</v>
      </c>
      <c r="G89" s="13">
        <v>1187</v>
      </c>
      <c r="H89" s="84">
        <f t="shared" ref="H89:H90" si="10">G89*F89/1000</f>
        <v>4.7480000000000002</v>
      </c>
      <c r="I89" s="13">
        <f>G89*4</f>
        <v>4748</v>
      </c>
    </row>
    <row r="90" spans="1:9" ht="31.5" customHeight="1">
      <c r="A90" s="31">
        <v>23</v>
      </c>
      <c r="B90" s="47" t="s">
        <v>207</v>
      </c>
      <c r="C90" s="63" t="s">
        <v>130</v>
      </c>
      <c r="D90" s="90"/>
      <c r="E90" s="18"/>
      <c r="F90" s="35">
        <v>4</v>
      </c>
      <c r="G90" s="35">
        <v>589.54</v>
      </c>
      <c r="H90" s="84">
        <f t="shared" si="10"/>
        <v>2.3581599999999998</v>
      </c>
      <c r="I90" s="13">
        <f>G90*4</f>
        <v>2358.16</v>
      </c>
    </row>
    <row r="91" spans="1:9" ht="15.75" customHeight="1">
      <c r="A91" s="31"/>
      <c r="B91" s="42" t="s">
        <v>51</v>
      </c>
      <c r="C91" s="38"/>
      <c r="D91" s="45"/>
      <c r="E91" s="38">
        <v>1</v>
      </c>
      <c r="F91" s="38"/>
      <c r="G91" s="38"/>
      <c r="H91" s="38"/>
      <c r="I91" s="33">
        <f>SUM(I87:I90)</f>
        <v>13353.82</v>
      </c>
    </row>
    <row r="92" spans="1:9" ht="15.75" customHeight="1">
      <c r="A92" s="31"/>
      <c r="B92" s="44" t="s">
        <v>78</v>
      </c>
      <c r="C92" s="15"/>
      <c r="D92" s="15"/>
      <c r="E92" s="39"/>
      <c r="F92" s="39"/>
      <c r="G92" s="40"/>
      <c r="H92" s="40"/>
      <c r="I92" s="18">
        <v>0</v>
      </c>
    </row>
    <row r="93" spans="1:9" ht="15.75" customHeight="1">
      <c r="A93" s="46"/>
      <c r="B93" s="43" t="s">
        <v>161</v>
      </c>
      <c r="C93" s="34"/>
      <c r="D93" s="34"/>
      <c r="E93" s="34"/>
      <c r="F93" s="34"/>
      <c r="G93" s="34"/>
      <c r="H93" s="34"/>
      <c r="I93" s="41">
        <f>I85+I91</f>
        <v>73239.379101999992</v>
      </c>
    </row>
    <row r="94" spans="1:9" ht="15.75" customHeight="1">
      <c r="A94" s="98" t="s">
        <v>221</v>
      </c>
      <c r="B94" s="98"/>
      <c r="C94" s="98"/>
      <c r="D94" s="98"/>
      <c r="E94" s="98"/>
      <c r="F94" s="98"/>
      <c r="G94" s="98"/>
      <c r="H94" s="98"/>
      <c r="I94" s="98"/>
    </row>
    <row r="95" spans="1:9" ht="15.75">
      <c r="A95" s="58"/>
      <c r="B95" s="99" t="s">
        <v>222</v>
      </c>
      <c r="C95" s="99"/>
      <c r="D95" s="99"/>
      <c r="E95" s="99"/>
      <c r="F95" s="99"/>
      <c r="G95" s="99"/>
      <c r="H95" s="62"/>
      <c r="I95" s="3"/>
    </row>
    <row r="96" spans="1:9" ht="15.75" customHeight="1">
      <c r="A96" s="73"/>
      <c r="B96" s="100" t="s">
        <v>6</v>
      </c>
      <c r="C96" s="100"/>
      <c r="D96" s="100"/>
      <c r="E96" s="100"/>
      <c r="F96" s="100"/>
      <c r="G96" s="100"/>
      <c r="H96" s="26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01" t="s">
        <v>7</v>
      </c>
      <c r="B98" s="101"/>
      <c r="C98" s="101"/>
      <c r="D98" s="101"/>
      <c r="E98" s="101"/>
      <c r="F98" s="101"/>
      <c r="G98" s="101"/>
      <c r="H98" s="101"/>
      <c r="I98" s="101"/>
    </row>
    <row r="99" spans="1:9" ht="15.75" customHeight="1">
      <c r="A99" s="101" t="s">
        <v>8</v>
      </c>
      <c r="B99" s="101"/>
      <c r="C99" s="101"/>
      <c r="D99" s="101"/>
      <c r="E99" s="101"/>
      <c r="F99" s="101"/>
      <c r="G99" s="101"/>
      <c r="H99" s="101"/>
      <c r="I99" s="101"/>
    </row>
    <row r="100" spans="1:9" ht="15.75">
      <c r="A100" s="102" t="s">
        <v>60</v>
      </c>
      <c r="B100" s="102"/>
      <c r="C100" s="102"/>
      <c r="D100" s="102"/>
      <c r="E100" s="102"/>
      <c r="F100" s="102"/>
      <c r="G100" s="102"/>
      <c r="H100" s="102"/>
      <c r="I100" s="102"/>
    </row>
    <row r="101" spans="1:9" ht="15.75" customHeight="1">
      <c r="A101" s="11"/>
    </row>
    <row r="102" spans="1:9" ht="15.75" customHeight="1">
      <c r="A102" s="103" t="s">
        <v>9</v>
      </c>
      <c r="B102" s="103"/>
      <c r="C102" s="103"/>
      <c r="D102" s="103"/>
      <c r="E102" s="103"/>
      <c r="F102" s="103"/>
      <c r="G102" s="103"/>
      <c r="H102" s="103"/>
      <c r="I102" s="103"/>
    </row>
    <row r="103" spans="1:9" ht="15.75" customHeight="1">
      <c r="A103" s="4"/>
    </row>
    <row r="104" spans="1:9" ht="15.75">
      <c r="B104" s="75" t="s">
        <v>10</v>
      </c>
      <c r="C104" s="104" t="s">
        <v>132</v>
      </c>
      <c r="D104" s="104"/>
      <c r="E104" s="104"/>
      <c r="F104" s="60"/>
      <c r="I104" s="76"/>
    </row>
    <row r="105" spans="1:9" ht="15.75" customHeight="1">
      <c r="A105" s="73"/>
      <c r="C105" s="100" t="s">
        <v>11</v>
      </c>
      <c r="D105" s="100"/>
      <c r="E105" s="100"/>
      <c r="F105" s="26"/>
      <c r="I105" s="74" t="s">
        <v>12</v>
      </c>
    </row>
    <row r="106" spans="1:9" ht="15.75" customHeight="1">
      <c r="A106" s="27"/>
      <c r="C106" s="12"/>
      <c r="D106" s="12"/>
      <c r="G106" s="12"/>
      <c r="H106" s="12"/>
    </row>
    <row r="107" spans="1:9" ht="15.75" customHeight="1">
      <c r="B107" s="75" t="s">
        <v>13</v>
      </c>
      <c r="C107" s="105"/>
      <c r="D107" s="105"/>
      <c r="E107" s="105"/>
      <c r="F107" s="61"/>
      <c r="I107" s="76"/>
    </row>
    <row r="108" spans="1:9" ht="15.75" customHeight="1">
      <c r="A108" s="73"/>
      <c r="C108" s="94" t="s">
        <v>11</v>
      </c>
      <c r="D108" s="94"/>
      <c r="E108" s="94"/>
      <c r="F108" s="73"/>
      <c r="I108" s="74" t="s">
        <v>12</v>
      </c>
    </row>
    <row r="109" spans="1:9" ht="15.75">
      <c r="A109" s="4" t="s">
        <v>14</v>
      </c>
    </row>
    <row r="110" spans="1:9" ht="15.75" customHeight="1">
      <c r="A110" s="92" t="s">
        <v>15</v>
      </c>
      <c r="B110" s="92"/>
      <c r="C110" s="92"/>
      <c r="D110" s="92"/>
      <c r="E110" s="92"/>
      <c r="F110" s="92"/>
      <c r="G110" s="92"/>
      <c r="H110" s="92"/>
      <c r="I110" s="92"/>
    </row>
    <row r="111" spans="1:9" ht="45" customHeight="1">
      <c r="A111" s="93" t="s">
        <v>16</v>
      </c>
      <c r="B111" s="93"/>
      <c r="C111" s="93"/>
      <c r="D111" s="93"/>
      <c r="E111" s="93"/>
      <c r="F111" s="93"/>
      <c r="G111" s="93"/>
      <c r="H111" s="93"/>
      <c r="I111" s="93"/>
    </row>
    <row r="112" spans="1:9" ht="30" customHeight="1">
      <c r="A112" s="93" t="s">
        <v>17</v>
      </c>
      <c r="B112" s="93"/>
      <c r="C112" s="93"/>
      <c r="D112" s="93"/>
      <c r="E112" s="93"/>
      <c r="F112" s="93"/>
      <c r="G112" s="93"/>
      <c r="H112" s="93"/>
      <c r="I112" s="93"/>
    </row>
    <row r="113" spans="1:9" ht="30" customHeight="1">
      <c r="A113" s="93" t="s">
        <v>21</v>
      </c>
      <c r="B113" s="93"/>
      <c r="C113" s="93"/>
      <c r="D113" s="93"/>
      <c r="E113" s="93"/>
      <c r="F113" s="93"/>
      <c r="G113" s="93"/>
      <c r="H113" s="93"/>
      <c r="I113" s="93"/>
    </row>
    <row r="114" spans="1:9" ht="15" customHeight="1">
      <c r="A114" s="93" t="s">
        <v>20</v>
      </c>
      <c r="B114" s="93"/>
      <c r="C114" s="93"/>
      <c r="D114" s="93"/>
      <c r="E114" s="93"/>
      <c r="F114" s="93"/>
      <c r="G114" s="93"/>
      <c r="H114" s="93"/>
      <c r="I114" s="93"/>
    </row>
  </sheetData>
  <autoFilter ref="I12:I59"/>
  <mergeCells count="29">
    <mergeCell ref="A110:I110"/>
    <mergeCell ref="A111:I111"/>
    <mergeCell ref="A112:I112"/>
    <mergeCell ref="A113:I113"/>
    <mergeCell ref="A114:I114"/>
    <mergeCell ref="R64:U64"/>
    <mergeCell ref="C108:E108"/>
    <mergeCell ref="A86:I86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2:I82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7:I57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4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83</v>
      </c>
      <c r="I1" s="28"/>
      <c r="J1" s="1"/>
      <c r="K1" s="1"/>
      <c r="L1" s="1"/>
      <c r="M1" s="1"/>
    </row>
    <row r="2" spans="1:13" ht="15.75">
      <c r="A2" s="30" t="s">
        <v>61</v>
      </c>
      <c r="J2" s="2"/>
      <c r="K2" s="2"/>
      <c r="L2" s="2"/>
      <c r="M2" s="2"/>
    </row>
    <row r="3" spans="1:13" ht="15.75" customHeight="1">
      <c r="A3" s="114" t="s">
        <v>208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212</v>
      </c>
      <c r="B4" s="115"/>
      <c r="C4" s="115"/>
      <c r="D4" s="115"/>
      <c r="E4" s="115"/>
      <c r="F4" s="115"/>
      <c r="G4" s="115"/>
      <c r="H4" s="115"/>
      <c r="I4" s="115"/>
    </row>
    <row r="5" spans="1:13" ht="15.75">
      <c r="A5" s="114" t="s">
        <v>209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>
      <c r="A6" s="2"/>
      <c r="B6" s="72"/>
      <c r="C6" s="72"/>
      <c r="D6" s="72"/>
      <c r="E6" s="72"/>
      <c r="F6" s="72"/>
      <c r="G6" s="72"/>
      <c r="H6" s="72"/>
      <c r="I6" s="32">
        <v>43100</v>
      </c>
      <c r="J6" s="2"/>
      <c r="K6" s="2"/>
      <c r="L6" s="2"/>
      <c r="M6" s="2"/>
    </row>
    <row r="7" spans="1:13" ht="15.75">
      <c r="B7" s="75"/>
      <c r="C7" s="75"/>
      <c r="D7" s="75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7" t="s">
        <v>154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18" t="s">
        <v>155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3" t="s">
        <v>58</v>
      </c>
      <c r="B14" s="113"/>
      <c r="C14" s="113"/>
      <c r="D14" s="113"/>
      <c r="E14" s="113"/>
      <c r="F14" s="113"/>
      <c r="G14" s="113"/>
      <c r="H14" s="113"/>
      <c r="I14" s="113"/>
      <c r="J14" s="8"/>
      <c r="K14" s="8"/>
      <c r="L14" s="8"/>
      <c r="M14" s="8"/>
    </row>
    <row r="15" spans="1:13" ht="15.75" customHeight="1">
      <c r="A15" s="109" t="s">
        <v>4</v>
      </c>
      <c r="B15" s="109"/>
      <c r="C15" s="109"/>
      <c r="D15" s="109"/>
      <c r="E15" s="109"/>
      <c r="F15" s="109"/>
      <c r="G15" s="109"/>
      <c r="H15" s="109"/>
      <c r="I15" s="109"/>
      <c r="J15" s="8"/>
      <c r="K15" s="8"/>
      <c r="L15" s="8"/>
      <c r="M15" s="8"/>
    </row>
    <row r="16" spans="1:13" ht="15.75" customHeight="1">
      <c r="A16" s="31">
        <v>1</v>
      </c>
      <c r="B16" s="14" t="s">
        <v>84</v>
      </c>
      <c r="C16" s="16" t="s">
        <v>85</v>
      </c>
      <c r="D16" s="14" t="s">
        <v>157</v>
      </c>
      <c r="E16" s="19">
        <v>62.28</v>
      </c>
      <c r="F16" s="13">
        <f>SUM(E16*156/100)</f>
        <v>97.156800000000004</v>
      </c>
      <c r="G16" s="13">
        <v>175.38</v>
      </c>
      <c r="H16" s="13">
        <f t="shared" ref="H16:H25" si="0">SUM(F16*G16/1000)</f>
        <v>17.039359584000003</v>
      </c>
      <c r="I16" s="13">
        <f>F16/12*G16</f>
        <v>1419.9466320000001</v>
      </c>
      <c r="J16" s="23"/>
      <c r="K16" s="8"/>
      <c r="L16" s="8"/>
      <c r="M16" s="8"/>
    </row>
    <row r="17" spans="1:13" ht="15.75" customHeight="1">
      <c r="A17" s="31">
        <v>2</v>
      </c>
      <c r="B17" s="14" t="s">
        <v>115</v>
      </c>
      <c r="C17" s="16" t="s">
        <v>85</v>
      </c>
      <c r="D17" s="14" t="s">
        <v>158</v>
      </c>
      <c r="E17" s="19">
        <v>311.42</v>
      </c>
      <c r="F17" s="13">
        <f>SUM(E17*104/100)</f>
        <v>323.8768</v>
      </c>
      <c r="G17" s="13">
        <v>175.38</v>
      </c>
      <c r="H17" s="13">
        <f t="shared" si="0"/>
        <v>56.801513183999994</v>
      </c>
      <c r="I17" s="13">
        <f>F17/12*G17</f>
        <v>4733.4594319999997</v>
      </c>
      <c r="J17" s="24"/>
      <c r="K17" s="8"/>
      <c r="L17" s="8"/>
      <c r="M17" s="8"/>
    </row>
    <row r="18" spans="1:13" ht="15.75" customHeight="1">
      <c r="A18" s="31">
        <v>3</v>
      </c>
      <c r="B18" s="14" t="s">
        <v>116</v>
      </c>
      <c r="C18" s="16" t="s">
        <v>85</v>
      </c>
      <c r="D18" s="14" t="s">
        <v>159</v>
      </c>
      <c r="E18" s="19">
        <v>373.7</v>
      </c>
      <c r="F18" s="13">
        <f>SUM(E18*24/100)</f>
        <v>89.687999999999988</v>
      </c>
      <c r="G18" s="13">
        <v>504.5</v>
      </c>
      <c r="H18" s="13">
        <f t="shared" si="0"/>
        <v>45.247595999999987</v>
      </c>
      <c r="I18" s="13">
        <f>F18/12*G18</f>
        <v>3770.6329999999998</v>
      </c>
      <c r="J18" s="24"/>
      <c r="K18" s="8"/>
      <c r="L18" s="8"/>
      <c r="M18" s="8"/>
    </row>
    <row r="19" spans="1:13" ht="15.75" hidden="1" customHeight="1">
      <c r="A19" s="31"/>
      <c r="B19" s="14" t="s">
        <v>92</v>
      </c>
      <c r="C19" s="16" t="s">
        <v>93</v>
      </c>
      <c r="D19" s="14" t="s">
        <v>94</v>
      </c>
      <c r="E19" s="19">
        <v>38.4</v>
      </c>
      <c r="F19" s="13">
        <f>SUM(E19/10)</f>
        <v>3.84</v>
      </c>
      <c r="G19" s="13">
        <v>170.16</v>
      </c>
      <c r="H19" s="13">
        <f t="shared" si="0"/>
        <v>0.65341439999999995</v>
      </c>
      <c r="I19" s="13">
        <v>0</v>
      </c>
      <c r="J19" s="24"/>
      <c r="K19" s="8"/>
      <c r="L19" s="8"/>
      <c r="M19" s="8"/>
    </row>
    <row r="20" spans="1:13" ht="15.75" customHeight="1">
      <c r="A20" s="31">
        <v>4</v>
      </c>
      <c r="B20" s="14" t="s">
        <v>95</v>
      </c>
      <c r="C20" s="16" t="s">
        <v>85</v>
      </c>
      <c r="D20" s="14" t="s">
        <v>117</v>
      </c>
      <c r="E20" s="19">
        <v>35.04</v>
      </c>
      <c r="F20" s="13">
        <f>SUM(E20*12/100)</f>
        <v>4.2048000000000005</v>
      </c>
      <c r="G20" s="13">
        <v>217.88</v>
      </c>
      <c r="H20" s="13">
        <f t="shared" si="0"/>
        <v>0.91614182399999999</v>
      </c>
      <c r="I20" s="13">
        <f>F20/12*G20</f>
        <v>76.345152000000013</v>
      </c>
      <c r="J20" s="24"/>
      <c r="K20" s="8"/>
      <c r="L20" s="8"/>
      <c r="M20" s="8"/>
    </row>
    <row r="21" spans="1:13" ht="15.75" customHeight="1">
      <c r="A21" s="31">
        <v>5</v>
      </c>
      <c r="B21" s="14" t="s">
        <v>96</v>
      </c>
      <c r="C21" s="16" t="s">
        <v>85</v>
      </c>
      <c r="D21" s="14" t="s">
        <v>30</v>
      </c>
      <c r="E21" s="19">
        <v>9.08</v>
      </c>
      <c r="F21" s="13">
        <f>SUM(E21*12/100)</f>
        <v>1.0896000000000001</v>
      </c>
      <c r="G21" s="13">
        <v>216.12</v>
      </c>
      <c r="H21" s="13">
        <f t="shared" si="0"/>
        <v>0.23548435200000004</v>
      </c>
      <c r="I21" s="13">
        <f>F21/12*G21</f>
        <v>19.623696000000002</v>
      </c>
      <c r="J21" s="24"/>
      <c r="K21" s="8"/>
      <c r="L21" s="8"/>
      <c r="M21" s="8"/>
    </row>
    <row r="22" spans="1:13" ht="15.75" hidden="1" customHeight="1">
      <c r="A22" s="31"/>
      <c r="B22" s="14" t="s">
        <v>97</v>
      </c>
      <c r="C22" s="16" t="s">
        <v>52</v>
      </c>
      <c r="D22" s="14" t="s">
        <v>94</v>
      </c>
      <c r="E22" s="19">
        <v>629</v>
      </c>
      <c r="F22" s="13">
        <f>SUM(E22/100)</f>
        <v>6.29</v>
      </c>
      <c r="G22" s="13">
        <v>269.26</v>
      </c>
      <c r="H22" s="13">
        <f t="shared" si="0"/>
        <v>1.6936453999999999</v>
      </c>
      <c r="I22" s="13">
        <v>0</v>
      </c>
      <c r="J22" s="24"/>
      <c r="K22" s="8"/>
      <c r="L22" s="8"/>
      <c r="M22" s="8"/>
    </row>
    <row r="23" spans="1:13" ht="15.75" hidden="1" customHeight="1">
      <c r="A23" s="31"/>
      <c r="B23" s="14" t="s">
        <v>98</v>
      </c>
      <c r="C23" s="16" t="s">
        <v>52</v>
      </c>
      <c r="D23" s="14" t="s">
        <v>94</v>
      </c>
      <c r="E23" s="19">
        <v>58</v>
      </c>
      <c r="F23" s="13">
        <f>SUM(E23/100)</f>
        <v>0.57999999999999996</v>
      </c>
      <c r="G23" s="13">
        <v>44.29</v>
      </c>
      <c r="H23" s="13">
        <f t="shared" si="0"/>
        <v>2.5688199999999998E-2</v>
      </c>
      <c r="I23" s="13">
        <v>0</v>
      </c>
      <c r="J23" s="24"/>
      <c r="K23" s="8"/>
      <c r="L23" s="8"/>
      <c r="M23" s="8"/>
    </row>
    <row r="24" spans="1:13" ht="15.75" customHeight="1">
      <c r="A24" s="31">
        <v>6</v>
      </c>
      <c r="B24" s="14" t="s">
        <v>99</v>
      </c>
      <c r="C24" s="16" t="s">
        <v>52</v>
      </c>
      <c r="D24" s="14" t="s">
        <v>30</v>
      </c>
      <c r="E24" s="19">
        <v>24</v>
      </c>
      <c r="F24" s="13">
        <f>E24*12/100</f>
        <v>2.88</v>
      </c>
      <c r="G24" s="13">
        <v>389.72</v>
      </c>
      <c r="H24" s="13">
        <f t="shared" si="0"/>
        <v>1.1223936000000001</v>
      </c>
      <c r="I24" s="13">
        <f>F24/12*G24</f>
        <v>93.532800000000009</v>
      </c>
      <c r="J24" s="24"/>
      <c r="K24" s="8"/>
      <c r="L24" s="8"/>
      <c r="M24" s="8"/>
    </row>
    <row r="25" spans="1:13" ht="15.75" hidden="1" customHeight="1">
      <c r="A25" s="31"/>
      <c r="B25" s="14" t="s">
        <v>100</v>
      </c>
      <c r="C25" s="16" t="s">
        <v>52</v>
      </c>
      <c r="D25" s="14" t="s">
        <v>53</v>
      </c>
      <c r="E25" s="19">
        <v>17</v>
      </c>
      <c r="F25" s="13">
        <f>SUM(E25/100)</f>
        <v>0.17</v>
      </c>
      <c r="G25" s="13">
        <v>520.79999999999995</v>
      </c>
      <c r="H25" s="13">
        <f t="shared" si="0"/>
        <v>8.8536000000000004E-2</v>
      </c>
      <c r="I25" s="13">
        <v>0</v>
      </c>
      <c r="J25" s="24"/>
      <c r="K25" s="8"/>
      <c r="L25" s="8"/>
      <c r="M25" s="8"/>
    </row>
    <row r="26" spans="1:13" ht="15.75" hidden="1" customHeight="1">
      <c r="A26" s="31"/>
      <c r="B26" s="14" t="s">
        <v>123</v>
      </c>
      <c r="C26" s="16" t="s">
        <v>52</v>
      </c>
      <c r="D26" s="14" t="s">
        <v>53</v>
      </c>
      <c r="E26" s="19">
        <v>24</v>
      </c>
      <c r="F26" s="13">
        <v>0.24</v>
      </c>
      <c r="G26" s="13">
        <v>216.12</v>
      </c>
      <c r="H26" s="13">
        <f>G26*F26/1000</f>
        <v>5.18688E-2</v>
      </c>
      <c r="I26" s="13">
        <v>0</v>
      </c>
      <c r="J26" s="24"/>
      <c r="K26" s="8"/>
      <c r="L26" s="8"/>
      <c r="M26" s="8"/>
    </row>
    <row r="27" spans="1:13" ht="15.75" customHeight="1">
      <c r="A27" s="31">
        <v>7</v>
      </c>
      <c r="B27" s="14" t="s">
        <v>63</v>
      </c>
      <c r="C27" s="16" t="s">
        <v>33</v>
      </c>
      <c r="D27" s="14" t="s">
        <v>160</v>
      </c>
      <c r="E27" s="19">
        <v>0.1</v>
      </c>
      <c r="F27" s="13">
        <f>SUM(E27*365)</f>
        <v>36.5</v>
      </c>
      <c r="G27" s="13">
        <v>147.03</v>
      </c>
      <c r="H27" s="13">
        <f>SUM(F27*G27/1000)</f>
        <v>5.3665950000000002</v>
      </c>
      <c r="I27" s="13">
        <f>F27/12*G27</f>
        <v>447.21625</v>
      </c>
      <c r="J27" s="25"/>
    </row>
    <row r="28" spans="1:13" ht="15.75" customHeight="1">
      <c r="A28" s="31">
        <v>8</v>
      </c>
      <c r="B28" s="44" t="s">
        <v>23</v>
      </c>
      <c r="C28" s="16" t="s">
        <v>24</v>
      </c>
      <c r="D28" s="14" t="s">
        <v>160</v>
      </c>
      <c r="E28" s="19">
        <v>5367.6</v>
      </c>
      <c r="F28" s="13">
        <f>SUM(E28*12)</f>
        <v>64411.200000000004</v>
      </c>
      <c r="G28" s="13">
        <v>3.18</v>
      </c>
      <c r="H28" s="13">
        <f>SUM(F28*G28/1000)</f>
        <v>204.82761600000003</v>
      </c>
      <c r="I28" s="13">
        <f>F28/12*G28</f>
        <v>17068.968000000001</v>
      </c>
      <c r="J28" s="25"/>
    </row>
    <row r="29" spans="1:13" ht="15.75" customHeight="1">
      <c r="A29" s="109" t="s">
        <v>82</v>
      </c>
      <c r="B29" s="109"/>
      <c r="C29" s="109"/>
      <c r="D29" s="109"/>
      <c r="E29" s="109"/>
      <c r="F29" s="109"/>
      <c r="G29" s="109"/>
      <c r="H29" s="109"/>
      <c r="I29" s="109"/>
      <c r="J29" s="24"/>
      <c r="K29" s="8"/>
      <c r="L29" s="8"/>
      <c r="M29" s="8"/>
    </row>
    <row r="30" spans="1:13" ht="15.75" hidden="1" customHeight="1">
      <c r="A30" s="31"/>
      <c r="B30" s="71" t="s">
        <v>28</v>
      </c>
      <c r="C30" s="16"/>
      <c r="D30" s="14"/>
      <c r="E30" s="19"/>
      <c r="F30" s="13"/>
      <c r="G30" s="13"/>
      <c r="H30" s="13"/>
      <c r="I30" s="13"/>
      <c r="J30" s="24"/>
      <c r="K30" s="8"/>
      <c r="L30" s="8"/>
      <c r="M30" s="8"/>
    </row>
    <row r="31" spans="1:13" ht="15.75" hidden="1" customHeight="1">
      <c r="A31" s="31">
        <v>9</v>
      </c>
      <c r="B31" s="14" t="s">
        <v>104</v>
      </c>
      <c r="C31" s="16" t="s">
        <v>87</v>
      </c>
      <c r="D31" s="14" t="s">
        <v>179</v>
      </c>
      <c r="E31" s="13">
        <v>748</v>
      </c>
      <c r="F31" s="13">
        <f>SUM(E31*52/1000)</f>
        <v>38.896000000000001</v>
      </c>
      <c r="G31" s="13">
        <v>155.88999999999999</v>
      </c>
      <c r="H31" s="13">
        <f t="shared" ref="H31:H38" si="1">SUM(F31*G31/1000)</f>
        <v>6.063497439999999</v>
      </c>
      <c r="I31" s="13">
        <f t="shared" ref="I31:I35" si="2">F31/6*G31</f>
        <v>1010.5829066666666</v>
      </c>
      <c r="J31" s="24"/>
      <c r="K31" s="8"/>
      <c r="L31" s="8"/>
      <c r="M31" s="8"/>
    </row>
    <row r="32" spans="1:13" ht="31.5" hidden="1" customHeight="1">
      <c r="A32" s="31">
        <v>10</v>
      </c>
      <c r="B32" s="14" t="s">
        <v>119</v>
      </c>
      <c r="C32" s="16" t="s">
        <v>87</v>
      </c>
      <c r="D32" s="14" t="s">
        <v>180</v>
      </c>
      <c r="E32" s="13">
        <v>374</v>
      </c>
      <c r="F32" s="13">
        <f>SUM(E32*78/1000)</f>
        <v>29.172000000000001</v>
      </c>
      <c r="G32" s="13">
        <v>258.63</v>
      </c>
      <c r="H32" s="13">
        <f t="shared" si="1"/>
        <v>7.5447543599999998</v>
      </c>
      <c r="I32" s="13">
        <f t="shared" si="2"/>
        <v>1257.4590599999999</v>
      </c>
      <c r="J32" s="24"/>
      <c r="K32" s="8"/>
      <c r="L32" s="8"/>
      <c r="M32" s="8"/>
    </row>
    <row r="33" spans="1:14" ht="15.75" hidden="1" customHeight="1">
      <c r="A33" s="31"/>
      <c r="B33" s="14" t="s">
        <v>27</v>
      </c>
      <c r="C33" s="16" t="s">
        <v>87</v>
      </c>
      <c r="D33" s="14" t="s">
        <v>53</v>
      </c>
      <c r="E33" s="13">
        <v>748</v>
      </c>
      <c r="F33" s="13">
        <f>SUM(E33/1000)</f>
        <v>0.748</v>
      </c>
      <c r="G33" s="13">
        <v>3020.33</v>
      </c>
      <c r="H33" s="13">
        <f t="shared" si="1"/>
        <v>2.25920684</v>
      </c>
      <c r="I33" s="13">
        <f>F33*G33</f>
        <v>2259.2068399999998</v>
      </c>
      <c r="J33" s="24"/>
      <c r="K33" s="8"/>
      <c r="L33" s="8"/>
      <c r="M33" s="8"/>
    </row>
    <row r="34" spans="1:14" ht="15.75" hidden="1" customHeight="1">
      <c r="A34" s="31">
        <v>11</v>
      </c>
      <c r="B34" s="14" t="s">
        <v>118</v>
      </c>
      <c r="C34" s="16" t="s">
        <v>40</v>
      </c>
      <c r="D34" s="14" t="s">
        <v>62</v>
      </c>
      <c r="E34" s="13">
        <v>1</v>
      </c>
      <c r="F34" s="13">
        <f>E34*155/100</f>
        <v>1.55</v>
      </c>
      <c r="G34" s="13">
        <v>1302.02</v>
      </c>
      <c r="H34" s="13">
        <f>G34*F34/1000</f>
        <v>2.0181309999999999</v>
      </c>
      <c r="I34" s="13">
        <f t="shared" si="2"/>
        <v>336.35516666666672</v>
      </c>
      <c r="J34" s="24"/>
      <c r="K34" s="8"/>
    </row>
    <row r="35" spans="1:14" ht="15.75" hidden="1" customHeight="1">
      <c r="A35" s="31">
        <v>12</v>
      </c>
      <c r="B35" s="14" t="s">
        <v>103</v>
      </c>
      <c r="C35" s="16" t="s">
        <v>31</v>
      </c>
      <c r="D35" s="14" t="s">
        <v>62</v>
      </c>
      <c r="E35" s="66">
        <v>0.33333333333333331</v>
      </c>
      <c r="F35" s="13">
        <f>155/3</f>
        <v>51.666666666666664</v>
      </c>
      <c r="G35" s="13">
        <v>56.69</v>
      </c>
      <c r="H35" s="13">
        <f>SUM(G35*155/3/1000)</f>
        <v>2.9289833333333331</v>
      </c>
      <c r="I35" s="13">
        <f t="shared" si="2"/>
        <v>488.16388888888883</v>
      </c>
      <c r="J35" s="25"/>
    </row>
    <row r="36" spans="1:14" ht="15.75" hidden="1" customHeight="1">
      <c r="A36" s="31"/>
      <c r="B36" s="14" t="s">
        <v>64</v>
      </c>
      <c r="C36" s="16" t="s">
        <v>33</v>
      </c>
      <c r="D36" s="14" t="s">
        <v>66</v>
      </c>
      <c r="E36" s="19"/>
      <c r="F36" s="13">
        <v>2</v>
      </c>
      <c r="G36" s="13">
        <v>191.32</v>
      </c>
      <c r="H36" s="13">
        <f t="shared" si="1"/>
        <v>0.38263999999999998</v>
      </c>
      <c r="I36" s="13">
        <v>0</v>
      </c>
      <c r="J36" s="25"/>
    </row>
    <row r="37" spans="1:14" ht="15.75" hidden="1" customHeight="1">
      <c r="A37" s="31"/>
      <c r="B37" s="14" t="s">
        <v>65</v>
      </c>
      <c r="C37" s="16" t="s">
        <v>32</v>
      </c>
      <c r="D37" s="14" t="s">
        <v>66</v>
      </c>
      <c r="E37" s="19"/>
      <c r="F37" s="13">
        <v>1</v>
      </c>
      <c r="G37" s="13">
        <v>1136.33</v>
      </c>
      <c r="H37" s="13">
        <f t="shared" si="1"/>
        <v>1.1363299999999998</v>
      </c>
      <c r="I37" s="13">
        <v>0</v>
      </c>
      <c r="J37" s="25"/>
    </row>
    <row r="38" spans="1:14" ht="15.75" hidden="1" customHeight="1">
      <c r="A38" s="31"/>
      <c r="B38" s="14" t="s">
        <v>125</v>
      </c>
      <c r="C38" s="16" t="s">
        <v>29</v>
      </c>
      <c r="D38" s="14"/>
      <c r="E38" s="19">
        <v>932.2</v>
      </c>
      <c r="F38" s="13">
        <v>0.93220000000000003</v>
      </c>
      <c r="G38" s="13">
        <v>1305.02</v>
      </c>
      <c r="H38" s="13">
        <f t="shared" si="1"/>
        <v>1.216539644</v>
      </c>
      <c r="I38" s="13">
        <v>0</v>
      </c>
      <c r="J38" s="25"/>
    </row>
    <row r="39" spans="1:14" ht="15.75" customHeight="1">
      <c r="A39" s="31"/>
      <c r="B39" s="71" t="s">
        <v>5</v>
      </c>
      <c r="C39" s="16"/>
      <c r="D39" s="14"/>
      <c r="E39" s="19"/>
      <c r="F39" s="13"/>
      <c r="G39" s="13"/>
      <c r="H39" s="13" t="s">
        <v>139</v>
      </c>
      <c r="I39" s="13"/>
      <c r="J39" s="25"/>
      <c r="L39" s="20"/>
      <c r="M39" s="21"/>
      <c r="N39" s="22"/>
    </row>
    <row r="40" spans="1:14" ht="15.75" customHeight="1">
      <c r="A40" s="31">
        <v>9</v>
      </c>
      <c r="B40" s="14" t="s">
        <v>26</v>
      </c>
      <c r="C40" s="16" t="s">
        <v>32</v>
      </c>
      <c r="D40" s="14"/>
      <c r="E40" s="19"/>
      <c r="F40" s="13">
        <v>6</v>
      </c>
      <c r="G40" s="13">
        <v>1527.22</v>
      </c>
      <c r="H40" s="13">
        <f t="shared" ref="H40:H45" si="3">SUM(F40*G40/1000)</f>
        <v>9.1633200000000006</v>
      </c>
      <c r="I40" s="13">
        <f t="shared" ref="I40:I45" si="4">F40/6*G40</f>
        <v>1527.22</v>
      </c>
      <c r="J40" s="25"/>
      <c r="L40" s="20"/>
      <c r="M40" s="21"/>
      <c r="N40" s="22"/>
    </row>
    <row r="41" spans="1:14" ht="15.75" customHeight="1">
      <c r="A41" s="31">
        <v>10</v>
      </c>
      <c r="B41" s="14" t="s">
        <v>105</v>
      </c>
      <c r="C41" s="16" t="s">
        <v>29</v>
      </c>
      <c r="D41" s="14" t="s">
        <v>126</v>
      </c>
      <c r="E41" s="19">
        <v>374</v>
      </c>
      <c r="F41" s="13">
        <f>E41*26/1000</f>
        <v>9.7240000000000002</v>
      </c>
      <c r="G41" s="13">
        <v>2102.71</v>
      </c>
      <c r="H41" s="13">
        <f>G41*F41/1000</f>
        <v>20.44675204</v>
      </c>
      <c r="I41" s="13">
        <f t="shared" si="4"/>
        <v>3407.792006666667</v>
      </c>
      <c r="J41" s="25"/>
      <c r="L41" s="20"/>
      <c r="M41" s="21"/>
      <c r="N41" s="22"/>
    </row>
    <row r="42" spans="1:14" ht="15.75" customHeight="1">
      <c r="A42" s="31">
        <v>11</v>
      </c>
      <c r="B42" s="14" t="s">
        <v>67</v>
      </c>
      <c r="C42" s="16" t="s">
        <v>29</v>
      </c>
      <c r="D42" s="14" t="s">
        <v>86</v>
      </c>
      <c r="E42" s="13">
        <v>160</v>
      </c>
      <c r="F42" s="13">
        <f>SUM(E42*155/1000)</f>
        <v>24.8</v>
      </c>
      <c r="G42" s="13">
        <v>350.75</v>
      </c>
      <c r="H42" s="13">
        <f t="shared" si="3"/>
        <v>8.6986000000000008</v>
      </c>
      <c r="I42" s="13">
        <f t="shared" si="4"/>
        <v>1449.7666666666669</v>
      </c>
      <c r="J42" s="25"/>
      <c r="L42" s="20"/>
      <c r="M42" s="21"/>
      <c r="N42" s="22"/>
    </row>
    <row r="43" spans="1:14" ht="47.25" customHeight="1">
      <c r="A43" s="31">
        <v>12</v>
      </c>
      <c r="B43" s="14" t="s">
        <v>81</v>
      </c>
      <c r="C43" s="16" t="s">
        <v>87</v>
      </c>
      <c r="D43" s="14" t="s">
        <v>127</v>
      </c>
      <c r="E43" s="13">
        <v>76</v>
      </c>
      <c r="F43" s="13">
        <f>SUM(E43*50/1000)</f>
        <v>3.8</v>
      </c>
      <c r="G43" s="13">
        <v>5803.28</v>
      </c>
      <c r="H43" s="13">
        <f t="shared" si="3"/>
        <v>22.052463999999997</v>
      </c>
      <c r="I43" s="13">
        <f t="shared" si="4"/>
        <v>3675.4106666666662</v>
      </c>
      <c r="J43" s="25"/>
      <c r="L43" s="20"/>
      <c r="M43" s="21"/>
      <c r="N43" s="22"/>
    </row>
    <row r="44" spans="1:14" ht="15.75" hidden="1" customHeight="1">
      <c r="A44" s="31">
        <v>13</v>
      </c>
      <c r="B44" s="14" t="s">
        <v>88</v>
      </c>
      <c r="C44" s="16" t="s">
        <v>87</v>
      </c>
      <c r="D44" s="14" t="s">
        <v>68</v>
      </c>
      <c r="E44" s="13">
        <v>76</v>
      </c>
      <c r="F44" s="13">
        <f>SUM(E44*45/1000)</f>
        <v>3.42</v>
      </c>
      <c r="G44" s="13">
        <v>428.7</v>
      </c>
      <c r="H44" s="13">
        <f t="shared" si="3"/>
        <v>1.466154</v>
      </c>
      <c r="I44" s="13">
        <f t="shared" si="4"/>
        <v>244.35899999999998</v>
      </c>
      <c r="J44" s="25"/>
      <c r="L44" s="20"/>
      <c r="M44" s="21"/>
      <c r="N44" s="22"/>
    </row>
    <row r="45" spans="1:14" ht="15.75" customHeight="1">
      <c r="A45" s="31">
        <v>13</v>
      </c>
      <c r="B45" s="14" t="s">
        <v>69</v>
      </c>
      <c r="C45" s="16" t="s">
        <v>33</v>
      </c>
      <c r="D45" s="14"/>
      <c r="E45" s="19"/>
      <c r="F45" s="13">
        <v>0.9</v>
      </c>
      <c r="G45" s="13">
        <v>798</v>
      </c>
      <c r="H45" s="13">
        <f t="shared" si="3"/>
        <v>0.71820000000000006</v>
      </c>
      <c r="I45" s="13">
        <f t="shared" si="4"/>
        <v>119.69999999999999</v>
      </c>
      <c r="J45" s="25"/>
      <c r="L45" s="20"/>
      <c r="M45" s="21"/>
      <c r="N45" s="22"/>
    </row>
    <row r="46" spans="1:14" ht="15" customHeight="1">
      <c r="A46" s="110" t="s">
        <v>135</v>
      </c>
      <c r="B46" s="111"/>
      <c r="C46" s="111"/>
      <c r="D46" s="111"/>
      <c r="E46" s="111"/>
      <c r="F46" s="111"/>
      <c r="G46" s="111"/>
      <c r="H46" s="111"/>
      <c r="I46" s="112"/>
      <c r="J46" s="25"/>
      <c r="L46" s="20"/>
      <c r="M46" s="21"/>
      <c r="N46" s="22"/>
    </row>
    <row r="47" spans="1:14" ht="15.75" hidden="1" customHeight="1">
      <c r="A47" s="31"/>
      <c r="B47" s="14" t="s">
        <v>140</v>
      </c>
      <c r="C47" s="16" t="s">
        <v>87</v>
      </c>
      <c r="D47" s="14" t="s">
        <v>42</v>
      </c>
      <c r="E47" s="19">
        <v>1099.7</v>
      </c>
      <c r="F47" s="13">
        <f>SUM(E47*2/1000)</f>
        <v>2.1994000000000002</v>
      </c>
      <c r="G47" s="13">
        <v>809.74</v>
      </c>
      <c r="H47" s="13">
        <f t="shared" ref="H47:H56" si="5">SUM(F47*G47/1000)</f>
        <v>1.7809421560000003</v>
      </c>
      <c r="I47" s="13">
        <v>0</v>
      </c>
      <c r="J47" s="25"/>
      <c r="L47" s="20"/>
      <c r="M47" s="21"/>
      <c r="N47" s="22"/>
    </row>
    <row r="48" spans="1:14" ht="15.75" hidden="1" customHeight="1">
      <c r="A48" s="31"/>
      <c r="B48" s="14" t="s">
        <v>35</v>
      </c>
      <c r="C48" s="16" t="s">
        <v>87</v>
      </c>
      <c r="D48" s="14" t="s">
        <v>42</v>
      </c>
      <c r="E48" s="19">
        <v>52</v>
      </c>
      <c r="F48" s="13">
        <f>E48*2/1000</f>
        <v>0.104</v>
      </c>
      <c r="G48" s="13">
        <v>579.48</v>
      </c>
      <c r="H48" s="13">
        <f t="shared" si="5"/>
        <v>6.0265920000000001E-2</v>
      </c>
      <c r="I48" s="13">
        <v>0</v>
      </c>
      <c r="J48" s="25"/>
      <c r="L48" s="20"/>
      <c r="M48" s="21"/>
      <c r="N48" s="22"/>
    </row>
    <row r="49" spans="1:22" ht="15.75" hidden="1" customHeight="1">
      <c r="A49" s="31"/>
      <c r="B49" s="14" t="s">
        <v>36</v>
      </c>
      <c r="C49" s="16" t="s">
        <v>87</v>
      </c>
      <c r="D49" s="14" t="s">
        <v>42</v>
      </c>
      <c r="E49" s="19">
        <v>917.78</v>
      </c>
      <c r="F49" s="13">
        <f>SUM(E49*2/1000)</f>
        <v>1.8355599999999999</v>
      </c>
      <c r="G49" s="13">
        <v>579.48</v>
      </c>
      <c r="H49" s="13">
        <f t="shared" si="5"/>
        <v>1.0636703087999999</v>
      </c>
      <c r="I49" s="13">
        <v>0</v>
      </c>
      <c r="J49" s="25"/>
      <c r="L49" s="20"/>
      <c r="M49" s="21"/>
      <c r="N49" s="22"/>
    </row>
    <row r="50" spans="1:22" ht="15.75" hidden="1" customHeight="1">
      <c r="A50" s="31"/>
      <c r="B50" s="14" t="s">
        <v>37</v>
      </c>
      <c r="C50" s="16" t="s">
        <v>87</v>
      </c>
      <c r="D50" s="14" t="s">
        <v>42</v>
      </c>
      <c r="E50" s="19">
        <v>3930</v>
      </c>
      <c r="F50" s="13">
        <f>SUM(E50*2/1000)</f>
        <v>7.86</v>
      </c>
      <c r="G50" s="13">
        <v>606.77</v>
      </c>
      <c r="H50" s="13">
        <f t="shared" si="5"/>
        <v>4.7692122000000001</v>
      </c>
      <c r="I50" s="13">
        <v>0</v>
      </c>
      <c r="J50" s="25"/>
      <c r="L50" s="20"/>
      <c r="M50" s="21"/>
      <c r="N50" s="22"/>
    </row>
    <row r="51" spans="1:22" ht="15.75" hidden="1" customHeight="1">
      <c r="A51" s="31"/>
      <c r="B51" s="14" t="s">
        <v>34</v>
      </c>
      <c r="C51" s="16" t="s">
        <v>52</v>
      </c>
      <c r="D51" s="14" t="s">
        <v>42</v>
      </c>
      <c r="E51" s="19">
        <v>142.38999999999999</v>
      </c>
      <c r="F51" s="13">
        <f>E51*2/100</f>
        <v>2.8477999999999999</v>
      </c>
      <c r="G51" s="13">
        <v>72.81</v>
      </c>
      <c r="H51" s="13">
        <f>F51*G51/1000</f>
        <v>0.207348318</v>
      </c>
      <c r="I51" s="13">
        <v>0</v>
      </c>
      <c r="J51" s="25"/>
      <c r="L51" s="20"/>
      <c r="M51" s="21"/>
      <c r="N51" s="22"/>
    </row>
    <row r="52" spans="1:22" ht="15.75" customHeight="1">
      <c r="A52" s="31">
        <v>14</v>
      </c>
      <c r="B52" s="14" t="s">
        <v>55</v>
      </c>
      <c r="C52" s="16" t="s">
        <v>87</v>
      </c>
      <c r="D52" s="14" t="s">
        <v>142</v>
      </c>
      <c r="E52" s="19">
        <v>1914</v>
      </c>
      <c r="F52" s="13">
        <f>SUM(E52*5/1000)</f>
        <v>9.57</v>
      </c>
      <c r="G52" s="13">
        <v>1213.55</v>
      </c>
      <c r="H52" s="13">
        <f t="shared" si="5"/>
        <v>11.613673500000001</v>
      </c>
      <c r="I52" s="13">
        <f>F52/5*G52</f>
        <v>2322.7347</v>
      </c>
      <c r="J52" s="25"/>
      <c r="L52" s="20"/>
      <c r="M52" s="21"/>
      <c r="N52" s="22"/>
    </row>
    <row r="53" spans="1:22" ht="31.5" hidden="1" customHeight="1">
      <c r="A53" s="31">
        <v>16</v>
      </c>
      <c r="B53" s="14" t="s">
        <v>89</v>
      </c>
      <c r="C53" s="16" t="s">
        <v>87</v>
      </c>
      <c r="D53" s="14" t="s">
        <v>42</v>
      </c>
      <c r="E53" s="19">
        <v>1914</v>
      </c>
      <c r="F53" s="13">
        <f>SUM(E53*2/1000)</f>
        <v>3.8279999999999998</v>
      </c>
      <c r="G53" s="13">
        <v>1213.55</v>
      </c>
      <c r="H53" s="13">
        <f t="shared" si="5"/>
        <v>4.6454693999999996</v>
      </c>
      <c r="I53" s="13">
        <f>F53/2*G53</f>
        <v>2322.7347</v>
      </c>
      <c r="J53" s="25"/>
      <c r="L53" s="20"/>
      <c r="M53" s="21"/>
      <c r="N53" s="22"/>
    </row>
    <row r="54" spans="1:22" ht="31.5" hidden="1" customHeight="1">
      <c r="A54" s="31">
        <v>17</v>
      </c>
      <c r="B54" s="14" t="s">
        <v>90</v>
      </c>
      <c r="C54" s="16" t="s">
        <v>38</v>
      </c>
      <c r="D54" s="14" t="s">
        <v>42</v>
      </c>
      <c r="E54" s="19">
        <v>20</v>
      </c>
      <c r="F54" s="13">
        <f>SUM(E54*2/100)</f>
        <v>0.4</v>
      </c>
      <c r="G54" s="13">
        <v>2730.49</v>
      </c>
      <c r="H54" s="13">
        <f>SUM(F54*G54/1000)</f>
        <v>1.0921959999999999</v>
      </c>
      <c r="I54" s="13">
        <f>F54/2*G54</f>
        <v>546.09799999999996</v>
      </c>
      <c r="J54" s="25"/>
      <c r="L54" s="20"/>
      <c r="M54" s="21"/>
      <c r="N54" s="22"/>
    </row>
    <row r="55" spans="1:22" ht="15.75" hidden="1" customHeight="1">
      <c r="A55" s="31">
        <v>18</v>
      </c>
      <c r="B55" s="14" t="s">
        <v>39</v>
      </c>
      <c r="C55" s="16" t="s">
        <v>40</v>
      </c>
      <c r="D55" s="14" t="s">
        <v>42</v>
      </c>
      <c r="E55" s="19">
        <v>1</v>
      </c>
      <c r="F55" s="13">
        <v>0.02</v>
      </c>
      <c r="G55" s="13">
        <v>5652.13</v>
      </c>
      <c r="H55" s="13">
        <f t="shared" si="5"/>
        <v>0.11304260000000001</v>
      </c>
      <c r="I55" s="13">
        <f>F55/2*G55</f>
        <v>56.521300000000004</v>
      </c>
      <c r="J55" s="25"/>
      <c r="L55" s="20"/>
      <c r="M55" s="21"/>
      <c r="N55" s="22"/>
    </row>
    <row r="56" spans="1:22" ht="15.75" customHeight="1">
      <c r="A56" s="31">
        <v>15</v>
      </c>
      <c r="B56" s="14" t="s">
        <v>41</v>
      </c>
      <c r="C56" s="16" t="s">
        <v>106</v>
      </c>
      <c r="D56" s="14" t="s">
        <v>70</v>
      </c>
      <c r="E56" s="19">
        <v>120</v>
      </c>
      <c r="F56" s="13">
        <f>SUM(E56)*3</f>
        <v>360</v>
      </c>
      <c r="G56" s="13">
        <v>65.67</v>
      </c>
      <c r="H56" s="13">
        <f t="shared" si="5"/>
        <v>23.641200000000001</v>
      </c>
      <c r="I56" s="13">
        <f>E56*G56</f>
        <v>7880.4000000000005</v>
      </c>
      <c r="J56" s="25"/>
      <c r="L56" s="20"/>
      <c r="M56" s="21"/>
      <c r="N56" s="22"/>
    </row>
    <row r="57" spans="1:22" ht="15.75" customHeight="1">
      <c r="A57" s="110" t="s">
        <v>136</v>
      </c>
      <c r="B57" s="111"/>
      <c r="C57" s="111"/>
      <c r="D57" s="111"/>
      <c r="E57" s="111"/>
      <c r="F57" s="111"/>
      <c r="G57" s="111"/>
      <c r="H57" s="111"/>
      <c r="I57" s="112"/>
      <c r="J57" s="25"/>
      <c r="L57" s="20"/>
      <c r="M57" s="21"/>
      <c r="N57" s="22"/>
    </row>
    <row r="58" spans="1:22" ht="15.75" customHeight="1">
      <c r="A58" s="31"/>
      <c r="B58" s="71" t="s">
        <v>43</v>
      </c>
      <c r="C58" s="16"/>
      <c r="D58" s="14"/>
      <c r="E58" s="19"/>
      <c r="F58" s="13"/>
      <c r="G58" s="13"/>
      <c r="H58" s="13"/>
      <c r="I58" s="13"/>
      <c r="J58" s="25"/>
      <c r="L58" s="20"/>
    </row>
    <row r="59" spans="1:22" ht="31.5" customHeight="1">
      <c r="A59" s="31">
        <v>16</v>
      </c>
      <c r="B59" s="14" t="s">
        <v>141</v>
      </c>
      <c r="C59" s="16" t="s">
        <v>85</v>
      </c>
      <c r="D59" s="14" t="s">
        <v>107</v>
      </c>
      <c r="E59" s="19">
        <v>66</v>
      </c>
      <c r="F59" s="13">
        <f>SUM(E59*6/100)</f>
        <v>3.96</v>
      </c>
      <c r="G59" s="13">
        <v>1547.28</v>
      </c>
      <c r="H59" s="13">
        <f>SUM(F59*G59/1000)</f>
        <v>6.1272288000000001</v>
      </c>
      <c r="I59" s="13">
        <f>F59/6*G59</f>
        <v>1021.2048</v>
      </c>
    </row>
    <row r="60" spans="1:22" ht="15.75" customHeight="1">
      <c r="A60" s="31"/>
      <c r="B60" s="71" t="s">
        <v>44</v>
      </c>
      <c r="C60" s="16"/>
      <c r="D60" s="14"/>
      <c r="E60" s="19"/>
      <c r="F60" s="13"/>
      <c r="G60" s="13"/>
      <c r="H60" s="13"/>
      <c r="I60" s="13"/>
    </row>
    <row r="61" spans="1:22" ht="15.75" hidden="1" customHeight="1">
      <c r="A61" s="31"/>
      <c r="B61" s="14" t="s">
        <v>120</v>
      </c>
      <c r="C61" s="16" t="s">
        <v>52</v>
      </c>
      <c r="D61" s="14" t="s">
        <v>53</v>
      </c>
      <c r="E61" s="19">
        <v>1387</v>
      </c>
      <c r="F61" s="13">
        <f>E61/100</f>
        <v>13.87</v>
      </c>
      <c r="G61" s="13">
        <v>793.61</v>
      </c>
      <c r="H61" s="13">
        <f>F61*G61/1000</f>
        <v>11.007370699999999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31">
        <v>17</v>
      </c>
      <c r="B62" s="14" t="s">
        <v>121</v>
      </c>
      <c r="C62" s="16" t="s">
        <v>25</v>
      </c>
      <c r="D62" s="14" t="s">
        <v>30</v>
      </c>
      <c r="E62" s="19">
        <v>286.8</v>
      </c>
      <c r="F62" s="13">
        <f>E62*12</f>
        <v>3441.6000000000004</v>
      </c>
      <c r="G62" s="13">
        <v>2.6</v>
      </c>
      <c r="H62" s="13">
        <f>F62*G62/1000</f>
        <v>8.9481600000000014</v>
      </c>
      <c r="I62" s="13">
        <f>F62/12*G62</f>
        <v>745.68000000000006</v>
      </c>
      <c r="J62" s="27"/>
      <c r="K62" s="27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31"/>
      <c r="B63" s="71" t="s">
        <v>128</v>
      </c>
      <c r="C63" s="16"/>
      <c r="D63" s="14"/>
      <c r="E63" s="19"/>
      <c r="F63" s="13"/>
      <c r="G63" s="13"/>
      <c r="H63" s="13"/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31">
        <v>17</v>
      </c>
      <c r="B64" s="14" t="s">
        <v>129</v>
      </c>
      <c r="C64" s="16" t="s">
        <v>106</v>
      </c>
      <c r="D64" s="14" t="s">
        <v>53</v>
      </c>
      <c r="E64" s="19">
        <v>4</v>
      </c>
      <c r="F64" s="13">
        <v>4</v>
      </c>
      <c r="G64" s="13">
        <v>237.75</v>
      </c>
      <c r="H64" s="13">
        <f t="shared" ref="H64" si="6">F64*G64/1000</f>
        <v>0.95099999999999996</v>
      </c>
      <c r="I64" s="13">
        <f>G64</f>
        <v>237.75</v>
      </c>
      <c r="J64" s="5"/>
      <c r="K64" s="5"/>
      <c r="L64" s="5"/>
      <c r="M64" s="5"/>
      <c r="N64" s="5"/>
      <c r="O64" s="5"/>
      <c r="P64" s="5"/>
      <c r="Q64" s="5"/>
      <c r="R64" s="94"/>
      <c r="S64" s="94"/>
      <c r="T64" s="94"/>
      <c r="U64" s="94"/>
    </row>
    <row r="65" spans="1:21" ht="15.75" hidden="1" customHeight="1">
      <c r="A65" s="31"/>
      <c r="B65" s="71" t="s">
        <v>45</v>
      </c>
      <c r="C65" s="16"/>
      <c r="D65" s="14"/>
      <c r="E65" s="19"/>
      <c r="F65" s="13"/>
      <c r="G65" s="13"/>
      <c r="H65" s="13" t="s">
        <v>139</v>
      </c>
      <c r="I65" s="1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hidden="1" customHeight="1">
      <c r="A66" s="31">
        <v>14</v>
      </c>
      <c r="B66" s="14" t="s">
        <v>46</v>
      </c>
      <c r="C66" s="16" t="s">
        <v>106</v>
      </c>
      <c r="D66" s="14" t="s">
        <v>66</v>
      </c>
      <c r="E66" s="19">
        <v>10</v>
      </c>
      <c r="F66" s="13">
        <v>10</v>
      </c>
      <c r="G66" s="13">
        <v>222.4</v>
      </c>
      <c r="H66" s="13">
        <f t="shared" ref="H66:H79" si="7">SUM(F66*G66/1000)</f>
        <v>2.2240000000000002</v>
      </c>
      <c r="I66" s="13">
        <f>G66*2</f>
        <v>444.8</v>
      </c>
    </row>
    <row r="67" spans="1:21" ht="15.75" hidden="1" customHeight="1">
      <c r="A67" s="31"/>
      <c r="B67" s="14" t="s">
        <v>47</v>
      </c>
      <c r="C67" s="16" t="s">
        <v>106</v>
      </c>
      <c r="D67" s="14" t="s">
        <v>66</v>
      </c>
      <c r="E67" s="19">
        <v>5</v>
      </c>
      <c r="F67" s="13">
        <v>5</v>
      </c>
      <c r="G67" s="13">
        <v>76.25</v>
      </c>
      <c r="H67" s="13">
        <f t="shared" si="7"/>
        <v>0.38124999999999998</v>
      </c>
      <c r="I67" s="13">
        <v>0</v>
      </c>
    </row>
    <row r="68" spans="1:21" ht="15.75" hidden="1" customHeight="1">
      <c r="A68" s="31"/>
      <c r="B68" s="14" t="s">
        <v>48</v>
      </c>
      <c r="C68" s="16" t="s">
        <v>108</v>
      </c>
      <c r="D68" s="14" t="s">
        <v>53</v>
      </c>
      <c r="E68" s="19">
        <v>19138</v>
      </c>
      <c r="F68" s="13">
        <f>SUM(E68/100)</f>
        <v>191.38</v>
      </c>
      <c r="G68" s="13">
        <v>212.15</v>
      </c>
      <c r="H68" s="13">
        <f t="shared" si="7"/>
        <v>40.601267</v>
      </c>
      <c r="I68" s="13">
        <f>F68*G68</f>
        <v>40601.267</v>
      </c>
    </row>
    <row r="69" spans="1:21" ht="15.75" hidden="1" customHeight="1">
      <c r="A69" s="31"/>
      <c r="B69" s="14" t="s">
        <v>49</v>
      </c>
      <c r="C69" s="16" t="s">
        <v>109</v>
      </c>
      <c r="D69" s="14"/>
      <c r="E69" s="19">
        <v>19138</v>
      </c>
      <c r="F69" s="13">
        <f>SUM(E69/1000)</f>
        <v>19.138000000000002</v>
      </c>
      <c r="G69" s="13">
        <v>165.21</v>
      </c>
      <c r="H69" s="13">
        <f t="shared" si="7"/>
        <v>3.1617889800000003</v>
      </c>
      <c r="I69" s="13">
        <f t="shared" ref="I69:I73" si="8">F69*G69</f>
        <v>3161.7889800000003</v>
      </c>
    </row>
    <row r="70" spans="1:21" ht="15.75" hidden="1" customHeight="1">
      <c r="A70" s="31"/>
      <c r="B70" s="14" t="s">
        <v>50</v>
      </c>
      <c r="C70" s="16" t="s">
        <v>76</v>
      </c>
      <c r="D70" s="14" t="s">
        <v>53</v>
      </c>
      <c r="E70" s="19">
        <v>2730</v>
      </c>
      <c r="F70" s="13">
        <f>SUM(E70/100)</f>
        <v>27.3</v>
      </c>
      <c r="G70" s="13">
        <v>2074.63</v>
      </c>
      <c r="H70" s="13">
        <f t="shared" si="7"/>
        <v>56.637399000000002</v>
      </c>
      <c r="I70" s="13">
        <f t="shared" si="8"/>
        <v>56637.399000000005</v>
      </c>
    </row>
    <row r="71" spans="1:21" ht="15.75" hidden="1" customHeight="1">
      <c r="A71" s="31"/>
      <c r="B71" s="67" t="s">
        <v>110</v>
      </c>
      <c r="C71" s="16" t="s">
        <v>33</v>
      </c>
      <c r="D71" s="14"/>
      <c r="E71" s="19">
        <v>13</v>
      </c>
      <c r="F71" s="13">
        <f>SUM(E71)</f>
        <v>13</v>
      </c>
      <c r="G71" s="13">
        <v>45.32</v>
      </c>
      <c r="H71" s="13">
        <f t="shared" si="7"/>
        <v>0.58916000000000002</v>
      </c>
      <c r="I71" s="13">
        <f t="shared" si="8"/>
        <v>589.16</v>
      </c>
    </row>
    <row r="72" spans="1:21" ht="15.75" hidden="1" customHeight="1">
      <c r="A72" s="31"/>
      <c r="B72" s="67" t="s">
        <v>111</v>
      </c>
      <c r="C72" s="16" t="s">
        <v>33</v>
      </c>
      <c r="D72" s="14"/>
      <c r="E72" s="19">
        <v>13</v>
      </c>
      <c r="F72" s="13">
        <f>SUM(E72)</f>
        <v>13</v>
      </c>
      <c r="G72" s="13">
        <v>42.28</v>
      </c>
      <c r="H72" s="13">
        <f t="shared" si="7"/>
        <v>0.54964000000000002</v>
      </c>
      <c r="I72" s="13">
        <f t="shared" si="8"/>
        <v>549.64</v>
      </c>
    </row>
    <row r="73" spans="1:21" ht="15.75" hidden="1" customHeight="1">
      <c r="A73" s="31"/>
      <c r="B73" s="14" t="s">
        <v>56</v>
      </c>
      <c r="C73" s="16" t="s">
        <v>57</v>
      </c>
      <c r="D73" s="14" t="s">
        <v>53</v>
      </c>
      <c r="E73" s="19">
        <v>8</v>
      </c>
      <c r="F73" s="13">
        <v>8</v>
      </c>
      <c r="G73" s="13">
        <v>49.88</v>
      </c>
      <c r="H73" s="13">
        <f t="shared" si="7"/>
        <v>0.39904000000000001</v>
      </c>
      <c r="I73" s="13">
        <f t="shared" si="8"/>
        <v>399.04</v>
      </c>
    </row>
    <row r="74" spans="1:21" ht="15.75" hidden="1" customHeight="1">
      <c r="A74" s="31"/>
      <c r="B74" s="71" t="s">
        <v>71</v>
      </c>
      <c r="C74" s="16"/>
      <c r="D74" s="14"/>
      <c r="E74" s="19"/>
      <c r="F74" s="13"/>
      <c r="G74" s="13"/>
      <c r="H74" s="13" t="s">
        <v>139</v>
      </c>
      <c r="I74" s="13"/>
    </row>
    <row r="75" spans="1:21" ht="15.75" hidden="1" customHeight="1">
      <c r="A75" s="31">
        <v>18</v>
      </c>
      <c r="B75" s="14" t="s">
        <v>72</v>
      </c>
      <c r="C75" s="16" t="s">
        <v>74</v>
      </c>
      <c r="D75" s="14"/>
      <c r="E75" s="19">
        <v>4</v>
      </c>
      <c r="F75" s="13">
        <v>0.4</v>
      </c>
      <c r="G75" s="13">
        <v>501.62</v>
      </c>
      <c r="H75" s="13">
        <f t="shared" si="7"/>
        <v>0.20064800000000002</v>
      </c>
      <c r="I75" s="13">
        <f>G75*0.1</f>
        <v>50.162000000000006</v>
      </c>
    </row>
    <row r="76" spans="1:21" ht="15.75" hidden="1" customHeight="1">
      <c r="A76" s="31"/>
      <c r="B76" s="14" t="s">
        <v>73</v>
      </c>
      <c r="C76" s="16" t="s">
        <v>31</v>
      </c>
      <c r="D76" s="14"/>
      <c r="E76" s="19">
        <v>1</v>
      </c>
      <c r="F76" s="13">
        <v>1</v>
      </c>
      <c r="G76" s="13">
        <v>852.99</v>
      </c>
      <c r="H76" s="13">
        <f>F76*G76/1000</f>
        <v>0.85299000000000003</v>
      </c>
      <c r="I76" s="13">
        <v>0</v>
      </c>
    </row>
    <row r="77" spans="1:21" ht="15.75" hidden="1" customHeight="1">
      <c r="A77" s="31"/>
      <c r="B77" s="14" t="s">
        <v>113</v>
      </c>
      <c r="C77" s="16" t="s">
        <v>31</v>
      </c>
      <c r="D77" s="14"/>
      <c r="E77" s="19">
        <v>1</v>
      </c>
      <c r="F77" s="13">
        <v>1</v>
      </c>
      <c r="G77" s="13">
        <v>358.51</v>
      </c>
      <c r="H77" s="13">
        <f>G77*F77/1000</f>
        <v>0.35851</v>
      </c>
      <c r="I77" s="13">
        <v>0</v>
      </c>
    </row>
    <row r="78" spans="1:21" ht="15.75" hidden="1" customHeight="1">
      <c r="A78" s="31"/>
      <c r="B78" s="64" t="s">
        <v>75</v>
      </c>
      <c r="C78" s="16"/>
      <c r="D78" s="14"/>
      <c r="E78" s="19"/>
      <c r="F78" s="13"/>
      <c r="G78" s="13" t="s">
        <v>139</v>
      </c>
      <c r="H78" s="13" t="s">
        <v>139</v>
      </c>
      <c r="I78" s="13"/>
    </row>
    <row r="79" spans="1:21" ht="15.75" hidden="1" customHeight="1">
      <c r="A79" s="31"/>
      <c r="B79" s="44" t="s">
        <v>124</v>
      </c>
      <c r="C79" s="16" t="s">
        <v>76</v>
      </c>
      <c r="D79" s="14"/>
      <c r="E79" s="19"/>
      <c r="F79" s="13">
        <v>0.1</v>
      </c>
      <c r="G79" s="13">
        <v>2759.44</v>
      </c>
      <c r="H79" s="13">
        <f t="shared" si="7"/>
        <v>0.27594400000000002</v>
      </c>
      <c r="I79" s="13">
        <v>0</v>
      </c>
    </row>
    <row r="80" spans="1:21" ht="15.75" hidden="1" customHeight="1">
      <c r="A80" s="31"/>
      <c r="B80" s="71" t="s">
        <v>91</v>
      </c>
      <c r="C80" s="70"/>
      <c r="D80" s="70"/>
      <c r="E80" s="70"/>
      <c r="F80" s="70"/>
      <c r="G80" s="65"/>
      <c r="H80" s="65">
        <f>SUM(H59:H79)</f>
        <v>133.26539648000002</v>
      </c>
      <c r="I80" s="65"/>
    </row>
    <row r="81" spans="1:9" ht="15.75" hidden="1" customHeight="1">
      <c r="A81" s="31">
        <v>15</v>
      </c>
      <c r="B81" s="14" t="s">
        <v>112</v>
      </c>
      <c r="C81" s="16"/>
      <c r="D81" s="14"/>
      <c r="E81" s="19"/>
      <c r="F81" s="13">
        <v>1</v>
      </c>
      <c r="G81" s="13">
        <v>14584.4</v>
      </c>
      <c r="H81" s="13">
        <f>G81*F81/1000</f>
        <v>14.5844</v>
      </c>
      <c r="I81" s="13">
        <v>2083.4</v>
      </c>
    </row>
    <row r="82" spans="1:9" ht="15.75" customHeight="1">
      <c r="A82" s="95" t="s">
        <v>137</v>
      </c>
      <c r="B82" s="96"/>
      <c r="C82" s="96"/>
      <c r="D82" s="96"/>
      <c r="E82" s="96"/>
      <c r="F82" s="96"/>
      <c r="G82" s="96"/>
      <c r="H82" s="96"/>
      <c r="I82" s="97"/>
    </row>
    <row r="83" spans="1:9" ht="15.75" customHeight="1">
      <c r="A83" s="31">
        <v>18</v>
      </c>
      <c r="B83" s="14" t="s">
        <v>114</v>
      </c>
      <c r="C83" s="16" t="s">
        <v>54</v>
      </c>
      <c r="D83" s="59" t="s">
        <v>152</v>
      </c>
      <c r="E83" s="13">
        <v>5367.6</v>
      </c>
      <c r="F83" s="13">
        <f>SUM(E83*12)</f>
        <v>64411.200000000004</v>
      </c>
      <c r="G83" s="13">
        <v>2.1</v>
      </c>
      <c r="H83" s="13">
        <f>SUM(F83*G83/1000)</f>
        <v>135.26352000000003</v>
      </c>
      <c r="I83" s="13">
        <f>F83/12*G83</f>
        <v>11271.960000000001</v>
      </c>
    </row>
    <row r="84" spans="1:9" ht="31.5" customHeight="1">
      <c r="A84" s="31">
        <v>19</v>
      </c>
      <c r="B84" s="14" t="s">
        <v>77</v>
      </c>
      <c r="C84" s="16"/>
      <c r="D84" s="59" t="s">
        <v>152</v>
      </c>
      <c r="E84" s="19">
        <f>E83</f>
        <v>5367.6</v>
      </c>
      <c r="F84" s="13">
        <f>E84*12</f>
        <v>64411.200000000004</v>
      </c>
      <c r="G84" s="13">
        <v>1.63</v>
      </c>
      <c r="H84" s="13">
        <f>F84*G84/1000</f>
        <v>104.99025599999999</v>
      </c>
      <c r="I84" s="13">
        <f>F84/12*G84</f>
        <v>8749.1880000000001</v>
      </c>
    </row>
    <row r="85" spans="1:9" ht="15.75" customHeight="1">
      <c r="A85" s="31"/>
      <c r="B85" s="36" t="s">
        <v>79</v>
      </c>
      <c r="C85" s="64"/>
      <c r="D85" s="68"/>
      <c r="E85" s="65"/>
      <c r="F85" s="65"/>
      <c r="G85" s="65"/>
      <c r="H85" s="65">
        <f>H84</f>
        <v>104.99025599999999</v>
      </c>
      <c r="I85" s="65">
        <f>I16+I17+I18+I20+I21+I24+I27+I28+I40+I41+I42+I43+I45+I52+I56+I59+I62+I83+I84</f>
        <v>69800.781801999998</v>
      </c>
    </row>
    <row r="86" spans="1:9" ht="15.75" customHeight="1">
      <c r="A86" s="106" t="s">
        <v>59</v>
      </c>
      <c r="B86" s="107"/>
      <c r="C86" s="107"/>
      <c r="D86" s="107"/>
      <c r="E86" s="107"/>
      <c r="F86" s="107"/>
      <c r="G86" s="107"/>
      <c r="H86" s="107"/>
      <c r="I86" s="108"/>
    </row>
    <row r="87" spans="1:9" ht="15.75" customHeight="1">
      <c r="A87" s="31">
        <v>20</v>
      </c>
      <c r="B87" s="47" t="s">
        <v>122</v>
      </c>
      <c r="C87" s="63" t="s">
        <v>106</v>
      </c>
      <c r="D87" s="44"/>
      <c r="E87" s="13"/>
      <c r="F87" s="13">
        <v>732</v>
      </c>
      <c r="G87" s="13">
        <v>53.42</v>
      </c>
      <c r="H87" s="13">
        <f t="shared" ref="H87" si="9">G87*F87/1000</f>
        <v>39.103439999999999</v>
      </c>
      <c r="I87" s="13">
        <f>G87*61</f>
        <v>3258.62</v>
      </c>
    </row>
    <row r="88" spans="1:9" ht="15.75" customHeight="1">
      <c r="A88" s="31">
        <v>21</v>
      </c>
      <c r="B88" s="50" t="s">
        <v>186</v>
      </c>
      <c r="C88" s="51" t="s">
        <v>131</v>
      </c>
      <c r="D88" s="83"/>
      <c r="E88" s="35"/>
      <c r="F88" s="35">
        <f>58/3</f>
        <v>19.333333333333332</v>
      </c>
      <c r="G88" s="35">
        <v>1120.8900000000001</v>
      </c>
      <c r="H88" s="84">
        <f>G88*F88/1000</f>
        <v>21.670540000000003</v>
      </c>
      <c r="I88" s="13">
        <f>G88*(10/3)</f>
        <v>3736.3000000000006</v>
      </c>
    </row>
    <row r="89" spans="1:9" ht="15.75" customHeight="1">
      <c r="A89" s="31">
        <v>22</v>
      </c>
      <c r="B89" s="48" t="s">
        <v>211</v>
      </c>
      <c r="C89" s="49" t="s">
        <v>106</v>
      </c>
      <c r="D89" s="44"/>
      <c r="E89" s="35"/>
      <c r="F89" s="35">
        <v>1</v>
      </c>
      <c r="G89" s="35">
        <v>108</v>
      </c>
      <c r="H89" s="84">
        <f>G89*F89/1000</f>
        <v>0.108</v>
      </c>
      <c r="I89" s="13">
        <f>G89</f>
        <v>108</v>
      </c>
    </row>
    <row r="90" spans="1:9" ht="15.75" customHeight="1">
      <c r="A90" s="31">
        <v>23</v>
      </c>
      <c r="B90" s="48" t="s">
        <v>210</v>
      </c>
      <c r="C90" s="49" t="s">
        <v>106</v>
      </c>
      <c r="D90" s="83"/>
      <c r="E90" s="35"/>
      <c r="F90" s="35">
        <v>3</v>
      </c>
      <c r="G90" s="35">
        <v>112</v>
      </c>
      <c r="H90" s="84">
        <f t="shared" ref="H90" si="10">G90*F90/1000</f>
        <v>0.33600000000000002</v>
      </c>
      <c r="I90" s="13">
        <f>G90*3</f>
        <v>336</v>
      </c>
    </row>
    <row r="91" spans="1:9" ht="15.75" customHeight="1">
      <c r="A91" s="31"/>
      <c r="B91" s="42" t="s">
        <v>51</v>
      </c>
      <c r="C91" s="38"/>
      <c r="D91" s="45"/>
      <c r="E91" s="38">
        <v>1</v>
      </c>
      <c r="F91" s="38"/>
      <c r="G91" s="38"/>
      <c r="H91" s="38"/>
      <c r="I91" s="33">
        <f>SUM(I87:I90)</f>
        <v>7438.92</v>
      </c>
    </row>
    <row r="92" spans="1:9" ht="15.75" customHeight="1">
      <c r="A92" s="31"/>
      <c r="B92" s="44" t="s">
        <v>78</v>
      </c>
      <c r="C92" s="15"/>
      <c r="D92" s="15"/>
      <c r="E92" s="39"/>
      <c r="F92" s="39"/>
      <c r="G92" s="40"/>
      <c r="H92" s="40"/>
      <c r="I92" s="18">
        <v>0</v>
      </c>
    </row>
    <row r="93" spans="1:9" ht="15.75" customHeight="1">
      <c r="A93" s="46"/>
      <c r="B93" s="43" t="s">
        <v>161</v>
      </c>
      <c r="C93" s="34"/>
      <c r="D93" s="34"/>
      <c r="E93" s="34"/>
      <c r="F93" s="34"/>
      <c r="G93" s="34"/>
      <c r="H93" s="34"/>
      <c r="I93" s="41">
        <f>I85+I91</f>
        <v>77239.701801999996</v>
      </c>
    </row>
    <row r="94" spans="1:9" ht="15.75" customHeight="1">
      <c r="A94" s="98" t="s">
        <v>223</v>
      </c>
      <c r="B94" s="98"/>
      <c r="C94" s="98"/>
      <c r="D94" s="98"/>
      <c r="E94" s="98"/>
      <c r="F94" s="98"/>
      <c r="G94" s="98"/>
      <c r="H94" s="98"/>
      <c r="I94" s="98"/>
    </row>
    <row r="95" spans="1:9" ht="15.75">
      <c r="A95" s="58"/>
      <c r="B95" s="99" t="s">
        <v>224</v>
      </c>
      <c r="C95" s="99"/>
      <c r="D95" s="99"/>
      <c r="E95" s="99"/>
      <c r="F95" s="99"/>
      <c r="G95" s="99"/>
      <c r="H95" s="62"/>
      <c r="I95" s="3"/>
    </row>
    <row r="96" spans="1:9" ht="15.75" customHeight="1">
      <c r="A96" s="73"/>
      <c r="B96" s="100" t="s">
        <v>6</v>
      </c>
      <c r="C96" s="100"/>
      <c r="D96" s="100"/>
      <c r="E96" s="100"/>
      <c r="F96" s="100"/>
      <c r="G96" s="100"/>
      <c r="H96" s="26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01" t="s">
        <v>7</v>
      </c>
      <c r="B98" s="101"/>
      <c r="C98" s="101"/>
      <c r="D98" s="101"/>
      <c r="E98" s="101"/>
      <c r="F98" s="101"/>
      <c r="G98" s="101"/>
      <c r="H98" s="101"/>
      <c r="I98" s="101"/>
    </row>
    <row r="99" spans="1:9" ht="15.75" customHeight="1">
      <c r="A99" s="101" t="s">
        <v>8</v>
      </c>
      <c r="B99" s="101"/>
      <c r="C99" s="101"/>
      <c r="D99" s="101"/>
      <c r="E99" s="101"/>
      <c r="F99" s="101"/>
      <c r="G99" s="101"/>
      <c r="H99" s="101"/>
      <c r="I99" s="101"/>
    </row>
    <row r="100" spans="1:9" ht="15.75">
      <c r="A100" s="102" t="s">
        <v>60</v>
      </c>
      <c r="B100" s="102"/>
      <c r="C100" s="102"/>
      <c r="D100" s="102"/>
      <c r="E100" s="102"/>
      <c r="F100" s="102"/>
      <c r="G100" s="102"/>
      <c r="H100" s="102"/>
      <c r="I100" s="102"/>
    </row>
    <row r="101" spans="1:9" ht="15.75" customHeight="1">
      <c r="A101" s="11"/>
    </row>
    <row r="102" spans="1:9" ht="15.75" customHeight="1">
      <c r="A102" s="103" t="s">
        <v>9</v>
      </c>
      <c r="B102" s="103"/>
      <c r="C102" s="103"/>
      <c r="D102" s="103"/>
      <c r="E102" s="103"/>
      <c r="F102" s="103"/>
      <c r="G102" s="103"/>
      <c r="H102" s="103"/>
      <c r="I102" s="103"/>
    </row>
    <row r="103" spans="1:9" ht="15.75" customHeight="1">
      <c r="A103" s="4"/>
    </row>
    <row r="104" spans="1:9" ht="15.75">
      <c r="B104" s="75" t="s">
        <v>10</v>
      </c>
      <c r="C104" s="104" t="s">
        <v>132</v>
      </c>
      <c r="D104" s="104"/>
      <c r="E104" s="104"/>
      <c r="F104" s="60"/>
      <c r="I104" s="76"/>
    </row>
    <row r="105" spans="1:9" ht="15.75" customHeight="1">
      <c r="A105" s="73"/>
      <c r="C105" s="100" t="s">
        <v>11</v>
      </c>
      <c r="D105" s="100"/>
      <c r="E105" s="100"/>
      <c r="F105" s="26"/>
      <c r="I105" s="74" t="s">
        <v>12</v>
      </c>
    </row>
    <row r="106" spans="1:9" ht="15.75" customHeight="1">
      <c r="A106" s="27"/>
      <c r="C106" s="12"/>
      <c r="D106" s="12"/>
      <c r="G106" s="12"/>
      <c r="H106" s="12"/>
    </row>
    <row r="107" spans="1:9" ht="15.75" customHeight="1">
      <c r="B107" s="75" t="s">
        <v>13</v>
      </c>
      <c r="C107" s="105"/>
      <c r="D107" s="105"/>
      <c r="E107" s="105"/>
      <c r="F107" s="61"/>
      <c r="I107" s="76"/>
    </row>
    <row r="108" spans="1:9" ht="15.75" customHeight="1">
      <c r="A108" s="73"/>
      <c r="C108" s="94" t="s">
        <v>11</v>
      </c>
      <c r="D108" s="94"/>
      <c r="E108" s="94"/>
      <c r="F108" s="73"/>
      <c r="I108" s="74" t="s">
        <v>12</v>
      </c>
    </row>
    <row r="109" spans="1:9" ht="15.75">
      <c r="A109" s="4" t="s">
        <v>14</v>
      </c>
    </row>
    <row r="110" spans="1:9" ht="15.75" customHeight="1">
      <c r="A110" s="92" t="s">
        <v>15</v>
      </c>
      <c r="B110" s="92"/>
      <c r="C110" s="92"/>
      <c r="D110" s="92"/>
      <c r="E110" s="92"/>
      <c r="F110" s="92"/>
      <c r="G110" s="92"/>
      <c r="H110" s="92"/>
      <c r="I110" s="92"/>
    </row>
    <row r="111" spans="1:9" ht="45" customHeight="1">
      <c r="A111" s="93" t="s">
        <v>16</v>
      </c>
      <c r="B111" s="93"/>
      <c r="C111" s="93"/>
      <c r="D111" s="93"/>
      <c r="E111" s="93"/>
      <c r="F111" s="93"/>
      <c r="G111" s="93"/>
      <c r="H111" s="93"/>
      <c r="I111" s="93"/>
    </row>
    <row r="112" spans="1:9" ht="30" customHeight="1">
      <c r="A112" s="93" t="s">
        <v>17</v>
      </c>
      <c r="B112" s="93"/>
      <c r="C112" s="93"/>
      <c r="D112" s="93"/>
      <c r="E112" s="93"/>
      <c r="F112" s="93"/>
      <c r="G112" s="93"/>
      <c r="H112" s="93"/>
      <c r="I112" s="93"/>
    </row>
    <row r="113" spans="1:9" ht="30" customHeight="1">
      <c r="A113" s="93" t="s">
        <v>21</v>
      </c>
      <c r="B113" s="93"/>
      <c r="C113" s="93"/>
      <c r="D113" s="93"/>
      <c r="E113" s="93"/>
      <c r="F113" s="93"/>
      <c r="G113" s="93"/>
      <c r="H113" s="93"/>
      <c r="I113" s="93"/>
    </row>
    <row r="114" spans="1:9" ht="15" customHeight="1">
      <c r="A114" s="93" t="s">
        <v>20</v>
      </c>
      <c r="B114" s="93"/>
      <c r="C114" s="93"/>
      <c r="D114" s="93"/>
      <c r="E114" s="93"/>
      <c r="F114" s="93"/>
      <c r="G114" s="93"/>
      <c r="H114" s="93"/>
      <c r="I114" s="93"/>
    </row>
  </sheetData>
  <autoFilter ref="I12:I59"/>
  <mergeCells count="29">
    <mergeCell ref="A110:I110"/>
    <mergeCell ref="A111:I111"/>
    <mergeCell ref="A112:I112"/>
    <mergeCell ref="A113:I113"/>
    <mergeCell ref="A114:I114"/>
    <mergeCell ref="R64:U64"/>
    <mergeCell ref="C108:E108"/>
    <mergeCell ref="A86:I86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2:I82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7:I57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83</v>
      </c>
      <c r="I1" s="28"/>
      <c r="J1" s="1"/>
      <c r="K1" s="1"/>
      <c r="L1" s="1"/>
      <c r="M1" s="1"/>
    </row>
    <row r="2" spans="1:13" ht="15.75">
      <c r="A2" s="30" t="s">
        <v>61</v>
      </c>
      <c r="J2" s="2"/>
      <c r="K2" s="2"/>
      <c r="L2" s="2"/>
      <c r="M2" s="2"/>
    </row>
    <row r="3" spans="1:13" ht="15.75" customHeight="1">
      <c r="A3" s="114" t="s">
        <v>143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212</v>
      </c>
      <c r="B4" s="115"/>
      <c r="C4" s="115"/>
      <c r="D4" s="115"/>
      <c r="E4" s="115"/>
      <c r="F4" s="115"/>
      <c r="G4" s="115"/>
      <c r="H4" s="115"/>
      <c r="I4" s="115"/>
    </row>
    <row r="5" spans="1:13" ht="15.75">
      <c r="A5" s="114" t="s">
        <v>162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>
      <c r="A6" s="2"/>
      <c r="B6" s="57"/>
      <c r="C6" s="57"/>
      <c r="D6" s="57"/>
      <c r="E6" s="57"/>
      <c r="F6" s="57"/>
      <c r="G6" s="57"/>
      <c r="H6" s="57"/>
      <c r="I6" s="32">
        <v>42794</v>
      </c>
      <c r="J6" s="2"/>
      <c r="K6" s="2"/>
      <c r="L6" s="2"/>
      <c r="M6" s="2"/>
    </row>
    <row r="7" spans="1:13" ht="15.75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7" t="s">
        <v>154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18" t="s">
        <v>155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3" t="s">
        <v>58</v>
      </c>
      <c r="B14" s="113"/>
      <c r="C14" s="113"/>
      <c r="D14" s="113"/>
      <c r="E14" s="113"/>
      <c r="F14" s="113"/>
      <c r="G14" s="113"/>
      <c r="H14" s="113"/>
      <c r="I14" s="113"/>
      <c r="J14" s="8"/>
      <c r="K14" s="8"/>
      <c r="L14" s="8"/>
      <c r="M14" s="8"/>
    </row>
    <row r="15" spans="1:13" ht="15" customHeight="1">
      <c r="A15" s="109" t="s">
        <v>4</v>
      </c>
      <c r="B15" s="109"/>
      <c r="C15" s="109"/>
      <c r="D15" s="109"/>
      <c r="E15" s="109"/>
      <c r="F15" s="109"/>
      <c r="G15" s="109"/>
      <c r="H15" s="109"/>
      <c r="I15" s="109"/>
      <c r="J15" s="8"/>
      <c r="K15" s="8"/>
      <c r="L15" s="8"/>
      <c r="M15" s="8"/>
    </row>
    <row r="16" spans="1:13" ht="15.75" customHeight="1">
      <c r="A16" s="31">
        <v>1</v>
      </c>
      <c r="B16" s="14" t="s">
        <v>84</v>
      </c>
      <c r="C16" s="16" t="s">
        <v>85</v>
      </c>
      <c r="D16" s="14" t="s">
        <v>157</v>
      </c>
      <c r="E16" s="19">
        <v>62.28</v>
      </c>
      <c r="F16" s="13">
        <f>SUM(E16*156/100)</f>
        <v>97.156800000000004</v>
      </c>
      <c r="G16" s="13">
        <v>175.38</v>
      </c>
      <c r="H16" s="13">
        <f t="shared" ref="H16:H25" si="0">SUM(F16*G16/1000)</f>
        <v>17.039359584000003</v>
      </c>
      <c r="I16" s="13">
        <f>F16/12*G16</f>
        <v>1419.9466320000001</v>
      </c>
      <c r="J16" s="23"/>
      <c r="K16" s="8"/>
      <c r="L16" s="8"/>
      <c r="M16" s="8"/>
    </row>
    <row r="17" spans="1:13" ht="15.75" customHeight="1">
      <c r="A17" s="31">
        <v>2</v>
      </c>
      <c r="B17" s="14" t="s">
        <v>115</v>
      </c>
      <c r="C17" s="16" t="s">
        <v>85</v>
      </c>
      <c r="D17" s="14" t="s">
        <v>158</v>
      </c>
      <c r="E17" s="19">
        <v>311.42</v>
      </c>
      <c r="F17" s="13">
        <f>SUM(E17*104/100)</f>
        <v>323.8768</v>
      </c>
      <c r="G17" s="13">
        <v>175.38</v>
      </c>
      <c r="H17" s="13">
        <f t="shared" si="0"/>
        <v>56.801513183999994</v>
      </c>
      <c r="I17" s="13">
        <f>F17/12*G17</f>
        <v>4733.4594319999997</v>
      </c>
      <c r="J17" s="24"/>
      <c r="K17" s="8"/>
      <c r="L17" s="8"/>
      <c r="M17" s="8"/>
    </row>
    <row r="18" spans="1:13" ht="15.75" customHeight="1">
      <c r="A18" s="31">
        <v>3</v>
      </c>
      <c r="B18" s="14" t="s">
        <v>116</v>
      </c>
      <c r="C18" s="16" t="s">
        <v>85</v>
      </c>
      <c r="D18" s="14" t="s">
        <v>159</v>
      </c>
      <c r="E18" s="19">
        <v>373.7</v>
      </c>
      <c r="F18" s="13">
        <f>SUM(E18*24/100)</f>
        <v>89.687999999999988</v>
      </c>
      <c r="G18" s="13">
        <v>504.5</v>
      </c>
      <c r="H18" s="13">
        <f t="shared" si="0"/>
        <v>45.247595999999987</v>
      </c>
      <c r="I18" s="13">
        <f>F18/12*G18</f>
        <v>3770.6329999999998</v>
      </c>
      <c r="J18" s="24"/>
      <c r="K18" s="8"/>
      <c r="L18" s="8"/>
      <c r="M18" s="8"/>
    </row>
    <row r="19" spans="1:13" ht="15.75" hidden="1" customHeight="1">
      <c r="A19" s="31"/>
      <c r="B19" s="14" t="s">
        <v>92</v>
      </c>
      <c r="C19" s="16" t="s">
        <v>93</v>
      </c>
      <c r="D19" s="14" t="s">
        <v>94</v>
      </c>
      <c r="E19" s="19">
        <v>38.4</v>
      </c>
      <c r="F19" s="13">
        <f>SUM(E19/10)</f>
        <v>3.84</v>
      </c>
      <c r="G19" s="13">
        <v>170.16</v>
      </c>
      <c r="H19" s="13">
        <f t="shared" si="0"/>
        <v>0.65341439999999995</v>
      </c>
      <c r="I19" s="13">
        <v>0</v>
      </c>
      <c r="J19" s="24"/>
      <c r="K19" s="8"/>
      <c r="L19" s="8"/>
      <c r="M19" s="8"/>
    </row>
    <row r="20" spans="1:13" ht="15.75" customHeight="1">
      <c r="A20" s="31">
        <v>4</v>
      </c>
      <c r="B20" s="14" t="s">
        <v>95</v>
      </c>
      <c r="C20" s="16" t="s">
        <v>85</v>
      </c>
      <c r="D20" s="14" t="s">
        <v>117</v>
      </c>
      <c r="E20" s="19">
        <v>35.04</v>
      </c>
      <c r="F20" s="13">
        <f>SUM(E20*12/100)</f>
        <v>4.2048000000000005</v>
      </c>
      <c r="G20" s="13">
        <v>217.88</v>
      </c>
      <c r="H20" s="13">
        <f t="shared" si="0"/>
        <v>0.91614182399999999</v>
      </c>
      <c r="I20" s="13">
        <f>F20/12*G20</f>
        <v>76.345152000000013</v>
      </c>
      <c r="J20" s="24"/>
      <c r="K20" s="8"/>
      <c r="L20" s="8"/>
      <c r="M20" s="8"/>
    </row>
    <row r="21" spans="1:13" ht="15.75" customHeight="1">
      <c r="A21" s="31">
        <v>5</v>
      </c>
      <c r="B21" s="14" t="s">
        <v>96</v>
      </c>
      <c r="C21" s="16" t="s">
        <v>85</v>
      </c>
      <c r="D21" s="14" t="s">
        <v>30</v>
      </c>
      <c r="E21" s="19">
        <v>9.08</v>
      </c>
      <c r="F21" s="13">
        <f>SUM(E21*12/100)</f>
        <v>1.0896000000000001</v>
      </c>
      <c r="G21" s="13">
        <v>216.12</v>
      </c>
      <c r="H21" s="13">
        <f t="shared" si="0"/>
        <v>0.23548435200000004</v>
      </c>
      <c r="I21" s="13">
        <f>F21/12*G21</f>
        <v>19.623696000000002</v>
      </c>
      <c r="J21" s="24"/>
      <c r="K21" s="8"/>
      <c r="L21" s="8"/>
      <c r="M21" s="8"/>
    </row>
    <row r="22" spans="1:13" ht="15.75" hidden="1" customHeight="1">
      <c r="A22" s="31"/>
      <c r="B22" s="14" t="s">
        <v>97</v>
      </c>
      <c r="C22" s="16" t="s">
        <v>52</v>
      </c>
      <c r="D22" s="14" t="s">
        <v>94</v>
      </c>
      <c r="E22" s="19">
        <v>629</v>
      </c>
      <c r="F22" s="13">
        <f>SUM(E22/100)</f>
        <v>6.29</v>
      </c>
      <c r="G22" s="13">
        <v>269.26</v>
      </c>
      <c r="H22" s="13">
        <f t="shared" si="0"/>
        <v>1.6936453999999999</v>
      </c>
      <c r="I22" s="13">
        <v>0</v>
      </c>
      <c r="J22" s="24"/>
      <c r="K22" s="8"/>
      <c r="L22" s="8"/>
      <c r="M22" s="8"/>
    </row>
    <row r="23" spans="1:13" ht="15.75" hidden="1" customHeight="1">
      <c r="A23" s="31"/>
      <c r="B23" s="14" t="s">
        <v>98</v>
      </c>
      <c r="C23" s="16" t="s">
        <v>52</v>
      </c>
      <c r="D23" s="14" t="s">
        <v>94</v>
      </c>
      <c r="E23" s="19">
        <v>58</v>
      </c>
      <c r="F23" s="13">
        <f>SUM(E23/100)</f>
        <v>0.57999999999999996</v>
      </c>
      <c r="G23" s="13">
        <v>44.29</v>
      </c>
      <c r="H23" s="13">
        <f t="shared" si="0"/>
        <v>2.5688199999999998E-2</v>
      </c>
      <c r="I23" s="13">
        <v>0</v>
      </c>
      <c r="J23" s="24"/>
      <c r="K23" s="8"/>
      <c r="L23" s="8"/>
      <c r="M23" s="8"/>
    </row>
    <row r="24" spans="1:13" ht="15.75" customHeight="1">
      <c r="A24" s="31">
        <v>6</v>
      </c>
      <c r="B24" s="14" t="s">
        <v>99</v>
      </c>
      <c r="C24" s="16" t="s">
        <v>52</v>
      </c>
      <c r="D24" s="14" t="s">
        <v>30</v>
      </c>
      <c r="E24" s="19">
        <v>24</v>
      </c>
      <c r="F24" s="13">
        <f>E24*12/100</f>
        <v>2.88</v>
      </c>
      <c r="G24" s="13">
        <v>389.72</v>
      </c>
      <c r="H24" s="13">
        <f t="shared" si="0"/>
        <v>1.1223936000000001</v>
      </c>
      <c r="I24" s="13">
        <f>F24/12*G24</f>
        <v>93.532800000000009</v>
      </c>
      <c r="J24" s="24"/>
      <c r="K24" s="8"/>
      <c r="L24" s="8"/>
      <c r="M24" s="8"/>
    </row>
    <row r="25" spans="1:13" ht="15.75" hidden="1" customHeight="1">
      <c r="A25" s="31"/>
      <c r="B25" s="14" t="s">
        <v>100</v>
      </c>
      <c r="C25" s="16" t="s">
        <v>52</v>
      </c>
      <c r="D25" s="14" t="s">
        <v>53</v>
      </c>
      <c r="E25" s="19">
        <v>17</v>
      </c>
      <c r="F25" s="13">
        <f>SUM(E25/100)</f>
        <v>0.17</v>
      </c>
      <c r="G25" s="13">
        <v>520.79999999999995</v>
      </c>
      <c r="H25" s="13">
        <f t="shared" si="0"/>
        <v>8.8536000000000004E-2</v>
      </c>
      <c r="I25" s="13">
        <v>0</v>
      </c>
      <c r="J25" s="24"/>
      <c r="K25" s="8"/>
      <c r="L25" s="8"/>
      <c r="M25" s="8"/>
    </row>
    <row r="26" spans="1:13" ht="15.75" hidden="1" customHeight="1">
      <c r="A26" s="31"/>
      <c r="B26" s="14" t="s">
        <v>123</v>
      </c>
      <c r="C26" s="16" t="s">
        <v>52</v>
      </c>
      <c r="D26" s="14" t="s">
        <v>53</v>
      </c>
      <c r="E26" s="19">
        <v>24</v>
      </c>
      <c r="F26" s="13">
        <v>0.24</v>
      </c>
      <c r="G26" s="13">
        <v>216.12</v>
      </c>
      <c r="H26" s="13">
        <f>G26*F26/1000</f>
        <v>5.18688E-2</v>
      </c>
      <c r="I26" s="13">
        <v>0</v>
      </c>
      <c r="J26" s="24"/>
      <c r="K26" s="8"/>
      <c r="L26" s="8"/>
      <c r="M26" s="8"/>
    </row>
    <row r="27" spans="1:13" ht="15.75" customHeight="1">
      <c r="A27" s="31">
        <v>7</v>
      </c>
      <c r="B27" s="14" t="s">
        <v>63</v>
      </c>
      <c r="C27" s="16" t="s">
        <v>33</v>
      </c>
      <c r="D27" s="14" t="s">
        <v>160</v>
      </c>
      <c r="E27" s="19">
        <v>0.1</v>
      </c>
      <c r="F27" s="13">
        <f>SUM(E27*365)</f>
        <v>36.5</v>
      </c>
      <c r="G27" s="13">
        <v>147.03</v>
      </c>
      <c r="H27" s="13">
        <f>SUM(F27*G27/1000)</f>
        <v>5.3665950000000002</v>
      </c>
      <c r="I27" s="13">
        <f>F27/12*G27</f>
        <v>447.21625</v>
      </c>
      <c r="J27" s="25"/>
    </row>
    <row r="28" spans="1:13" ht="15.75" customHeight="1">
      <c r="A28" s="31">
        <v>8</v>
      </c>
      <c r="B28" s="44" t="s">
        <v>23</v>
      </c>
      <c r="C28" s="16" t="s">
        <v>24</v>
      </c>
      <c r="D28" s="14" t="s">
        <v>160</v>
      </c>
      <c r="E28" s="19">
        <v>5367.6</v>
      </c>
      <c r="F28" s="13">
        <f>SUM(E28*12)</f>
        <v>64411.200000000004</v>
      </c>
      <c r="G28" s="13">
        <v>3.18</v>
      </c>
      <c r="H28" s="13">
        <f>SUM(F28*G28/1000)</f>
        <v>204.82761600000003</v>
      </c>
      <c r="I28" s="13">
        <f>F28/12*G28</f>
        <v>17068.968000000001</v>
      </c>
      <c r="J28" s="25"/>
    </row>
    <row r="29" spans="1:13" ht="15" customHeight="1">
      <c r="A29" s="109" t="s">
        <v>82</v>
      </c>
      <c r="B29" s="109"/>
      <c r="C29" s="109"/>
      <c r="D29" s="109"/>
      <c r="E29" s="109"/>
      <c r="F29" s="109"/>
      <c r="G29" s="109"/>
      <c r="H29" s="109"/>
      <c r="I29" s="109"/>
      <c r="J29" s="24"/>
      <c r="K29" s="8"/>
      <c r="L29" s="8"/>
      <c r="M29" s="8"/>
    </row>
    <row r="30" spans="1:13" ht="15.75" hidden="1" customHeight="1">
      <c r="A30" s="31"/>
      <c r="B30" s="56" t="s">
        <v>28</v>
      </c>
      <c r="C30" s="16"/>
      <c r="D30" s="14"/>
      <c r="E30" s="19"/>
      <c r="F30" s="13"/>
      <c r="G30" s="13"/>
      <c r="H30" s="13"/>
      <c r="I30" s="13"/>
      <c r="J30" s="24"/>
      <c r="K30" s="8"/>
      <c r="L30" s="8"/>
      <c r="M30" s="8"/>
    </row>
    <row r="31" spans="1:13" ht="31.5" hidden="1" customHeight="1">
      <c r="A31" s="31">
        <v>9</v>
      </c>
      <c r="B31" s="14" t="s">
        <v>104</v>
      </c>
      <c r="C31" s="16" t="s">
        <v>87</v>
      </c>
      <c r="D31" s="14" t="s">
        <v>101</v>
      </c>
      <c r="E31" s="13">
        <v>748</v>
      </c>
      <c r="F31" s="13">
        <f>SUM(E31*52/1000)</f>
        <v>38.896000000000001</v>
      </c>
      <c r="G31" s="13">
        <v>155.88999999999999</v>
      </c>
      <c r="H31" s="13">
        <f t="shared" ref="H31:H38" si="1">SUM(F31*G31/1000)</f>
        <v>6.063497439999999</v>
      </c>
      <c r="I31" s="13">
        <f t="shared" ref="I31:I35" si="2">F31/6*G31</f>
        <v>1010.5829066666666</v>
      </c>
      <c r="J31" s="24"/>
      <c r="K31" s="8"/>
      <c r="L31" s="8"/>
      <c r="M31" s="8"/>
    </row>
    <row r="32" spans="1:13" ht="31.5" hidden="1" customHeight="1">
      <c r="A32" s="31">
        <v>10</v>
      </c>
      <c r="B32" s="14" t="s">
        <v>119</v>
      </c>
      <c r="C32" s="16" t="s">
        <v>87</v>
      </c>
      <c r="D32" s="14" t="s">
        <v>102</v>
      </c>
      <c r="E32" s="13">
        <v>374</v>
      </c>
      <c r="F32" s="13">
        <f>SUM(E32*78/1000)</f>
        <v>29.172000000000001</v>
      </c>
      <c r="G32" s="13">
        <v>258.63</v>
      </c>
      <c r="H32" s="13">
        <f t="shared" si="1"/>
        <v>7.5447543599999998</v>
      </c>
      <c r="I32" s="13">
        <f t="shared" si="2"/>
        <v>1257.4590599999999</v>
      </c>
      <c r="J32" s="24"/>
      <c r="K32" s="8"/>
      <c r="L32" s="8"/>
      <c r="M32" s="8"/>
    </row>
    <row r="33" spans="1:14" ht="15.75" hidden="1" customHeight="1">
      <c r="A33" s="31"/>
      <c r="B33" s="14" t="s">
        <v>27</v>
      </c>
      <c r="C33" s="16" t="s">
        <v>87</v>
      </c>
      <c r="D33" s="14" t="s">
        <v>53</v>
      </c>
      <c r="E33" s="13">
        <v>748</v>
      </c>
      <c r="F33" s="13">
        <f>SUM(E33/1000)</f>
        <v>0.748</v>
      </c>
      <c r="G33" s="13">
        <v>3020.33</v>
      </c>
      <c r="H33" s="13">
        <f t="shared" si="1"/>
        <v>2.25920684</v>
      </c>
      <c r="I33" s="13">
        <f>F33*G33</f>
        <v>2259.2068399999998</v>
      </c>
      <c r="J33" s="24"/>
      <c r="K33" s="8"/>
      <c r="L33" s="8"/>
      <c r="M33" s="8"/>
    </row>
    <row r="34" spans="1:14" ht="15.75" hidden="1" customHeight="1">
      <c r="A34" s="31">
        <v>11</v>
      </c>
      <c r="B34" s="14" t="s">
        <v>118</v>
      </c>
      <c r="C34" s="16" t="s">
        <v>40</v>
      </c>
      <c r="D34" s="14" t="s">
        <v>62</v>
      </c>
      <c r="E34" s="13">
        <v>1</v>
      </c>
      <c r="F34" s="13">
        <f>E34*155/100</f>
        <v>1.55</v>
      </c>
      <c r="G34" s="13">
        <v>1302.02</v>
      </c>
      <c r="H34" s="13">
        <f>G34*F34/1000</f>
        <v>2.0181309999999999</v>
      </c>
      <c r="I34" s="13">
        <f t="shared" si="2"/>
        <v>336.35516666666672</v>
      </c>
      <c r="J34" s="24"/>
      <c r="K34" s="8"/>
    </row>
    <row r="35" spans="1:14" ht="15.75" hidden="1" customHeight="1">
      <c r="A35" s="31">
        <v>12</v>
      </c>
      <c r="B35" s="14" t="s">
        <v>103</v>
      </c>
      <c r="C35" s="16" t="s">
        <v>31</v>
      </c>
      <c r="D35" s="14" t="s">
        <v>62</v>
      </c>
      <c r="E35" s="66">
        <v>0.33333333333333331</v>
      </c>
      <c r="F35" s="13">
        <f>155/3</f>
        <v>51.666666666666664</v>
      </c>
      <c r="G35" s="13">
        <v>56.69</v>
      </c>
      <c r="H35" s="13">
        <f>SUM(G35*155/3/1000)</f>
        <v>2.9289833333333331</v>
      </c>
      <c r="I35" s="13">
        <f t="shared" si="2"/>
        <v>488.16388888888883</v>
      </c>
      <c r="J35" s="25"/>
    </row>
    <row r="36" spans="1:14" ht="15.75" hidden="1" customHeight="1">
      <c r="A36" s="31"/>
      <c r="B36" s="14" t="s">
        <v>64</v>
      </c>
      <c r="C36" s="16" t="s">
        <v>33</v>
      </c>
      <c r="D36" s="14" t="s">
        <v>66</v>
      </c>
      <c r="E36" s="19"/>
      <c r="F36" s="13">
        <v>2</v>
      </c>
      <c r="G36" s="13">
        <v>191.32</v>
      </c>
      <c r="H36" s="13">
        <f t="shared" si="1"/>
        <v>0.38263999999999998</v>
      </c>
      <c r="I36" s="13">
        <v>0</v>
      </c>
      <c r="J36" s="25"/>
    </row>
    <row r="37" spans="1:14" ht="15.75" hidden="1" customHeight="1">
      <c r="A37" s="31"/>
      <c r="B37" s="14" t="s">
        <v>65</v>
      </c>
      <c r="C37" s="16" t="s">
        <v>32</v>
      </c>
      <c r="D37" s="14" t="s">
        <v>66</v>
      </c>
      <c r="E37" s="19"/>
      <c r="F37" s="13">
        <v>1</v>
      </c>
      <c r="G37" s="13">
        <v>1136.33</v>
      </c>
      <c r="H37" s="13">
        <f t="shared" si="1"/>
        <v>1.1363299999999998</v>
      </c>
      <c r="I37" s="13">
        <v>0</v>
      </c>
      <c r="J37" s="25"/>
    </row>
    <row r="38" spans="1:14" ht="15.75" hidden="1" customHeight="1">
      <c r="A38" s="31"/>
      <c r="B38" s="14" t="s">
        <v>125</v>
      </c>
      <c r="C38" s="16" t="s">
        <v>29</v>
      </c>
      <c r="D38" s="14"/>
      <c r="E38" s="19">
        <v>932.2</v>
      </c>
      <c r="F38" s="13">
        <v>0.93220000000000003</v>
      </c>
      <c r="G38" s="13">
        <v>1305.02</v>
      </c>
      <c r="H38" s="13">
        <f t="shared" si="1"/>
        <v>1.216539644</v>
      </c>
      <c r="I38" s="13">
        <v>0</v>
      </c>
      <c r="J38" s="25"/>
    </row>
    <row r="39" spans="1:14" ht="15.75" customHeight="1">
      <c r="A39" s="31"/>
      <c r="B39" s="56" t="s">
        <v>5</v>
      </c>
      <c r="C39" s="16"/>
      <c r="D39" s="14"/>
      <c r="E39" s="19"/>
      <c r="F39" s="13"/>
      <c r="G39" s="13"/>
      <c r="H39" s="13" t="s">
        <v>139</v>
      </c>
      <c r="I39" s="13"/>
      <c r="J39" s="25"/>
      <c r="L39" s="20"/>
      <c r="M39" s="21"/>
      <c r="N39" s="22"/>
    </row>
    <row r="40" spans="1:14" ht="15.75" customHeight="1">
      <c r="A40" s="31">
        <v>9</v>
      </c>
      <c r="B40" s="14" t="s">
        <v>26</v>
      </c>
      <c r="C40" s="16" t="s">
        <v>32</v>
      </c>
      <c r="D40" s="14"/>
      <c r="E40" s="19"/>
      <c r="F40" s="13">
        <v>6</v>
      </c>
      <c r="G40" s="13">
        <v>1527.22</v>
      </c>
      <c r="H40" s="13">
        <f t="shared" ref="H40:H45" si="3">SUM(F40*G40/1000)</f>
        <v>9.1633200000000006</v>
      </c>
      <c r="I40" s="13">
        <f t="shared" ref="I40:I45" si="4">F40/6*G40</f>
        <v>1527.22</v>
      </c>
      <c r="J40" s="25"/>
      <c r="L40" s="20"/>
      <c r="M40" s="21"/>
      <c r="N40" s="22"/>
    </row>
    <row r="41" spans="1:14" ht="15.75" customHeight="1">
      <c r="A41" s="31">
        <v>10</v>
      </c>
      <c r="B41" s="14" t="s">
        <v>105</v>
      </c>
      <c r="C41" s="16" t="s">
        <v>29</v>
      </c>
      <c r="D41" s="14" t="s">
        <v>126</v>
      </c>
      <c r="E41" s="19">
        <v>374</v>
      </c>
      <c r="F41" s="13">
        <f>E41*26/1000</f>
        <v>9.7240000000000002</v>
      </c>
      <c r="G41" s="13">
        <v>2102.71</v>
      </c>
      <c r="H41" s="13">
        <f>G41*F41/1000</f>
        <v>20.44675204</v>
      </c>
      <c r="I41" s="13">
        <f t="shared" si="4"/>
        <v>3407.792006666667</v>
      </c>
      <c r="J41" s="25"/>
      <c r="L41" s="20"/>
      <c r="M41" s="21"/>
      <c r="N41" s="22"/>
    </row>
    <row r="42" spans="1:14" ht="15.75" customHeight="1">
      <c r="A42" s="31">
        <v>11</v>
      </c>
      <c r="B42" s="14" t="s">
        <v>67</v>
      </c>
      <c r="C42" s="16" t="s">
        <v>29</v>
      </c>
      <c r="D42" s="14" t="s">
        <v>86</v>
      </c>
      <c r="E42" s="13">
        <v>160</v>
      </c>
      <c r="F42" s="13">
        <f>SUM(E42*155/1000)</f>
        <v>24.8</v>
      </c>
      <c r="G42" s="13">
        <v>350.75</v>
      </c>
      <c r="H42" s="13">
        <f t="shared" si="3"/>
        <v>8.6986000000000008</v>
      </c>
      <c r="I42" s="13">
        <f t="shared" si="4"/>
        <v>1449.7666666666669</v>
      </c>
      <c r="J42" s="25"/>
      <c r="L42" s="20"/>
      <c r="M42" s="21"/>
      <c r="N42" s="22"/>
    </row>
    <row r="43" spans="1:14" ht="47.25" customHeight="1">
      <c r="A43" s="31">
        <v>12</v>
      </c>
      <c r="B43" s="14" t="s">
        <v>81</v>
      </c>
      <c r="C43" s="16" t="s">
        <v>87</v>
      </c>
      <c r="D43" s="14" t="s">
        <v>127</v>
      </c>
      <c r="E43" s="13">
        <v>76</v>
      </c>
      <c r="F43" s="13">
        <f>SUM(E43*50/1000)</f>
        <v>3.8</v>
      </c>
      <c r="G43" s="13">
        <v>5803.28</v>
      </c>
      <c r="H43" s="13">
        <f t="shared" si="3"/>
        <v>22.052463999999997</v>
      </c>
      <c r="I43" s="13">
        <f t="shared" si="4"/>
        <v>3675.4106666666662</v>
      </c>
      <c r="J43" s="25"/>
      <c r="L43" s="20"/>
      <c r="M43" s="21"/>
      <c r="N43" s="22"/>
    </row>
    <row r="44" spans="1:14" ht="15.75" hidden="1" customHeight="1">
      <c r="A44" s="31">
        <v>13</v>
      </c>
      <c r="B44" s="14" t="s">
        <v>88</v>
      </c>
      <c r="C44" s="16" t="s">
        <v>87</v>
      </c>
      <c r="D44" s="14" t="s">
        <v>68</v>
      </c>
      <c r="E44" s="13">
        <v>76</v>
      </c>
      <c r="F44" s="13">
        <f>SUM(E44*45/1000)</f>
        <v>3.42</v>
      </c>
      <c r="G44" s="13">
        <v>428.7</v>
      </c>
      <c r="H44" s="13">
        <f t="shared" si="3"/>
        <v>1.466154</v>
      </c>
      <c r="I44" s="13">
        <f t="shared" si="4"/>
        <v>244.35899999999998</v>
      </c>
      <c r="J44" s="25"/>
      <c r="L44" s="20"/>
      <c r="M44" s="21"/>
      <c r="N44" s="22"/>
    </row>
    <row r="45" spans="1:14" ht="15.75" customHeight="1">
      <c r="A45" s="31">
        <v>13</v>
      </c>
      <c r="B45" s="14" t="s">
        <v>69</v>
      </c>
      <c r="C45" s="16" t="s">
        <v>33</v>
      </c>
      <c r="D45" s="14"/>
      <c r="E45" s="19"/>
      <c r="F45" s="13">
        <v>0.9</v>
      </c>
      <c r="G45" s="13">
        <v>798</v>
      </c>
      <c r="H45" s="13">
        <f t="shared" si="3"/>
        <v>0.71820000000000006</v>
      </c>
      <c r="I45" s="13">
        <f t="shared" si="4"/>
        <v>119.69999999999999</v>
      </c>
      <c r="J45" s="25"/>
      <c r="L45" s="20"/>
      <c r="M45" s="21"/>
      <c r="N45" s="22"/>
    </row>
    <row r="46" spans="1:14" ht="15" customHeight="1">
      <c r="A46" s="110" t="s">
        <v>135</v>
      </c>
      <c r="B46" s="111"/>
      <c r="C46" s="111"/>
      <c r="D46" s="111"/>
      <c r="E46" s="111"/>
      <c r="F46" s="111"/>
      <c r="G46" s="111"/>
      <c r="H46" s="111"/>
      <c r="I46" s="112"/>
      <c r="J46" s="25"/>
      <c r="L46" s="20"/>
      <c r="M46" s="21"/>
      <c r="N46" s="22"/>
    </row>
    <row r="47" spans="1:14" ht="15.75" hidden="1" customHeight="1">
      <c r="A47" s="31"/>
      <c r="B47" s="14" t="s">
        <v>140</v>
      </c>
      <c r="C47" s="16" t="s">
        <v>87</v>
      </c>
      <c r="D47" s="14" t="s">
        <v>42</v>
      </c>
      <c r="E47" s="19">
        <v>1099.7</v>
      </c>
      <c r="F47" s="13">
        <f>SUM(E47*2/1000)</f>
        <v>2.1994000000000002</v>
      </c>
      <c r="G47" s="13">
        <v>809.74</v>
      </c>
      <c r="H47" s="13">
        <f t="shared" ref="H47:H56" si="5">SUM(F47*G47/1000)</f>
        <v>1.7809421560000003</v>
      </c>
      <c r="I47" s="13">
        <v>0</v>
      </c>
      <c r="J47" s="25"/>
      <c r="L47" s="20"/>
      <c r="M47" s="21"/>
      <c r="N47" s="22"/>
    </row>
    <row r="48" spans="1:14" ht="15.75" hidden="1" customHeight="1">
      <c r="A48" s="31"/>
      <c r="B48" s="14" t="s">
        <v>35</v>
      </c>
      <c r="C48" s="16" t="s">
        <v>87</v>
      </c>
      <c r="D48" s="14" t="s">
        <v>42</v>
      </c>
      <c r="E48" s="19">
        <v>52</v>
      </c>
      <c r="F48" s="13">
        <f>E48*2/1000</f>
        <v>0.104</v>
      </c>
      <c r="G48" s="13">
        <v>579.48</v>
      </c>
      <c r="H48" s="13">
        <f t="shared" si="5"/>
        <v>6.0265920000000001E-2</v>
      </c>
      <c r="I48" s="13">
        <v>0</v>
      </c>
      <c r="J48" s="25"/>
      <c r="L48" s="20"/>
      <c r="M48" s="21"/>
      <c r="N48" s="22"/>
    </row>
    <row r="49" spans="1:22" ht="15.75" hidden="1" customHeight="1">
      <c r="A49" s="31"/>
      <c r="B49" s="14" t="s">
        <v>36</v>
      </c>
      <c r="C49" s="16" t="s">
        <v>87</v>
      </c>
      <c r="D49" s="14" t="s">
        <v>42</v>
      </c>
      <c r="E49" s="19">
        <v>917.78</v>
      </c>
      <c r="F49" s="13">
        <f>SUM(E49*2/1000)</f>
        <v>1.8355599999999999</v>
      </c>
      <c r="G49" s="13">
        <v>579.48</v>
      </c>
      <c r="H49" s="13">
        <f t="shared" si="5"/>
        <v>1.0636703087999999</v>
      </c>
      <c r="I49" s="13">
        <v>0</v>
      </c>
      <c r="J49" s="25"/>
      <c r="L49" s="20"/>
      <c r="M49" s="21"/>
      <c r="N49" s="22"/>
    </row>
    <row r="50" spans="1:22" ht="15.75" hidden="1" customHeight="1">
      <c r="A50" s="31"/>
      <c r="B50" s="14" t="s">
        <v>37</v>
      </c>
      <c r="C50" s="16" t="s">
        <v>87</v>
      </c>
      <c r="D50" s="14" t="s">
        <v>42</v>
      </c>
      <c r="E50" s="19">
        <v>3930</v>
      </c>
      <c r="F50" s="13">
        <f>SUM(E50*2/1000)</f>
        <v>7.86</v>
      </c>
      <c r="G50" s="13">
        <v>606.77</v>
      </c>
      <c r="H50" s="13">
        <f t="shared" si="5"/>
        <v>4.7692122000000001</v>
      </c>
      <c r="I50" s="13">
        <v>0</v>
      </c>
      <c r="J50" s="25"/>
      <c r="L50" s="20"/>
      <c r="M50" s="21"/>
      <c r="N50" s="22"/>
    </row>
    <row r="51" spans="1:22" ht="15.75" hidden="1" customHeight="1">
      <c r="A51" s="31"/>
      <c r="B51" s="14" t="s">
        <v>34</v>
      </c>
      <c r="C51" s="16" t="s">
        <v>52</v>
      </c>
      <c r="D51" s="14" t="s">
        <v>42</v>
      </c>
      <c r="E51" s="19">
        <v>142.38999999999999</v>
      </c>
      <c r="F51" s="13">
        <f>E51*2/100</f>
        <v>2.8477999999999999</v>
      </c>
      <c r="G51" s="13">
        <v>72.81</v>
      </c>
      <c r="H51" s="13">
        <f>F51*G51/1000</f>
        <v>0.207348318</v>
      </c>
      <c r="I51" s="13">
        <v>0</v>
      </c>
      <c r="J51" s="25"/>
      <c r="L51" s="20"/>
      <c r="M51" s="21"/>
      <c r="N51" s="22"/>
    </row>
    <row r="52" spans="1:22" ht="15.75" customHeight="1">
      <c r="A52" s="31">
        <v>14</v>
      </c>
      <c r="B52" s="14" t="s">
        <v>55</v>
      </c>
      <c r="C52" s="16" t="s">
        <v>87</v>
      </c>
      <c r="D52" s="14" t="s">
        <v>142</v>
      </c>
      <c r="E52" s="19">
        <v>1914</v>
      </c>
      <c r="F52" s="13">
        <f>SUM(E52*5/1000)</f>
        <v>9.57</v>
      </c>
      <c r="G52" s="13">
        <v>1213.55</v>
      </c>
      <c r="H52" s="13">
        <f t="shared" si="5"/>
        <v>11.613673500000001</v>
      </c>
      <c r="I52" s="13">
        <f>F52/5*G52</f>
        <v>2322.7347</v>
      </c>
      <c r="J52" s="25"/>
      <c r="L52" s="20"/>
      <c r="M52" s="21"/>
      <c r="N52" s="22"/>
    </row>
    <row r="53" spans="1:22" ht="31.5" hidden="1" customHeight="1">
      <c r="A53" s="31">
        <v>16</v>
      </c>
      <c r="B53" s="14" t="s">
        <v>89</v>
      </c>
      <c r="C53" s="16" t="s">
        <v>87</v>
      </c>
      <c r="D53" s="14" t="s">
        <v>42</v>
      </c>
      <c r="E53" s="19">
        <v>1914</v>
      </c>
      <c r="F53" s="13">
        <f>SUM(E53*2/1000)</f>
        <v>3.8279999999999998</v>
      </c>
      <c r="G53" s="13">
        <v>1213.55</v>
      </c>
      <c r="H53" s="13">
        <f t="shared" si="5"/>
        <v>4.6454693999999996</v>
      </c>
      <c r="I53" s="13">
        <f>F53/2*G53</f>
        <v>2322.7347</v>
      </c>
      <c r="J53" s="25"/>
      <c r="L53" s="20"/>
      <c r="M53" s="21"/>
      <c r="N53" s="22"/>
    </row>
    <row r="54" spans="1:22" ht="31.5" hidden="1" customHeight="1">
      <c r="A54" s="31">
        <v>17</v>
      </c>
      <c r="B54" s="14" t="s">
        <v>90</v>
      </c>
      <c r="C54" s="16" t="s">
        <v>38</v>
      </c>
      <c r="D54" s="14" t="s">
        <v>42</v>
      </c>
      <c r="E54" s="19">
        <v>20</v>
      </c>
      <c r="F54" s="13">
        <f>SUM(E54*2/100)</f>
        <v>0.4</v>
      </c>
      <c r="G54" s="13">
        <v>2730.49</v>
      </c>
      <c r="H54" s="13">
        <f>SUM(F54*G54/1000)</f>
        <v>1.0921959999999999</v>
      </c>
      <c r="I54" s="13">
        <f>F54/2*G54</f>
        <v>546.09799999999996</v>
      </c>
      <c r="J54" s="25"/>
      <c r="L54" s="20"/>
      <c r="M54" s="21"/>
      <c r="N54" s="22"/>
    </row>
    <row r="55" spans="1:22" ht="15.75" hidden="1" customHeight="1">
      <c r="A55" s="31">
        <v>18</v>
      </c>
      <c r="B55" s="14" t="s">
        <v>39</v>
      </c>
      <c r="C55" s="16" t="s">
        <v>40</v>
      </c>
      <c r="D55" s="14" t="s">
        <v>42</v>
      </c>
      <c r="E55" s="19">
        <v>1</v>
      </c>
      <c r="F55" s="13">
        <v>0.02</v>
      </c>
      <c r="G55" s="13">
        <v>5652.13</v>
      </c>
      <c r="H55" s="13">
        <f t="shared" si="5"/>
        <v>0.11304260000000001</v>
      </c>
      <c r="I55" s="13">
        <f>F55/2*G55</f>
        <v>56.521300000000004</v>
      </c>
      <c r="J55" s="25"/>
      <c r="L55" s="20"/>
      <c r="M55" s="21"/>
      <c r="N55" s="22"/>
    </row>
    <row r="56" spans="1:22" ht="15.75" hidden="1" customHeight="1">
      <c r="A56" s="31">
        <v>19</v>
      </c>
      <c r="B56" s="14" t="s">
        <v>41</v>
      </c>
      <c r="C56" s="16" t="s">
        <v>106</v>
      </c>
      <c r="D56" s="14" t="s">
        <v>70</v>
      </c>
      <c r="E56" s="19">
        <v>120</v>
      </c>
      <c r="F56" s="13">
        <f>SUM(E56)*3</f>
        <v>360</v>
      </c>
      <c r="G56" s="13">
        <v>65.67</v>
      </c>
      <c r="H56" s="13">
        <f t="shared" si="5"/>
        <v>23.641200000000001</v>
      </c>
      <c r="I56" s="13">
        <f>E56*G56</f>
        <v>7880.4000000000005</v>
      </c>
      <c r="J56" s="25"/>
      <c r="L56" s="20"/>
      <c r="M56" s="21"/>
      <c r="N56" s="22"/>
    </row>
    <row r="57" spans="1:22" ht="15.75" customHeight="1">
      <c r="A57" s="110" t="s">
        <v>136</v>
      </c>
      <c r="B57" s="111"/>
      <c r="C57" s="111"/>
      <c r="D57" s="111"/>
      <c r="E57" s="111"/>
      <c r="F57" s="111"/>
      <c r="G57" s="111"/>
      <c r="H57" s="111"/>
      <c r="I57" s="112"/>
      <c r="J57" s="25"/>
      <c r="L57" s="20"/>
      <c r="M57" s="21"/>
      <c r="N57" s="22"/>
    </row>
    <row r="58" spans="1:22" ht="15.75" customHeight="1">
      <c r="A58" s="31"/>
      <c r="B58" s="56" t="s">
        <v>43</v>
      </c>
      <c r="C58" s="16"/>
      <c r="D58" s="14"/>
      <c r="E58" s="19"/>
      <c r="F58" s="13"/>
      <c r="G58" s="13"/>
      <c r="H58" s="13"/>
      <c r="I58" s="13"/>
      <c r="J58" s="25"/>
      <c r="L58" s="20"/>
    </row>
    <row r="59" spans="1:22" ht="31.5" customHeight="1">
      <c r="A59" s="31">
        <v>15</v>
      </c>
      <c r="B59" s="14" t="s">
        <v>141</v>
      </c>
      <c r="C59" s="16" t="s">
        <v>85</v>
      </c>
      <c r="D59" s="14" t="s">
        <v>107</v>
      </c>
      <c r="E59" s="19">
        <v>66</v>
      </c>
      <c r="F59" s="13">
        <f>SUM(E59*6/100)</f>
        <v>3.96</v>
      </c>
      <c r="G59" s="13">
        <v>1547.28</v>
      </c>
      <c r="H59" s="13">
        <f>SUM(F59*G59/1000)</f>
        <v>6.1272288000000001</v>
      </c>
      <c r="I59" s="13">
        <f>F59/6*G59</f>
        <v>1021.2048</v>
      </c>
    </row>
    <row r="60" spans="1:22" ht="15.75" customHeight="1">
      <c r="A60" s="31"/>
      <c r="B60" s="56" t="s">
        <v>44</v>
      </c>
      <c r="C60" s="16"/>
      <c r="D60" s="14"/>
      <c r="E60" s="19"/>
      <c r="F60" s="13"/>
      <c r="G60" s="13"/>
      <c r="H60" s="13"/>
      <c r="I60" s="13"/>
    </row>
    <row r="61" spans="1:22" ht="15.75" hidden="1" customHeight="1">
      <c r="A61" s="31"/>
      <c r="B61" s="14" t="s">
        <v>120</v>
      </c>
      <c r="C61" s="16" t="s">
        <v>52</v>
      </c>
      <c r="D61" s="14" t="s">
        <v>53</v>
      </c>
      <c r="E61" s="19">
        <v>1387</v>
      </c>
      <c r="F61" s="13">
        <f>E61/100</f>
        <v>13.87</v>
      </c>
      <c r="G61" s="13">
        <v>793.61</v>
      </c>
      <c r="H61" s="13">
        <f>F61*G61/1000</f>
        <v>11.007370699999999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31">
        <v>16</v>
      </c>
      <c r="B62" s="14" t="s">
        <v>121</v>
      </c>
      <c r="C62" s="16" t="s">
        <v>25</v>
      </c>
      <c r="D62" s="14" t="s">
        <v>30</v>
      </c>
      <c r="E62" s="19">
        <v>286.8</v>
      </c>
      <c r="F62" s="13">
        <f>E62*12</f>
        <v>3441.6000000000004</v>
      </c>
      <c r="G62" s="13">
        <v>2.6</v>
      </c>
      <c r="H62" s="13">
        <f>F62*G62/1000</f>
        <v>8.9481600000000014</v>
      </c>
      <c r="I62" s="13">
        <f>F62/12*G62</f>
        <v>745.68000000000006</v>
      </c>
      <c r="J62" s="27"/>
      <c r="K62" s="27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31"/>
      <c r="B63" s="56" t="s">
        <v>128</v>
      </c>
      <c r="C63" s="16"/>
      <c r="D63" s="14"/>
      <c r="E63" s="19"/>
      <c r="F63" s="13"/>
      <c r="G63" s="13"/>
      <c r="H63" s="13"/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31"/>
      <c r="B64" s="14" t="s">
        <v>129</v>
      </c>
      <c r="C64" s="16" t="s">
        <v>106</v>
      </c>
      <c r="D64" s="14" t="s">
        <v>53</v>
      </c>
      <c r="E64" s="19">
        <v>4</v>
      </c>
      <c r="F64" s="13">
        <v>4</v>
      </c>
      <c r="G64" s="13">
        <v>237.75</v>
      </c>
      <c r="H64" s="13">
        <f t="shared" ref="H64" si="6">F64*G64/1000</f>
        <v>0.95099999999999996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94"/>
      <c r="S64" s="94"/>
      <c r="T64" s="94"/>
      <c r="U64" s="94"/>
    </row>
    <row r="65" spans="1:21" ht="15.75" customHeight="1">
      <c r="A65" s="31"/>
      <c r="B65" s="56" t="s">
        <v>45</v>
      </c>
      <c r="C65" s="16"/>
      <c r="D65" s="14"/>
      <c r="E65" s="19"/>
      <c r="F65" s="13"/>
      <c r="G65" s="13"/>
      <c r="H65" s="13" t="s">
        <v>139</v>
      </c>
      <c r="I65" s="1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customHeight="1">
      <c r="A66" s="31">
        <v>17</v>
      </c>
      <c r="B66" s="14" t="s">
        <v>46</v>
      </c>
      <c r="C66" s="16" t="s">
        <v>106</v>
      </c>
      <c r="D66" s="14" t="s">
        <v>66</v>
      </c>
      <c r="E66" s="19">
        <v>10</v>
      </c>
      <c r="F66" s="13">
        <v>10</v>
      </c>
      <c r="G66" s="13">
        <v>222.4</v>
      </c>
      <c r="H66" s="13">
        <f t="shared" ref="H66:H79" si="7">SUM(F66*G66/1000)</f>
        <v>2.2240000000000002</v>
      </c>
      <c r="I66" s="13">
        <f>G66*2</f>
        <v>444.8</v>
      </c>
    </row>
    <row r="67" spans="1:21" ht="15.75" hidden="1" customHeight="1">
      <c r="A67" s="31"/>
      <c r="B67" s="14" t="s">
        <v>47</v>
      </c>
      <c r="C67" s="16" t="s">
        <v>106</v>
      </c>
      <c r="D67" s="14" t="s">
        <v>66</v>
      </c>
      <c r="E67" s="19">
        <v>5</v>
      </c>
      <c r="F67" s="13">
        <v>5</v>
      </c>
      <c r="G67" s="13">
        <v>76.25</v>
      </c>
      <c r="H67" s="13">
        <f t="shared" si="7"/>
        <v>0.38124999999999998</v>
      </c>
      <c r="I67" s="13">
        <v>0</v>
      </c>
    </row>
    <row r="68" spans="1:21" ht="15.75" hidden="1" customHeight="1">
      <c r="A68" s="31"/>
      <c r="B68" s="14" t="s">
        <v>48</v>
      </c>
      <c r="C68" s="16" t="s">
        <v>108</v>
      </c>
      <c r="D68" s="14" t="s">
        <v>53</v>
      </c>
      <c r="E68" s="19">
        <v>19138</v>
      </c>
      <c r="F68" s="13">
        <f>SUM(E68/100)</f>
        <v>191.38</v>
      </c>
      <c r="G68" s="13">
        <v>212.15</v>
      </c>
      <c r="H68" s="13">
        <f t="shared" si="7"/>
        <v>40.601267</v>
      </c>
      <c r="I68" s="13">
        <f>F68*G68</f>
        <v>40601.267</v>
      </c>
    </row>
    <row r="69" spans="1:21" ht="15.75" hidden="1" customHeight="1">
      <c r="A69" s="31"/>
      <c r="B69" s="14" t="s">
        <v>49</v>
      </c>
      <c r="C69" s="16" t="s">
        <v>109</v>
      </c>
      <c r="D69" s="14"/>
      <c r="E69" s="19">
        <v>19138</v>
      </c>
      <c r="F69" s="13">
        <f>SUM(E69/1000)</f>
        <v>19.138000000000002</v>
      </c>
      <c r="G69" s="13">
        <v>165.21</v>
      </c>
      <c r="H69" s="13">
        <f t="shared" si="7"/>
        <v>3.1617889800000003</v>
      </c>
      <c r="I69" s="13">
        <f t="shared" ref="I69:I73" si="8">F69*G69</f>
        <v>3161.7889800000003</v>
      </c>
    </row>
    <row r="70" spans="1:21" ht="15.75" hidden="1" customHeight="1">
      <c r="A70" s="31"/>
      <c r="B70" s="14" t="s">
        <v>50</v>
      </c>
      <c r="C70" s="16" t="s">
        <v>76</v>
      </c>
      <c r="D70" s="14" t="s">
        <v>53</v>
      </c>
      <c r="E70" s="19">
        <v>2730</v>
      </c>
      <c r="F70" s="13">
        <f>SUM(E70/100)</f>
        <v>27.3</v>
      </c>
      <c r="G70" s="13">
        <v>2074.63</v>
      </c>
      <c r="H70" s="13">
        <f t="shared" si="7"/>
        <v>56.637399000000002</v>
      </c>
      <c r="I70" s="13">
        <f t="shared" si="8"/>
        <v>56637.399000000005</v>
      </c>
    </row>
    <row r="71" spans="1:21" ht="15.75" hidden="1" customHeight="1">
      <c r="A71" s="31"/>
      <c r="B71" s="67" t="s">
        <v>110</v>
      </c>
      <c r="C71" s="16" t="s">
        <v>33</v>
      </c>
      <c r="D71" s="14"/>
      <c r="E71" s="19">
        <v>13</v>
      </c>
      <c r="F71" s="13">
        <f>SUM(E71)</f>
        <v>13</v>
      </c>
      <c r="G71" s="13">
        <v>45.32</v>
      </c>
      <c r="H71" s="13">
        <f t="shared" si="7"/>
        <v>0.58916000000000002</v>
      </c>
      <c r="I71" s="13">
        <f t="shared" si="8"/>
        <v>589.16</v>
      </c>
    </row>
    <row r="72" spans="1:21" ht="15.75" hidden="1" customHeight="1">
      <c r="A72" s="31"/>
      <c r="B72" s="67" t="s">
        <v>111</v>
      </c>
      <c r="C72" s="16" t="s">
        <v>33</v>
      </c>
      <c r="D72" s="14"/>
      <c r="E72" s="19">
        <v>13</v>
      </c>
      <c r="F72" s="13">
        <f>SUM(E72)</f>
        <v>13</v>
      </c>
      <c r="G72" s="13">
        <v>42.28</v>
      </c>
      <c r="H72" s="13">
        <f t="shared" si="7"/>
        <v>0.54964000000000002</v>
      </c>
      <c r="I72" s="13">
        <f t="shared" si="8"/>
        <v>549.64</v>
      </c>
    </row>
    <row r="73" spans="1:21" ht="15.75" hidden="1" customHeight="1">
      <c r="A73" s="31"/>
      <c r="B73" s="14" t="s">
        <v>56</v>
      </c>
      <c r="C73" s="16" t="s">
        <v>57</v>
      </c>
      <c r="D73" s="14" t="s">
        <v>53</v>
      </c>
      <c r="E73" s="19">
        <v>8</v>
      </c>
      <c r="F73" s="13">
        <v>8</v>
      </c>
      <c r="G73" s="13">
        <v>49.88</v>
      </c>
      <c r="H73" s="13">
        <f t="shared" si="7"/>
        <v>0.39904000000000001</v>
      </c>
      <c r="I73" s="13">
        <f t="shared" si="8"/>
        <v>399.04</v>
      </c>
    </row>
    <row r="74" spans="1:21" ht="15.75" hidden="1" customHeight="1">
      <c r="A74" s="31"/>
      <c r="B74" s="56" t="s">
        <v>71</v>
      </c>
      <c r="C74" s="16"/>
      <c r="D74" s="14"/>
      <c r="E74" s="19"/>
      <c r="F74" s="13"/>
      <c r="G74" s="13"/>
      <c r="H74" s="13" t="s">
        <v>139</v>
      </c>
      <c r="I74" s="13"/>
    </row>
    <row r="75" spans="1:21" ht="15.75" hidden="1" customHeight="1">
      <c r="A75" s="31">
        <v>19</v>
      </c>
      <c r="B75" s="14" t="s">
        <v>72</v>
      </c>
      <c r="C75" s="16" t="s">
        <v>74</v>
      </c>
      <c r="D75" s="14"/>
      <c r="E75" s="19">
        <v>4</v>
      </c>
      <c r="F75" s="13">
        <v>0.4</v>
      </c>
      <c r="G75" s="13">
        <v>501.62</v>
      </c>
      <c r="H75" s="13">
        <f t="shared" si="7"/>
        <v>0.20064800000000002</v>
      </c>
      <c r="I75" s="13">
        <f>G75*0.9</f>
        <v>451.45800000000003</v>
      </c>
    </row>
    <row r="76" spans="1:21" ht="15.75" hidden="1" customHeight="1">
      <c r="A76" s="31"/>
      <c r="B76" s="14" t="s">
        <v>73</v>
      </c>
      <c r="C76" s="16" t="s">
        <v>31</v>
      </c>
      <c r="D76" s="14"/>
      <c r="E76" s="19">
        <v>1</v>
      </c>
      <c r="F76" s="13">
        <v>1</v>
      </c>
      <c r="G76" s="13">
        <v>852.99</v>
      </c>
      <c r="H76" s="13">
        <f>F76*G76/1000</f>
        <v>0.85299000000000003</v>
      </c>
      <c r="I76" s="13">
        <v>0</v>
      </c>
    </row>
    <row r="77" spans="1:21" ht="15.75" hidden="1" customHeight="1">
      <c r="A77" s="31"/>
      <c r="B77" s="14" t="s">
        <v>113</v>
      </c>
      <c r="C77" s="16" t="s">
        <v>31</v>
      </c>
      <c r="D77" s="14"/>
      <c r="E77" s="19">
        <v>1</v>
      </c>
      <c r="F77" s="13">
        <v>1</v>
      </c>
      <c r="G77" s="13">
        <v>358.51</v>
      </c>
      <c r="H77" s="13">
        <f>G77*F77/1000</f>
        <v>0.35851</v>
      </c>
      <c r="I77" s="13">
        <v>0</v>
      </c>
    </row>
    <row r="78" spans="1:21" ht="15.75" hidden="1" customHeight="1">
      <c r="A78" s="31"/>
      <c r="B78" s="64" t="s">
        <v>75</v>
      </c>
      <c r="C78" s="16"/>
      <c r="D78" s="14"/>
      <c r="E78" s="19"/>
      <c r="F78" s="13"/>
      <c r="G78" s="13" t="s">
        <v>139</v>
      </c>
      <c r="H78" s="13" t="s">
        <v>139</v>
      </c>
      <c r="I78" s="13"/>
    </row>
    <row r="79" spans="1:21" ht="15.75" hidden="1" customHeight="1">
      <c r="A79" s="31"/>
      <c r="B79" s="44" t="s">
        <v>124</v>
      </c>
      <c r="C79" s="16" t="s">
        <v>76</v>
      </c>
      <c r="D79" s="14"/>
      <c r="E79" s="19"/>
      <c r="F79" s="13">
        <v>0.1</v>
      </c>
      <c r="G79" s="13">
        <v>2759.44</v>
      </c>
      <c r="H79" s="13">
        <f t="shared" si="7"/>
        <v>0.27594400000000002</v>
      </c>
      <c r="I79" s="13">
        <v>0</v>
      </c>
    </row>
    <row r="80" spans="1:21" ht="15.75" hidden="1" customHeight="1">
      <c r="A80" s="31"/>
      <c r="B80" s="56" t="s">
        <v>91</v>
      </c>
      <c r="C80" s="70"/>
      <c r="D80" s="70"/>
      <c r="E80" s="70"/>
      <c r="F80" s="70"/>
      <c r="G80" s="65"/>
      <c r="H80" s="65">
        <f>SUM(H59:H79)</f>
        <v>133.26539648000002</v>
      </c>
      <c r="I80" s="65"/>
    </row>
    <row r="81" spans="1:9" ht="15.75" hidden="1" customHeight="1">
      <c r="A81" s="31"/>
      <c r="B81" s="14" t="s">
        <v>112</v>
      </c>
      <c r="C81" s="16"/>
      <c r="D81" s="14"/>
      <c r="E81" s="19"/>
      <c r="F81" s="13">
        <v>1</v>
      </c>
      <c r="G81" s="13">
        <v>13441.4</v>
      </c>
      <c r="H81" s="13">
        <f>G81*F81/1000</f>
        <v>13.4414</v>
      </c>
      <c r="I81" s="13">
        <v>0</v>
      </c>
    </row>
    <row r="82" spans="1:9" ht="15.75" customHeight="1">
      <c r="A82" s="95" t="s">
        <v>137</v>
      </c>
      <c r="B82" s="96"/>
      <c r="C82" s="96"/>
      <c r="D82" s="96"/>
      <c r="E82" s="96"/>
      <c r="F82" s="96"/>
      <c r="G82" s="96"/>
      <c r="H82" s="96"/>
      <c r="I82" s="97"/>
    </row>
    <row r="83" spans="1:9" ht="15.75" customHeight="1">
      <c r="A83" s="31">
        <v>18</v>
      </c>
      <c r="B83" s="14" t="s">
        <v>114</v>
      </c>
      <c r="C83" s="16" t="s">
        <v>54</v>
      </c>
      <c r="D83" s="59" t="s">
        <v>152</v>
      </c>
      <c r="E83" s="13">
        <v>5367.6</v>
      </c>
      <c r="F83" s="13">
        <f>SUM(E83*12)</f>
        <v>64411.200000000004</v>
      </c>
      <c r="G83" s="13">
        <v>2.1</v>
      </c>
      <c r="H83" s="13">
        <f>SUM(F83*G83/1000)</f>
        <v>135.26352000000003</v>
      </c>
      <c r="I83" s="13">
        <f>F83/12*G83</f>
        <v>11271.960000000001</v>
      </c>
    </row>
    <row r="84" spans="1:9" ht="31.5" customHeight="1">
      <c r="A84" s="31">
        <v>19</v>
      </c>
      <c r="B84" s="14" t="s">
        <v>77</v>
      </c>
      <c r="C84" s="16"/>
      <c r="D84" s="59" t="s">
        <v>152</v>
      </c>
      <c r="E84" s="19">
        <f>E83</f>
        <v>5367.6</v>
      </c>
      <c r="F84" s="13">
        <f>E84*12</f>
        <v>64411.200000000004</v>
      </c>
      <c r="G84" s="13">
        <v>1.63</v>
      </c>
      <c r="H84" s="13">
        <f>F84*G84/1000</f>
        <v>104.99025599999999</v>
      </c>
      <c r="I84" s="13">
        <f>F84/12*G84</f>
        <v>8749.1880000000001</v>
      </c>
    </row>
    <row r="85" spans="1:9" ht="15.75" customHeight="1">
      <c r="A85" s="31"/>
      <c r="B85" s="36" t="s">
        <v>79</v>
      </c>
      <c r="C85" s="64"/>
      <c r="D85" s="68"/>
      <c r="E85" s="65"/>
      <c r="F85" s="65"/>
      <c r="G85" s="65"/>
      <c r="H85" s="65">
        <f>H84</f>
        <v>104.99025599999999</v>
      </c>
      <c r="I85" s="65">
        <f>I16+I17+I18+I20+I21+I24+I27+I28+I40+I41+I42+I43+I45+I52+I59+I62+I66+I83+I84</f>
        <v>62365.181801999999</v>
      </c>
    </row>
    <row r="86" spans="1:9" ht="15.75" customHeight="1">
      <c r="A86" s="106" t="s">
        <v>59</v>
      </c>
      <c r="B86" s="107"/>
      <c r="C86" s="107"/>
      <c r="D86" s="107"/>
      <c r="E86" s="107"/>
      <c r="F86" s="107"/>
      <c r="G86" s="107"/>
      <c r="H86" s="107"/>
      <c r="I86" s="108"/>
    </row>
    <row r="87" spans="1:9" ht="15.75" customHeight="1">
      <c r="A87" s="31">
        <v>20</v>
      </c>
      <c r="B87" s="47" t="s">
        <v>122</v>
      </c>
      <c r="C87" s="63" t="s">
        <v>106</v>
      </c>
      <c r="D87" s="44"/>
      <c r="E87" s="13"/>
      <c r="F87" s="13">
        <v>732</v>
      </c>
      <c r="G87" s="13">
        <v>53.42</v>
      </c>
      <c r="H87" s="13">
        <f t="shared" ref="H87" si="9">G87*F87/1000</f>
        <v>39.103439999999999</v>
      </c>
      <c r="I87" s="13">
        <f>G87*61</f>
        <v>3258.62</v>
      </c>
    </row>
    <row r="88" spans="1:9" ht="31.5" customHeight="1">
      <c r="A88" s="31">
        <v>21</v>
      </c>
      <c r="B88" s="47" t="s">
        <v>163</v>
      </c>
      <c r="C88" s="63" t="s">
        <v>29</v>
      </c>
      <c r="D88" s="14"/>
      <c r="E88" s="19"/>
      <c r="F88" s="17">
        <v>2E-3</v>
      </c>
      <c r="G88" s="13">
        <v>1591.6</v>
      </c>
      <c r="H88" s="77">
        <f>G88*F88/1000</f>
        <v>3.1831999999999997E-3</v>
      </c>
      <c r="I88" s="13">
        <f>G88*0.001</f>
        <v>1.5915999999999999</v>
      </c>
    </row>
    <row r="89" spans="1:9" ht="15.75" customHeight="1">
      <c r="A89" s="31">
        <v>22</v>
      </c>
      <c r="B89" s="78" t="s">
        <v>164</v>
      </c>
      <c r="C89" s="79" t="s">
        <v>106</v>
      </c>
      <c r="D89" s="78"/>
      <c r="E89" s="80"/>
      <c r="F89" s="81">
        <v>2</v>
      </c>
      <c r="G89" s="82">
        <v>86.15</v>
      </c>
      <c r="H89" s="69">
        <f t="shared" ref="H89" si="10">G89*F89/1000</f>
        <v>0.17230000000000001</v>
      </c>
      <c r="I89" s="13">
        <f>G89</f>
        <v>86.15</v>
      </c>
    </row>
    <row r="90" spans="1:9" ht="15.75" customHeight="1">
      <c r="A90" s="31"/>
      <c r="B90" s="42" t="s">
        <v>51</v>
      </c>
      <c r="C90" s="38"/>
      <c r="D90" s="45"/>
      <c r="E90" s="38">
        <v>1</v>
      </c>
      <c r="F90" s="38"/>
      <c r="G90" s="38"/>
      <c r="H90" s="38"/>
      <c r="I90" s="33">
        <f>SUM(I87:I89)</f>
        <v>3346.3616000000002</v>
      </c>
    </row>
    <row r="91" spans="1:9" ht="15.75" customHeight="1">
      <c r="A91" s="31"/>
      <c r="B91" s="44" t="s">
        <v>78</v>
      </c>
      <c r="C91" s="15"/>
      <c r="D91" s="15"/>
      <c r="E91" s="39"/>
      <c r="F91" s="39"/>
      <c r="G91" s="40"/>
      <c r="H91" s="40"/>
      <c r="I91" s="18">
        <v>0</v>
      </c>
    </row>
    <row r="92" spans="1:9" ht="15.75" customHeight="1">
      <c r="A92" s="46"/>
      <c r="B92" s="43" t="s">
        <v>161</v>
      </c>
      <c r="C92" s="34"/>
      <c r="D92" s="34"/>
      <c r="E92" s="34"/>
      <c r="F92" s="34"/>
      <c r="G92" s="34"/>
      <c r="H92" s="34"/>
      <c r="I92" s="41">
        <f>I85+I90</f>
        <v>65711.543401999996</v>
      </c>
    </row>
    <row r="93" spans="1:9" ht="15.75" customHeight="1">
      <c r="A93" s="98" t="s">
        <v>215</v>
      </c>
      <c r="B93" s="98"/>
      <c r="C93" s="98"/>
      <c r="D93" s="98"/>
      <c r="E93" s="98"/>
      <c r="F93" s="98"/>
      <c r="G93" s="98"/>
      <c r="H93" s="98"/>
      <c r="I93" s="98"/>
    </row>
    <row r="94" spans="1:9" ht="15.75">
      <c r="A94" s="58"/>
      <c r="B94" s="99" t="s">
        <v>216</v>
      </c>
      <c r="C94" s="99"/>
      <c r="D94" s="99"/>
      <c r="E94" s="99"/>
      <c r="F94" s="99"/>
      <c r="G94" s="99"/>
      <c r="H94" s="62"/>
      <c r="I94" s="3"/>
    </row>
    <row r="95" spans="1:9" ht="15.75" customHeight="1">
      <c r="A95" s="54"/>
      <c r="B95" s="100" t="s">
        <v>6</v>
      </c>
      <c r="C95" s="100"/>
      <c r="D95" s="100"/>
      <c r="E95" s="100"/>
      <c r="F95" s="100"/>
      <c r="G95" s="100"/>
      <c r="H95" s="26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01" t="s">
        <v>7</v>
      </c>
      <c r="B97" s="101"/>
      <c r="C97" s="101"/>
      <c r="D97" s="101"/>
      <c r="E97" s="101"/>
      <c r="F97" s="101"/>
      <c r="G97" s="101"/>
      <c r="H97" s="101"/>
      <c r="I97" s="101"/>
    </row>
    <row r="98" spans="1:9" ht="15.75" customHeight="1">
      <c r="A98" s="101" t="s">
        <v>8</v>
      </c>
      <c r="B98" s="101"/>
      <c r="C98" s="101"/>
      <c r="D98" s="101"/>
      <c r="E98" s="101"/>
      <c r="F98" s="101"/>
      <c r="G98" s="101"/>
      <c r="H98" s="101"/>
      <c r="I98" s="101"/>
    </row>
    <row r="99" spans="1:9" ht="15.75">
      <c r="A99" s="102" t="s">
        <v>60</v>
      </c>
      <c r="B99" s="102"/>
      <c r="C99" s="102"/>
      <c r="D99" s="102"/>
      <c r="E99" s="102"/>
      <c r="F99" s="102"/>
      <c r="G99" s="102"/>
      <c r="H99" s="102"/>
      <c r="I99" s="102"/>
    </row>
    <row r="100" spans="1:9" ht="15.75" customHeight="1">
      <c r="A100" s="11"/>
    </row>
    <row r="101" spans="1:9" ht="15.75" customHeight="1">
      <c r="A101" s="103" t="s">
        <v>9</v>
      </c>
      <c r="B101" s="103"/>
      <c r="C101" s="103"/>
      <c r="D101" s="103"/>
      <c r="E101" s="103"/>
      <c r="F101" s="103"/>
      <c r="G101" s="103"/>
      <c r="H101" s="103"/>
      <c r="I101" s="103"/>
    </row>
    <row r="102" spans="1:9" ht="15.75" customHeight="1">
      <c r="A102" s="4"/>
    </row>
    <row r="103" spans="1:9" ht="15.75">
      <c r="B103" s="55" t="s">
        <v>10</v>
      </c>
      <c r="C103" s="104" t="s">
        <v>132</v>
      </c>
      <c r="D103" s="104"/>
      <c r="E103" s="104"/>
      <c r="F103" s="60"/>
      <c r="I103" s="53"/>
    </row>
    <row r="104" spans="1:9" ht="15.75" customHeight="1">
      <c r="A104" s="54"/>
      <c r="C104" s="100" t="s">
        <v>11</v>
      </c>
      <c r="D104" s="100"/>
      <c r="E104" s="100"/>
      <c r="F104" s="26"/>
      <c r="I104" s="52" t="s">
        <v>12</v>
      </c>
    </row>
    <row r="105" spans="1:9" ht="15.75" customHeight="1">
      <c r="A105" s="27"/>
      <c r="C105" s="12"/>
      <c r="D105" s="12"/>
      <c r="G105" s="12"/>
      <c r="H105" s="12"/>
    </row>
    <row r="106" spans="1:9" ht="15.75" customHeight="1">
      <c r="B106" s="55" t="s">
        <v>13</v>
      </c>
      <c r="C106" s="105"/>
      <c r="D106" s="105"/>
      <c r="E106" s="105"/>
      <c r="F106" s="61"/>
      <c r="I106" s="53"/>
    </row>
    <row r="107" spans="1:9" ht="15.75" customHeight="1">
      <c r="A107" s="54"/>
      <c r="C107" s="94" t="s">
        <v>11</v>
      </c>
      <c r="D107" s="94"/>
      <c r="E107" s="94"/>
      <c r="F107" s="54"/>
      <c r="I107" s="52" t="s">
        <v>12</v>
      </c>
    </row>
    <row r="108" spans="1:9" ht="15.75">
      <c r="A108" s="4" t="s">
        <v>14</v>
      </c>
    </row>
    <row r="109" spans="1:9" ht="15.75" customHeight="1">
      <c r="A109" s="92" t="s">
        <v>15</v>
      </c>
      <c r="B109" s="92"/>
      <c r="C109" s="92"/>
      <c r="D109" s="92"/>
      <c r="E109" s="92"/>
      <c r="F109" s="92"/>
      <c r="G109" s="92"/>
      <c r="H109" s="92"/>
      <c r="I109" s="92"/>
    </row>
    <row r="110" spans="1:9" ht="45" customHeight="1">
      <c r="A110" s="93" t="s">
        <v>16</v>
      </c>
      <c r="B110" s="93"/>
      <c r="C110" s="93"/>
      <c r="D110" s="93"/>
      <c r="E110" s="93"/>
      <c r="F110" s="93"/>
      <c r="G110" s="93"/>
      <c r="H110" s="93"/>
      <c r="I110" s="93"/>
    </row>
    <row r="111" spans="1:9" ht="30" customHeight="1">
      <c r="A111" s="93" t="s">
        <v>17</v>
      </c>
      <c r="B111" s="93"/>
      <c r="C111" s="93"/>
      <c r="D111" s="93"/>
      <c r="E111" s="93"/>
      <c r="F111" s="93"/>
      <c r="G111" s="93"/>
      <c r="H111" s="93"/>
      <c r="I111" s="93"/>
    </row>
    <row r="112" spans="1:9" ht="30" customHeight="1">
      <c r="A112" s="93" t="s">
        <v>21</v>
      </c>
      <c r="B112" s="93"/>
      <c r="C112" s="93"/>
      <c r="D112" s="93"/>
      <c r="E112" s="93"/>
      <c r="F112" s="93"/>
      <c r="G112" s="93"/>
      <c r="H112" s="93"/>
      <c r="I112" s="93"/>
    </row>
    <row r="113" spans="1:9" ht="15" customHeight="1">
      <c r="A113" s="93" t="s">
        <v>20</v>
      </c>
      <c r="B113" s="93"/>
      <c r="C113" s="93"/>
      <c r="D113" s="93"/>
      <c r="E113" s="93"/>
      <c r="F113" s="93"/>
      <c r="G113" s="93"/>
      <c r="H113" s="93"/>
      <c r="I113" s="93"/>
    </row>
  </sheetData>
  <autoFilter ref="I12:I59"/>
  <mergeCells count="29">
    <mergeCell ref="R64:U64"/>
    <mergeCell ref="A82:I82"/>
    <mergeCell ref="A3:I3"/>
    <mergeCell ref="A4:I4"/>
    <mergeCell ref="A5:I5"/>
    <mergeCell ref="A8:I8"/>
    <mergeCell ref="A10:I10"/>
    <mergeCell ref="A14:I14"/>
    <mergeCell ref="A99:I99"/>
    <mergeCell ref="A15:I15"/>
    <mergeCell ref="A29:I29"/>
    <mergeCell ref="A46:I46"/>
    <mergeCell ref="A57:I57"/>
    <mergeCell ref="A93:I93"/>
    <mergeCell ref="B94:G94"/>
    <mergeCell ref="B95:G95"/>
    <mergeCell ref="A97:I97"/>
    <mergeCell ref="A98:I98"/>
    <mergeCell ref="A86:I86"/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8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83</v>
      </c>
      <c r="I1" s="28"/>
      <c r="J1" s="1"/>
      <c r="K1" s="1"/>
      <c r="L1" s="1"/>
      <c r="M1" s="1"/>
    </row>
    <row r="2" spans="1:13" ht="15.75">
      <c r="A2" s="30" t="s">
        <v>61</v>
      </c>
      <c r="J2" s="2"/>
      <c r="K2" s="2"/>
      <c r="L2" s="2"/>
      <c r="M2" s="2"/>
    </row>
    <row r="3" spans="1:13" ht="15.75" customHeight="1">
      <c r="A3" s="114" t="s">
        <v>144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212</v>
      </c>
      <c r="B4" s="115"/>
      <c r="C4" s="115"/>
      <c r="D4" s="115"/>
      <c r="E4" s="115"/>
      <c r="F4" s="115"/>
      <c r="G4" s="115"/>
      <c r="H4" s="115"/>
      <c r="I4" s="115"/>
    </row>
    <row r="5" spans="1:13" ht="15.75">
      <c r="A5" s="114" t="s">
        <v>165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>
      <c r="A6" s="2"/>
      <c r="B6" s="57"/>
      <c r="C6" s="57"/>
      <c r="D6" s="57"/>
      <c r="E6" s="57"/>
      <c r="F6" s="57"/>
      <c r="G6" s="57"/>
      <c r="H6" s="57"/>
      <c r="I6" s="32">
        <v>42825</v>
      </c>
      <c r="J6" s="2"/>
      <c r="K6" s="2"/>
      <c r="L6" s="2"/>
      <c r="M6" s="2"/>
    </row>
    <row r="7" spans="1:13" ht="15.75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7" t="s">
        <v>154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18" t="s">
        <v>155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3" t="s">
        <v>58</v>
      </c>
      <c r="B14" s="113"/>
      <c r="C14" s="113"/>
      <c r="D14" s="113"/>
      <c r="E14" s="113"/>
      <c r="F14" s="113"/>
      <c r="G14" s="113"/>
      <c r="H14" s="113"/>
      <c r="I14" s="113"/>
      <c r="J14" s="8"/>
      <c r="K14" s="8"/>
      <c r="L14" s="8"/>
      <c r="M14" s="8"/>
    </row>
    <row r="15" spans="1:13" ht="15" customHeight="1">
      <c r="A15" s="109" t="s">
        <v>4</v>
      </c>
      <c r="B15" s="109"/>
      <c r="C15" s="109"/>
      <c r="D15" s="109"/>
      <c r="E15" s="109"/>
      <c r="F15" s="109"/>
      <c r="G15" s="109"/>
      <c r="H15" s="109"/>
      <c r="I15" s="109"/>
      <c r="J15" s="8"/>
      <c r="K15" s="8"/>
      <c r="L15" s="8"/>
      <c r="M15" s="8"/>
    </row>
    <row r="16" spans="1:13" ht="15.75" customHeight="1">
      <c r="A16" s="31">
        <v>1</v>
      </c>
      <c r="B16" s="14" t="s">
        <v>84</v>
      </c>
      <c r="C16" s="16" t="s">
        <v>85</v>
      </c>
      <c r="D16" s="14" t="s">
        <v>157</v>
      </c>
      <c r="E16" s="19">
        <v>62.28</v>
      </c>
      <c r="F16" s="13">
        <f>SUM(E16*156/100)</f>
        <v>97.156800000000004</v>
      </c>
      <c r="G16" s="13">
        <v>175.38</v>
      </c>
      <c r="H16" s="13">
        <f t="shared" ref="H16:H25" si="0">SUM(F16*G16/1000)</f>
        <v>17.039359584000003</v>
      </c>
      <c r="I16" s="13">
        <f>F16/12*G16</f>
        <v>1419.9466320000001</v>
      </c>
      <c r="J16" s="23"/>
      <c r="K16" s="8"/>
      <c r="L16" s="8"/>
      <c r="M16" s="8"/>
    </row>
    <row r="17" spans="1:13" ht="15.75" customHeight="1">
      <c r="A17" s="31">
        <v>2</v>
      </c>
      <c r="B17" s="14" t="s">
        <v>115</v>
      </c>
      <c r="C17" s="16" t="s">
        <v>85</v>
      </c>
      <c r="D17" s="14" t="s">
        <v>158</v>
      </c>
      <c r="E17" s="19">
        <v>311.42</v>
      </c>
      <c r="F17" s="13">
        <f>SUM(E17*104/100)</f>
        <v>323.8768</v>
      </c>
      <c r="G17" s="13">
        <v>175.38</v>
      </c>
      <c r="H17" s="13">
        <f t="shared" si="0"/>
        <v>56.801513183999994</v>
      </c>
      <c r="I17" s="13">
        <f>F17/12*G17</f>
        <v>4733.4594319999997</v>
      </c>
      <c r="J17" s="24"/>
      <c r="K17" s="8"/>
      <c r="L17" s="8"/>
      <c r="M17" s="8"/>
    </row>
    <row r="18" spans="1:13" ht="15.75" customHeight="1">
      <c r="A18" s="31">
        <v>3</v>
      </c>
      <c r="B18" s="14" t="s">
        <v>116</v>
      </c>
      <c r="C18" s="16" t="s">
        <v>85</v>
      </c>
      <c r="D18" s="14" t="s">
        <v>159</v>
      </c>
      <c r="E18" s="19">
        <v>373.7</v>
      </c>
      <c r="F18" s="13">
        <f>SUM(E18*24/100)</f>
        <v>89.687999999999988</v>
      </c>
      <c r="G18" s="13">
        <v>504.5</v>
      </c>
      <c r="H18" s="13">
        <f t="shared" si="0"/>
        <v>45.247595999999987</v>
      </c>
      <c r="I18" s="13">
        <f>F18/12*G18</f>
        <v>3770.6329999999998</v>
      </c>
      <c r="J18" s="24"/>
      <c r="K18" s="8"/>
      <c r="L18" s="8"/>
      <c r="M18" s="8"/>
    </row>
    <row r="19" spans="1:13" ht="15.75" hidden="1" customHeight="1">
      <c r="A19" s="31"/>
      <c r="B19" s="14" t="s">
        <v>92</v>
      </c>
      <c r="C19" s="16" t="s">
        <v>93</v>
      </c>
      <c r="D19" s="14" t="s">
        <v>94</v>
      </c>
      <c r="E19" s="19">
        <v>38.4</v>
      </c>
      <c r="F19" s="13">
        <f>SUM(E19/10)</f>
        <v>3.84</v>
      </c>
      <c r="G19" s="13">
        <v>170.16</v>
      </c>
      <c r="H19" s="13">
        <f t="shared" si="0"/>
        <v>0.65341439999999995</v>
      </c>
      <c r="I19" s="13">
        <v>0</v>
      </c>
      <c r="J19" s="24"/>
      <c r="K19" s="8"/>
      <c r="L19" s="8"/>
      <c r="M19" s="8"/>
    </row>
    <row r="20" spans="1:13" ht="15.75" customHeight="1">
      <c r="A20" s="31">
        <v>4</v>
      </c>
      <c r="B20" s="14" t="s">
        <v>95</v>
      </c>
      <c r="C20" s="16" t="s">
        <v>85</v>
      </c>
      <c r="D20" s="14" t="s">
        <v>117</v>
      </c>
      <c r="E20" s="19">
        <v>35.04</v>
      </c>
      <c r="F20" s="13">
        <f>SUM(E20*12/100)</f>
        <v>4.2048000000000005</v>
      </c>
      <c r="G20" s="13">
        <v>217.88</v>
      </c>
      <c r="H20" s="13">
        <f t="shared" si="0"/>
        <v>0.91614182399999999</v>
      </c>
      <c r="I20" s="13">
        <f>F20/12*G20</f>
        <v>76.345152000000013</v>
      </c>
      <c r="J20" s="24"/>
      <c r="K20" s="8"/>
      <c r="L20" s="8"/>
      <c r="M20" s="8"/>
    </row>
    <row r="21" spans="1:13" ht="15.75" customHeight="1">
      <c r="A21" s="31">
        <v>5</v>
      </c>
      <c r="B21" s="14" t="s">
        <v>96</v>
      </c>
      <c r="C21" s="16" t="s">
        <v>85</v>
      </c>
      <c r="D21" s="14" t="s">
        <v>30</v>
      </c>
      <c r="E21" s="19">
        <v>9.08</v>
      </c>
      <c r="F21" s="13">
        <f>SUM(E21*12/100)</f>
        <v>1.0896000000000001</v>
      </c>
      <c r="G21" s="13">
        <v>216.12</v>
      </c>
      <c r="H21" s="13">
        <f t="shared" si="0"/>
        <v>0.23548435200000004</v>
      </c>
      <c r="I21" s="13">
        <f>F21/12*G21</f>
        <v>19.623696000000002</v>
      </c>
      <c r="J21" s="24"/>
      <c r="K21" s="8"/>
      <c r="L21" s="8"/>
      <c r="M21" s="8"/>
    </row>
    <row r="22" spans="1:13" ht="15.75" hidden="1" customHeight="1">
      <c r="A22" s="31"/>
      <c r="B22" s="14" t="s">
        <v>97</v>
      </c>
      <c r="C22" s="16" t="s">
        <v>52</v>
      </c>
      <c r="D22" s="14" t="s">
        <v>94</v>
      </c>
      <c r="E22" s="19">
        <v>629</v>
      </c>
      <c r="F22" s="13">
        <f>SUM(E22/100)</f>
        <v>6.29</v>
      </c>
      <c r="G22" s="13">
        <v>269.26</v>
      </c>
      <c r="H22" s="13">
        <f t="shared" si="0"/>
        <v>1.6936453999999999</v>
      </c>
      <c r="I22" s="13">
        <v>0</v>
      </c>
      <c r="J22" s="24"/>
      <c r="K22" s="8"/>
      <c r="L22" s="8"/>
      <c r="M22" s="8"/>
    </row>
    <row r="23" spans="1:13" ht="15.75" hidden="1" customHeight="1">
      <c r="A23" s="31"/>
      <c r="B23" s="14" t="s">
        <v>98</v>
      </c>
      <c r="C23" s="16" t="s">
        <v>52</v>
      </c>
      <c r="D23" s="14" t="s">
        <v>94</v>
      </c>
      <c r="E23" s="19">
        <v>58</v>
      </c>
      <c r="F23" s="13">
        <f>SUM(E23/100)</f>
        <v>0.57999999999999996</v>
      </c>
      <c r="G23" s="13">
        <v>44.29</v>
      </c>
      <c r="H23" s="13">
        <f t="shared" si="0"/>
        <v>2.5688199999999998E-2</v>
      </c>
      <c r="I23" s="13">
        <v>0</v>
      </c>
      <c r="J23" s="24"/>
      <c r="K23" s="8"/>
      <c r="L23" s="8"/>
      <c r="M23" s="8"/>
    </row>
    <row r="24" spans="1:13" ht="15.75" customHeight="1">
      <c r="A24" s="31">
        <v>6</v>
      </c>
      <c r="B24" s="14" t="s">
        <v>99</v>
      </c>
      <c r="C24" s="16" t="s">
        <v>52</v>
      </c>
      <c r="D24" s="14" t="s">
        <v>30</v>
      </c>
      <c r="E24" s="19">
        <v>24</v>
      </c>
      <c r="F24" s="13">
        <f>E24*12/100</f>
        <v>2.88</v>
      </c>
      <c r="G24" s="13">
        <v>389.72</v>
      </c>
      <c r="H24" s="13">
        <f t="shared" si="0"/>
        <v>1.1223936000000001</v>
      </c>
      <c r="I24" s="13">
        <f>F24/12*G24</f>
        <v>93.532800000000009</v>
      </c>
      <c r="J24" s="24"/>
      <c r="K24" s="8"/>
      <c r="L24" s="8"/>
      <c r="M24" s="8"/>
    </row>
    <row r="25" spans="1:13" ht="15.75" hidden="1" customHeight="1">
      <c r="A25" s="31"/>
      <c r="B25" s="14" t="s">
        <v>100</v>
      </c>
      <c r="C25" s="16" t="s">
        <v>52</v>
      </c>
      <c r="D25" s="14" t="s">
        <v>53</v>
      </c>
      <c r="E25" s="19">
        <v>17</v>
      </c>
      <c r="F25" s="13">
        <f>SUM(E25/100)</f>
        <v>0.17</v>
      </c>
      <c r="G25" s="13">
        <v>520.79999999999995</v>
      </c>
      <c r="H25" s="13">
        <f t="shared" si="0"/>
        <v>8.8536000000000004E-2</v>
      </c>
      <c r="I25" s="13">
        <v>0</v>
      </c>
      <c r="J25" s="24"/>
      <c r="K25" s="8"/>
      <c r="L25" s="8"/>
      <c r="M25" s="8"/>
    </row>
    <row r="26" spans="1:13" ht="15.75" hidden="1" customHeight="1">
      <c r="A26" s="31"/>
      <c r="B26" s="14" t="s">
        <v>123</v>
      </c>
      <c r="C26" s="16" t="s">
        <v>52</v>
      </c>
      <c r="D26" s="14" t="s">
        <v>53</v>
      </c>
      <c r="E26" s="19">
        <v>24</v>
      </c>
      <c r="F26" s="13">
        <v>0.24</v>
      </c>
      <c r="G26" s="13">
        <v>216.12</v>
      </c>
      <c r="H26" s="13">
        <f>G26*F26/1000</f>
        <v>5.18688E-2</v>
      </c>
      <c r="I26" s="13">
        <v>0</v>
      </c>
      <c r="J26" s="24"/>
      <c r="K26" s="8"/>
      <c r="L26" s="8"/>
      <c r="M26" s="8"/>
    </row>
    <row r="27" spans="1:13" ht="15.75" customHeight="1">
      <c r="A27" s="31">
        <v>7</v>
      </c>
      <c r="B27" s="14" t="s">
        <v>63</v>
      </c>
      <c r="C27" s="16" t="s">
        <v>33</v>
      </c>
      <c r="D27" s="14" t="s">
        <v>160</v>
      </c>
      <c r="E27" s="19">
        <v>0.1</v>
      </c>
      <c r="F27" s="13">
        <f>SUM(E27*365)</f>
        <v>36.5</v>
      </c>
      <c r="G27" s="13">
        <v>147.03</v>
      </c>
      <c r="H27" s="13">
        <f>SUM(F27*G27/1000)</f>
        <v>5.3665950000000002</v>
      </c>
      <c r="I27" s="13">
        <f>F27/12*G27</f>
        <v>447.21625</v>
      </c>
      <c r="J27" s="25"/>
    </row>
    <row r="28" spans="1:13" ht="15.75" customHeight="1">
      <c r="A28" s="31">
        <v>8</v>
      </c>
      <c r="B28" s="44" t="s">
        <v>23</v>
      </c>
      <c r="C28" s="16" t="s">
        <v>24</v>
      </c>
      <c r="D28" s="14" t="s">
        <v>160</v>
      </c>
      <c r="E28" s="19">
        <v>5367.6</v>
      </c>
      <c r="F28" s="13">
        <f>SUM(E28*12)</f>
        <v>64411.200000000004</v>
      </c>
      <c r="G28" s="13">
        <v>3.18</v>
      </c>
      <c r="H28" s="13">
        <f>SUM(F28*G28/1000)</f>
        <v>204.82761600000003</v>
      </c>
      <c r="I28" s="13">
        <f>F28/12*G28</f>
        <v>17068.968000000001</v>
      </c>
      <c r="J28" s="25"/>
    </row>
    <row r="29" spans="1:13" ht="15" customHeight="1">
      <c r="A29" s="109" t="s">
        <v>82</v>
      </c>
      <c r="B29" s="109"/>
      <c r="C29" s="109"/>
      <c r="D29" s="109"/>
      <c r="E29" s="109"/>
      <c r="F29" s="109"/>
      <c r="G29" s="109"/>
      <c r="H29" s="109"/>
      <c r="I29" s="109"/>
      <c r="J29" s="24"/>
      <c r="K29" s="8"/>
      <c r="L29" s="8"/>
      <c r="M29" s="8"/>
    </row>
    <row r="30" spans="1:13" ht="15.75" hidden="1" customHeight="1">
      <c r="A30" s="31"/>
      <c r="B30" s="56" t="s">
        <v>28</v>
      </c>
      <c r="C30" s="16"/>
      <c r="D30" s="14"/>
      <c r="E30" s="19"/>
      <c r="F30" s="13"/>
      <c r="G30" s="13"/>
      <c r="H30" s="13"/>
      <c r="I30" s="13"/>
      <c r="J30" s="24"/>
      <c r="K30" s="8"/>
      <c r="L30" s="8"/>
      <c r="M30" s="8"/>
    </row>
    <row r="31" spans="1:13" ht="31.5" hidden="1" customHeight="1">
      <c r="A31" s="31">
        <v>9</v>
      </c>
      <c r="B31" s="14" t="s">
        <v>104</v>
      </c>
      <c r="C31" s="16" t="s">
        <v>87</v>
      </c>
      <c r="D31" s="14" t="s">
        <v>101</v>
      </c>
      <c r="E31" s="13">
        <v>748</v>
      </c>
      <c r="F31" s="13">
        <f>SUM(E31*52/1000)</f>
        <v>38.896000000000001</v>
      </c>
      <c r="G31" s="13">
        <v>155.88999999999999</v>
      </c>
      <c r="H31" s="13">
        <f t="shared" ref="H31:H38" si="1">SUM(F31*G31/1000)</f>
        <v>6.063497439999999</v>
      </c>
      <c r="I31" s="13">
        <f t="shared" ref="I31:I35" si="2">F31/6*G31</f>
        <v>1010.5829066666666</v>
      </c>
      <c r="J31" s="24"/>
      <c r="K31" s="8"/>
      <c r="L31" s="8"/>
      <c r="M31" s="8"/>
    </row>
    <row r="32" spans="1:13" ht="31.5" hidden="1" customHeight="1">
      <c r="A32" s="31">
        <v>10</v>
      </c>
      <c r="B32" s="14" t="s">
        <v>119</v>
      </c>
      <c r="C32" s="16" t="s">
        <v>87</v>
      </c>
      <c r="D32" s="14" t="s">
        <v>102</v>
      </c>
      <c r="E32" s="13">
        <v>374</v>
      </c>
      <c r="F32" s="13">
        <f>SUM(E32*78/1000)</f>
        <v>29.172000000000001</v>
      </c>
      <c r="G32" s="13">
        <v>258.63</v>
      </c>
      <c r="H32" s="13">
        <f t="shared" si="1"/>
        <v>7.5447543599999998</v>
      </c>
      <c r="I32" s="13">
        <f t="shared" si="2"/>
        <v>1257.4590599999999</v>
      </c>
      <c r="J32" s="24"/>
      <c r="K32" s="8"/>
      <c r="L32" s="8"/>
      <c r="M32" s="8"/>
    </row>
    <row r="33" spans="1:14" ht="15.75" hidden="1" customHeight="1">
      <c r="A33" s="31"/>
      <c r="B33" s="14" t="s">
        <v>27</v>
      </c>
      <c r="C33" s="16" t="s">
        <v>87</v>
      </c>
      <c r="D33" s="14" t="s">
        <v>53</v>
      </c>
      <c r="E33" s="13">
        <v>748</v>
      </c>
      <c r="F33" s="13">
        <f>SUM(E33/1000)</f>
        <v>0.748</v>
      </c>
      <c r="G33" s="13">
        <v>3020.33</v>
      </c>
      <c r="H33" s="13">
        <f t="shared" si="1"/>
        <v>2.25920684</v>
      </c>
      <c r="I33" s="13">
        <f>F33*G33</f>
        <v>2259.2068399999998</v>
      </c>
      <c r="J33" s="24"/>
      <c r="K33" s="8"/>
      <c r="L33" s="8"/>
      <c r="M33" s="8"/>
    </row>
    <row r="34" spans="1:14" ht="15.75" hidden="1" customHeight="1">
      <c r="A34" s="31">
        <v>11</v>
      </c>
      <c r="B34" s="14" t="s">
        <v>118</v>
      </c>
      <c r="C34" s="16" t="s">
        <v>40</v>
      </c>
      <c r="D34" s="14" t="s">
        <v>62</v>
      </c>
      <c r="E34" s="13">
        <v>1</v>
      </c>
      <c r="F34" s="13">
        <f>E34*155/100</f>
        <v>1.55</v>
      </c>
      <c r="G34" s="13">
        <v>1302.02</v>
      </c>
      <c r="H34" s="13">
        <f>G34*F34/1000</f>
        <v>2.0181309999999999</v>
      </c>
      <c r="I34" s="13">
        <f t="shared" si="2"/>
        <v>336.35516666666672</v>
      </c>
      <c r="J34" s="24"/>
      <c r="K34" s="8"/>
    </row>
    <row r="35" spans="1:14" ht="15.75" hidden="1" customHeight="1">
      <c r="A35" s="31">
        <v>12</v>
      </c>
      <c r="B35" s="14" t="s">
        <v>103</v>
      </c>
      <c r="C35" s="16" t="s">
        <v>31</v>
      </c>
      <c r="D35" s="14" t="s">
        <v>62</v>
      </c>
      <c r="E35" s="66">
        <v>0.33333333333333331</v>
      </c>
      <c r="F35" s="13">
        <f>155/3</f>
        <v>51.666666666666664</v>
      </c>
      <c r="G35" s="13">
        <v>56.69</v>
      </c>
      <c r="H35" s="13">
        <f>SUM(G35*155/3/1000)</f>
        <v>2.9289833333333331</v>
      </c>
      <c r="I35" s="13">
        <f t="shared" si="2"/>
        <v>488.16388888888883</v>
      </c>
      <c r="J35" s="25"/>
    </row>
    <row r="36" spans="1:14" ht="15.75" hidden="1" customHeight="1">
      <c r="A36" s="31"/>
      <c r="B36" s="14" t="s">
        <v>64</v>
      </c>
      <c r="C36" s="16" t="s">
        <v>33</v>
      </c>
      <c r="D36" s="14" t="s">
        <v>66</v>
      </c>
      <c r="E36" s="19"/>
      <c r="F36" s="13">
        <v>2</v>
      </c>
      <c r="G36" s="13">
        <v>191.32</v>
      </c>
      <c r="H36" s="13">
        <f t="shared" si="1"/>
        <v>0.38263999999999998</v>
      </c>
      <c r="I36" s="13">
        <v>0</v>
      </c>
      <c r="J36" s="25"/>
    </row>
    <row r="37" spans="1:14" ht="15.75" hidden="1" customHeight="1">
      <c r="A37" s="31"/>
      <c r="B37" s="14" t="s">
        <v>65</v>
      </c>
      <c r="C37" s="16" t="s">
        <v>32</v>
      </c>
      <c r="D37" s="14" t="s">
        <v>66</v>
      </c>
      <c r="E37" s="19"/>
      <c r="F37" s="13">
        <v>1</v>
      </c>
      <c r="G37" s="13">
        <v>1136.33</v>
      </c>
      <c r="H37" s="13">
        <f t="shared" si="1"/>
        <v>1.1363299999999998</v>
      </c>
      <c r="I37" s="13">
        <v>0</v>
      </c>
      <c r="J37" s="25"/>
    </row>
    <row r="38" spans="1:14" ht="15.75" hidden="1" customHeight="1">
      <c r="A38" s="31"/>
      <c r="B38" s="14" t="s">
        <v>125</v>
      </c>
      <c r="C38" s="16" t="s">
        <v>29</v>
      </c>
      <c r="D38" s="14"/>
      <c r="E38" s="19">
        <v>932.2</v>
      </c>
      <c r="F38" s="13">
        <v>0.93220000000000003</v>
      </c>
      <c r="G38" s="13">
        <v>1305.02</v>
      </c>
      <c r="H38" s="13">
        <f t="shared" si="1"/>
        <v>1.216539644</v>
      </c>
      <c r="I38" s="13">
        <v>0</v>
      </c>
      <c r="J38" s="25"/>
    </row>
    <row r="39" spans="1:14" ht="15.75" customHeight="1">
      <c r="A39" s="31"/>
      <c r="B39" s="56" t="s">
        <v>5</v>
      </c>
      <c r="C39" s="16"/>
      <c r="D39" s="14"/>
      <c r="E39" s="19"/>
      <c r="F39" s="13"/>
      <c r="G39" s="13"/>
      <c r="H39" s="13" t="s">
        <v>139</v>
      </c>
      <c r="I39" s="13"/>
      <c r="J39" s="25"/>
      <c r="L39" s="20"/>
      <c r="M39" s="21"/>
      <c r="N39" s="22"/>
    </row>
    <row r="40" spans="1:14" ht="15.75" customHeight="1">
      <c r="A40" s="31">
        <v>9</v>
      </c>
      <c r="B40" s="14" t="s">
        <v>26</v>
      </c>
      <c r="C40" s="16" t="s">
        <v>32</v>
      </c>
      <c r="D40" s="14"/>
      <c r="E40" s="19"/>
      <c r="F40" s="13">
        <v>6</v>
      </c>
      <c r="G40" s="13">
        <v>1527.22</v>
      </c>
      <c r="H40" s="13">
        <f t="shared" ref="H40:H45" si="3">SUM(F40*G40/1000)</f>
        <v>9.1633200000000006</v>
      </c>
      <c r="I40" s="13">
        <f t="shared" ref="I40:I45" si="4">F40/6*G40</f>
        <v>1527.22</v>
      </c>
      <c r="J40" s="25"/>
      <c r="L40" s="20"/>
      <c r="M40" s="21"/>
      <c r="N40" s="22"/>
    </row>
    <row r="41" spans="1:14" ht="15.75" customHeight="1">
      <c r="A41" s="31">
        <v>10</v>
      </c>
      <c r="B41" s="14" t="s">
        <v>105</v>
      </c>
      <c r="C41" s="16" t="s">
        <v>29</v>
      </c>
      <c r="D41" s="14" t="s">
        <v>126</v>
      </c>
      <c r="E41" s="19">
        <v>374</v>
      </c>
      <c r="F41" s="13">
        <f>E41*26/1000</f>
        <v>9.7240000000000002</v>
      </c>
      <c r="G41" s="13">
        <v>2102.71</v>
      </c>
      <c r="H41" s="13">
        <f>G41*F41/1000</f>
        <v>20.44675204</v>
      </c>
      <c r="I41" s="13">
        <f t="shared" si="4"/>
        <v>3407.792006666667</v>
      </c>
      <c r="J41" s="25"/>
      <c r="L41" s="20"/>
      <c r="M41" s="21"/>
      <c r="N41" s="22"/>
    </row>
    <row r="42" spans="1:14" ht="15.75" customHeight="1">
      <c r="A42" s="31">
        <v>11</v>
      </c>
      <c r="B42" s="14" t="s">
        <v>67</v>
      </c>
      <c r="C42" s="16" t="s">
        <v>29</v>
      </c>
      <c r="D42" s="14" t="s">
        <v>86</v>
      </c>
      <c r="E42" s="13">
        <v>160</v>
      </c>
      <c r="F42" s="13">
        <f>SUM(E42*155/1000)</f>
        <v>24.8</v>
      </c>
      <c r="G42" s="13">
        <v>350.75</v>
      </c>
      <c r="H42" s="13">
        <f t="shared" si="3"/>
        <v>8.6986000000000008</v>
      </c>
      <c r="I42" s="13">
        <f t="shared" si="4"/>
        <v>1449.7666666666669</v>
      </c>
      <c r="J42" s="25"/>
      <c r="L42" s="20"/>
      <c r="M42" s="21"/>
      <c r="N42" s="22"/>
    </row>
    <row r="43" spans="1:14" ht="47.25" customHeight="1">
      <c r="A43" s="31">
        <v>12</v>
      </c>
      <c r="B43" s="14" t="s">
        <v>81</v>
      </c>
      <c r="C43" s="16" t="s">
        <v>87</v>
      </c>
      <c r="D43" s="14" t="s">
        <v>127</v>
      </c>
      <c r="E43" s="13">
        <v>76</v>
      </c>
      <c r="F43" s="13">
        <f>SUM(E43*50/1000)</f>
        <v>3.8</v>
      </c>
      <c r="G43" s="13">
        <v>5803.28</v>
      </c>
      <c r="H43" s="13">
        <f t="shared" si="3"/>
        <v>22.052463999999997</v>
      </c>
      <c r="I43" s="13">
        <f t="shared" si="4"/>
        <v>3675.4106666666662</v>
      </c>
      <c r="J43" s="25"/>
      <c r="L43" s="20"/>
      <c r="M43" s="21"/>
      <c r="N43" s="22"/>
    </row>
    <row r="44" spans="1:14" ht="15.75" customHeight="1">
      <c r="A44" s="31">
        <v>13</v>
      </c>
      <c r="B44" s="14" t="s">
        <v>88</v>
      </c>
      <c r="C44" s="16" t="s">
        <v>87</v>
      </c>
      <c r="D44" s="122" t="s">
        <v>217</v>
      </c>
      <c r="E44" s="123">
        <v>76</v>
      </c>
      <c r="F44" s="124">
        <f>SUM(E44*15/1000)</f>
        <v>1.1399999999999999</v>
      </c>
      <c r="G44" s="123">
        <v>428.7</v>
      </c>
      <c r="H44" s="125">
        <f t="shared" ref="H44" si="5">SUM(F44*G44/1000)</f>
        <v>0.48871799999999999</v>
      </c>
      <c r="I44" s="13">
        <f>F44/2*G44</f>
        <v>244.35899999999998</v>
      </c>
      <c r="J44" s="25"/>
      <c r="L44" s="20"/>
      <c r="M44" s="21"/>
      <c r="N44" s="22"/>
    </row>
    <row r="45" spans="1:14" ht="15.75" customHeight="1">
      <c r="A45" s="31">
        <v>14</v>
      </c>
      <c r="B45" s="14" t="s">
        <v>69</v>
      </c>
      <c r="C45" s="16" t="s">
        <v>33</v>
      </c>
      <c r="D45" s="14"/>
      <c r="E45" s="19"/>
      <c r="F45" s="13">
        <v>0.9</v>
      </c>
      <c r="G45" s="13">
        <v>798</v>
      </c>
      <c r="H45" s="13">
        <f t="shared" si="3"/>
        <v>0.71820000000000006</v>
      </c>
      <c r="I45" s="13">
        <f t="shared" si="4"/>
        <v>119.69999999999999</v>
      </c>
      <c r="J45" s="25"/>
      <c r="L45" s="20"/>
      <c r="M45" s="21"/>
      <c r="N45" s="22"/>
    </row>
    <row r="46" spans="1:14" ht="15" hidden="1" customHeight="1">
      <c r="A46" s="110" t="s">
        <v>135</v>
      </c>
      <c r="B46" s="111"/>
      <c r="C46" s="111"/>
      <c r="D46" s="111"/>
      <c r="E46" s="111"/>
      <c r="F46" s="111"/>
      <c r="G46" s="111"/>
      <c r="H46" s="111"/>
      <c r="I46" s="112"/>
      <c r="J46" s="25"/>
      <c r="L46" s="20"/>
      <c r="M46" s="21"/>
      <c r="N46" s="22"/>
    </row>
    <row r="47" spans="1:14" ht="15.75" hidden="1" customHeight="1">
      <c r="A47" s="31"/>
      <c r="B47" s="14" t="s">
        <v>140</v>
      </c>
      <c r="C47" s="16" t="s">
        <v>87</v>
      </c>
      <c r="D47" s="14" t="s">
        <v>42</v>
      </c>
      <c r="E47" s="19">
        <v>1099.7</v>
      </c>
      <c r="F47" s="13">
        <f>SUM(E47*2/1000)</f>
        <v>2.1994000000000002</v>
      </c>
      <c r="G47" s="13">
        <v>809.74</v>
      </c>
      <c r="H47" s="13">
        <f t="shared" ref="H47:H56" si="6">SUM(F47*G47/1000)</f>
        <v>1.7809421560000003</v>
      </c>
      <c r="I47" s="13">
        <v>0</v>
      </c>
      <c r="J47" s="25"/>
      <c r="L47" s="20"/>
      <c r="M47" s="21"/>
      <c r="N47" s="22"/>
    </row>
    <row r="48" spans="1:14" ht="15.75" hidden="1" customHeight="1">
      <c r="A48" s="31"/>
      <c r="B48" s="14" t="s">
        <v>35</v>
      </c>
      <c r="C48" s="16" t="s">
        <v>87</v>
      </c>
      <c r="D48" s="14" t="s">
        <v>42</v>
      </c>
      <c r="E48" s="19">
        <v>52</v>
      </c>
      <c r="F48" s="13">
        <f>E48*2/1000</f>
        <v>0.104</v>
      </c>
      <c r="G48" s="13">
        <v>579.48</v>
      </c>
      <c r="H48" s="13">
        <f t="shared" si="6"/>
        <v>6.0265920000000001E-2</v>
      </c>
      <c r="I48" s="13">
        <v>0</v>
      </c>
      <c r="J48" s="25"/>
      <c r="L48" s="20"/>
      <c r="M48" s="21"/>
      <c r="N48" s="22"/>
    </row>
    <row r="49" spans="1:22" ht="15.75" hidden="1" customHeight="1">
      <c r="A49" s="31"/>
      <c r="B49" s="14" t="s">
        <v>36</v>
      </c>
      <c r="C49" s="16" t="s">
        <v>87</v>
      </c>
      <c r="D49" s="14" t="s">
        <v>42</v>
      </c>
      <c r="E49" s="19">
        <v>917.78</v>
      </c>
      <c r="F49" s="13">
        <f>SUM(E49*2/1000)</f>
        <v>1.8355599999999999</v>
      </c>
      <c r="G49" s="13">
        <v>579.48</v>
      </c>
      <c r="H49" s="13">
        <f t="shared" si="6"/>
        <v>1.0636703087999999</v>
      </c>
      <c r="I49" s="13">
        <v>0</v>
      </c>
      <c r="J49" s="25"/>
      <c r="L49" s="20"/>
      <c r="M49" s="21"/>
      <c r="N49" s="22"/>
    </row>
    <row r="50" spans="1:22" ht="15.75" hidden="1" customHeight="1">
      <c r="A50" s="31"/>
      <c r="B50" s="14" t="s">
        <v>37</v>
      </c>
      <c r="C50" s="16" t="s">
        <v>87</v>
      </c>
      <c r="D50" s="14" t="s">
        <v>42</v>
      </c>
      <c r="E50" s="19">
        <v>3930</v>
      </c>
      <c r="F50" s="13">
        <f>SUM(E50*2/1000)</f>
        <v>7.86</v>
      </c>
      <c r="G50" s="13">
        <v>606.77</v>
      </c>
      <c r="H50" s="13">
        <f t="shared" si="6"/>
        <v>4.7692122000000001</v>
      </c>
      <c r="I50" s="13">
        <v>0</v>
      </c>
      <c r="J50" s="25"/>
      <c r="L50" s="20"/>
      <c r="M50" s="21"/>
      <c r="N50" s="22"/>
    </row>
    <row r="51" spans="1:22" ht="15.75" hidden="1" customHeight="1">
      <c r="A51" s="31"/>
      <c r="B51" s="14" t="s">
        <v>34</v>
      </c>
      <c r="C51" s="16" t="s">
        <v>52</v>
      </c>
      <c r="D51" s="14" t="s">
        <v>42</v>
      </c>
      <c r="E51" s="19">
        <v>142.38999999999999</v>
      </c>
      <c r="F51" s="13">
        <f>E51*2/100</f>
        <v>2.8477999999999999</v>
      </c>
      <c r="G51" s="13">
        <v>72.81</v>
      </c>
      <c r="H51" s="13">
        <f>F51*G51/1000</f>
        <v>0.207348318</v>
      </c>
      <c r="I51" s="13">
        <v>0</v>
      </c>
      <c r="J51" s="25"/>
      <c r="L51" s="20"/>
      <c r="M51" s="21"/>
      <c r="N51" s="22"/>
    </row>
    <row r="52" spans="1:22" ht="15.75" hidden="1" customHeight="1">
      <c r="A52" s="31">
        <v>15</v>
      </c>
      <c r="B52" s="14" t="s">
        <v>55</v>
      </c>
      <c r="C52" s="16" t="s">
        <v>87</v>
      </c>
      <c r="D52" s="14" t="s">
        <v>142</v>
      </c>
      <c r="E52" s="19">
        <v>1914</v>
      </c>
      <c r="F52" s="13">
        <f>SUM(E52*5/1000)</f>
        <v>9.57</v>
      </c>
      <c r="G52" s="13">
        <v>1213.55</v>
      </c>
      <c r="H52" s="13">
        <f t="shared" si="6"/>
        <v>11.613673500000001</v>
      </c>
      <c r="I52" s="13">
        <f>F52/5*G52</f>
        <v>2322.7347</v>
      </c>
      <c r="J52" s="25"/>
      <c r="L52" s="20"/>
      <c r="M52" s="21"/>
      <c r="N52" s="22"/>
    </row>
    <row r="53" spans="1:22" ht="31.5" hidden="1" customHeight="1">
      <c r="A53" s="31">
        <v>16</v>
      </c>
      <c r="B53" s="14" t="s">
        <v>89</v>
      </c>
      <c r="C53" s="16" t="s">
        <v>87</v>
      </c>
      <c r="D53" s="14" t="s">
        <v>42</v>
      </c>
      <c r="E53" s="19">
        <v>1914</v>
      </c>
      <c r="F53" s="13">
        <f>SUM(E53*2/1000)</f>
        <v>3.8279999999999998</v>
      </c>
      <c r="G53" s="13">
        <v>1213.55</v>
      </c>
      <c r="H53" s="13">
        <f t="shared" si="6"/>
        <v>4.6454693999999996</v>
      </c>
      <c r="I53" s="13">
        <f>F53/2*G53</f>
        <v>2322.7347</v>
      </c>
      <c r="J53" s="25"/>
      <c r="L53" s="20"/>
      <c r="M53" s="21"/>
      <c r="N53" s="22"/>
    </row>
    <row r="54" spans="1:22" ht="31.5" hidden="1" customHeight="1">
      <c r="A54" s="31">
        <v>17</v>
      </c>
      <c r="B54" s="14" t="s">
        <v>90</v>
      </c>
      <c r="C54" s="16" t="s">
        <v>38</v>
      </c>
      <c r="D54" s="14" t="s">
        <v>42</v>
      </c>
      <c r="E54" s="19">
        <v>20</v>
      </c>
      <c r="F54" s="13">
        <f>SUM(E54*2/100)</f>
        <v>0.4</v>
      </c>
      <c r="G54" s="13">
        <v>2730.49</v>
      </c>
      <c r="H54" s="13">
        <f>SUM(F54*G54/1000)</f>
        <v>1.0921959999999999</v>
      </c>
      <c r="I54" s="13">
        <f>F54/2*G54</f>
        <v>546.09799999999996</v>
      </c>
      <c r="J54" s="25"/>
      <c r="L54" s="20"/>
      <c r="M54" s="21"/>
      <c r="N54" s="22"/>
    </row>
    <row r="55" spans="1:22" ht="15.75" hidden="1" customHeight="1">
      <c r="A55" s="31">
        <v>18</v>
      </c>
      <c r="B55" s="14" t="s">
        <v>39</v>
      </c>
      <c r="C55" s="16" t="s">
        <v>40</v>
      </c>
      <c r="D55" s="14" t="s">
        <v>42</v>
      </c>
      <c r="E55" s="19">
        <v>1</v>
      </c>
      <c r="F55" s="13">
        <v>0.02</v>
      </c>
      <c r="G55" s="13">
        <v>5652.13</v>
      </c>
      <c r="H55" s="13">
        <f t="shared" si="6"/>
        <v>0.11304260000000001</v>
      </c>
      <c r="I55" s="13">
        <f>F55/2*G55</f>
        <v>56.521300000000004</v>
      </c>
      <c r="J55" s="25"/>
      <c r="L55" s="20"/>
      <c r="M55" s="21"/>
      <c r="N55" s="22"/>
    </row>
    <row r="56" spans="1:22" ht="15.75" hidden="1" customHeight="1">
      <c r="A56" s="31">
        <v>19</v>
      </c>
      <c r="B56" s="14" t="s">
        <v>41</v>
      </c>
      <c r="C56" s="16" t="s">
        <v>106</v>
      </c>
      <c r="D56" s="14" t="s">
        <v>70</v>
      </c>
      <c r="E56" s="19">
        <v>120</v>
      </c>
      <c r="F56" s="13">
        <f>SUM(E56)*3</f>
        <v>360</v>
      </c>
      <c r="G56" s="13">
        <v>65.67</v>
      </c>
      <c r="H56" s="13">
        <f t="shared" si="6"/>
        <v>23.641200000000001</v>
      </c>
      <c r="I56" s="13">
        <f>E56*G56</f>
        <v>7880.4000000000005</v>
      </c>
      <c r="J56" s="25"/>
      <c r="L56" s="20"/>
      <c r="M56" s="21"/>
      <c r="N56" s="22"/>
    </row>
    <row r="57" spans="1:22" ht="15.75" customHeight="1">
      <c r="A57" s="110" t="s">
        <v>133</v>
      </c>
      <c r="B57" s="111"/>
      <c r="C57" s="111"/>
      <c r="D57" s="111"/>
      <c r="E57" s="111"/>
      <c r="F57" s="111"/>
      <c r="G57" s="111"/>
      <c r="H57" s="111"/>
      <c r="I57" s="112"/>
      <c r="J57" s="25"/>
      <c r="L57" s="20"/>
      <c r="M57" s="21"/>
      <c r="N57" s="22"/>
    </row>
    <row r="58" spans="1:22" ht="15.75" customHeight="1">
      <c r="A58" s="31"/>
      <c r="B58" s="56" t="s">
        <v>43</v>
      </c>
      <c r="C58" s="16"/>
      <c r="D58" s="14"/>
      <c r="E58" s="19"/>
      <c r="F58" s="13"/>
      <c r="G58" s="13"/>
      <c r="H58" s="13"/>
      <c r="I58" s="13"/>
      <c r="J58" s="25"/>
      <c r="L58" s="20"/>
    </row>
    <row r="59" spans="1:22" ht="31.5" customHeight="1">
      <c r="A59" s="31">
        <v>15</v>
      </c>
      <c r="B59" s="14" t="s">
        <v>141</v>
      </c>
      <c r="C59" s="16" t="s">
        <v>85</v>
      </c>
      <c r="D59" s="14" t="s">
        <v>107</v>
      </c>
      <c r="E59" s="19">
        <v>66</v>
      </c>
      <c r="F59" s="13">
        <f>SUM(E59*6/100)</f>
        <v>3.96</v>
      </c>
      <c r="G59" s="13">
        <v>1547.28</v>
      </c>
      <c r="H59" s="13">
        <f>SUM(F59*G59/1000)</f>
        <v>6.1272288000000001</v>
      </c>
      <c r="I59" s="13">
        <f>F59/6*G59</f>
        <v>1021.2048</v>
      </c>
    </row>
    <row r="60" spans="1:22" ht="15.75" customHeight="1">
      <c r="A60" s="31"/>
      <c r="B60" s="56" t="s">
        <v>44</v>
      </c>
      <c r="C60" s="16"/>
      <c r="D60" s="14"/>
      <c r="E60" s="19"/>
      <c r="F60" s="13"/>
      <c r="G60" s="13"/>
      <c r="H60" s="13"/>
      <c r="I60" s="13"/>
    </row>
    <row r="61" spans="1:22" ht="15.75" hidden="1" customHeight="1">
      <c r="A61" s="31"/>
      <c r="B61" s="14" t="s">
        <v>120</v>
      </c>
      <c r="C61" s="16" t="s">
        <v>52</v>
      </c>
      <c r="D61" s="14" t="s">
        <v>53</v>
      </c>
      <c r="E61" s="19">
        <v>1387</v>
      </c>
      <c r="F61" s="13">
        <f>E61/100</f>
        <v>13.87</v>
      </c>
      <c r="G61" s="13">
        <v>793.61</v>
      </c>
      <c r="H61" s="13">
        <f>F61*G61/1000</f>
        <v>11.007370699999999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31">
        <v>16</v>
      </c>
      <c r="B62" s="14" t="s">
        <v>121</v>
      </c>
      <c r="C62" s="16" t="s">
        <v>25</v>
      </c>
      <c r="D62" s="14" t="s">
        <v>30</v>
      </c>
      <c r="E62" s="19">
        <v>286.8</v>
      </c>
      <c r="F62" s="13">
        <f>E62*12</f>
        <v>3441.6000000000004</v>
      </c>
      <c r="G62" s="13">
        <v>2.6</v>
      </c>
      <c r="H62" s="13">
        <f>F62*G62/1000</f>
        <v>8.9481600000000014</v>
      </c>
      <c r="I62" s="13">
        <f>F62/12*G62</f>
        <v>745.68000000000006</v>
      </c>
      <c r="J62" s="27"/>
      <c r="K62" s="27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31"/>
      <c r="B63" s="56" t="s">
        <v>128</v>
      </c>
      <c r="C63" s="16"/>
      <c r="D63" s="14"/>
      <c r="E63" s="19"/>
      <c r="F63" s="13"/>
      <c r="G63" s="13"/>
      <c r="H63" s="13"/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31"/>
      <c r="B64" s="14" t="s">
        <v>129</v>
      </c>
      <c r="C64" s="16" t="s">
        <v>106</v>
      </c>
      <c r="D64" s="14" t="s">
        <v>53</v>
      </c>
      <c r="E64" s="19">
        <v>4</v>
      </c>
      <c r="F64" s="13">
        <v>4</v>
      </c>
      <c r="G64" s="13">
        <v>237.75</v>
      </c>
      <c r="H64" s="13">
        <f t="shared" ref="H64" si="7">F64*G64/1000</f>
        <v>0.95099999999999996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94"/>
      <c r="S64" s="94"/>
      <c r="T64" s="94"/>
      <c r="U64" s="94"/>
    </row>
    <row r="65" spans="1:21" ht="15.75" hidden="1" customHeight="1">
      <c r="A65" s="31"/>
      <c r="B65" s="56" t="s">
        <v>45</v>
      </c>
      <c r="C65" s="16"/>
      <c r="D65" s="14"/>
      <c r="E65" s="19"/>
      <c r="F65" s="13"/>
      <c r="G65" s="13"/>
      <c r="H65" s="13" t="s">
        <v>139</v>
      </c>
      <c r="I65" s="1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hidden="1" customHeight="1">
      <c r="A66" s="31"/>
      <c r="B66" s="14" t="s">
        <v>46</v>
      </c>
      <c r="C66" s="16" t="s">
        <v>106</v>
      </c>
      <c r="D66" s="14" t="s">
        <v>66</v>
      </c>
      <c r="E66" s="19">
        <v>10</v>
      </c>
      <c r="F66" s="13">
        <v>10</v>
      </c>
      <c r="G66" s="13">
        <v>222.4</v>
      </c>
      <c r="H66" s="13">
        <f t="shared" ref="H66:H79" si="8">SUM(F66*G66/1000)</f>
        <v>2.2240000000000002</v>
      </c>
      <c r="I66" s="13">
        <f>0</f>
        <v>0</v>
      </c>
    </row>
    <row r="67" spans="1:21" ht="15.75" hidden="1" customHeight="1">
      <c r="A67" s="31"/>
      <c r="B67" s="14" t="s">
        <v>47</v>
      </c>
      <c r="C67" s="16" t="s">
        <v>106</v>
      </c>
      <c r="D67" s="14" t="s">
        <v>66</v>
      </c>
      <c r="E67" s="19">
        <v>5</v>
      </c>
      <c r="F67" s="13">
        <v>5</v>
      </c>
      <c r="G67" s="13">
        <v>76.25</v>
      </c>
      <c r="H67" s="13">
        <f t="shared" si="8"/>
        <v>0.38124999999999998</v>
      </c>
      <c r="I67" s="13">
        <v>0</v>
      </c>
    </row>
    <row r="68" spans="1:21" ht="15.75" hidden="1" customHeight="1">
      <c r="A68" s="31"/>
      <c r="B68" s="14" t="s">
        <v>48</v>
      </c>
      <c r="C68" s="16" t="s">
        <v>108</v>
      </c>
      <c r="D68" s="14" t="s">
        <v>53</v>
      </c>
      <c r="E68" s="19">
        <v>19138</v>
      </c>
      <c r="F68" s="13">
        <f>SUM(E68/100)</f>
        <v>191.38</v>
      </c>
      <c r="G68" s="13">
        <v>212.15</v>
      </c>
      <c r="H68" s="13">
        <f t="shared" si="8"/>
        <v>40.601267</v>
      </c>
      <c r="I68" s="13">
        <f>F68*G68</f>
        <v>40601.267</v>
      </c>
    </row>
    <row r="69" spans="1:21" ht="15.75" hidden="1" customHeight="1">
      <c r="A69" s="31"/>
      <c r="B69" s="14" t="s">
        <v>49</v>
      </c>
      <c r="C69" s="16" t="s">
        <v>109</v>
      </c>
      <c r="D69" s="14"/>
      <c r="E69" s="19">
        <v>19138</v>
      </c>
      <c r="F69" s="13">
        <f>SUM(E69/1000)</f>
        <v>19.138000000000002</v>
      </c>
      <c r="G69" s="13">
        <v>165.21</v>
      </c>
      <c r="H69" s="13">
        <f t="shared" si="8"/>
        <v>3.1617889800000003</v>
      </c>
      <c r="I69" s="13">
        <f t="shared" ref="I69:I73" si="9">F69*G69</f>
        <v>3161.7889800000003</v>
      </c>
    </row>
    <row r="70" spans="1:21" ht="15.75" hidden="1" customHeight="1">
      <c r="A70" s="31"/>
      <c r="B70" s="14" t="s">
        <v>50</v>
      </c>
      <c r="C70" s="16" t="s">
        <v>76</v>
      </c>
      <c r="D70" s="14" t="s">
        <v>53</v>
      </c>
      <c r="E70" s="19">
        <v>2730</v>
      </c>
      <c r="F70" s="13">
        <f>SUM(E70/100)</f>
        <v>27.3</v>
      </c>
      <c r="G70" s="13">
        <v>2074.63</v>
      </c>
      <c r="H70" s="13">
        <f t="shared" si="8"/>
        <v>56.637399000000002</v>
      </c>
      <c r="I70" s="13">
        <f t="shared" si="9"/>
        <v>56637.399000000005</v>
      </c>
    </row>
    <row r="71" spans="1:21" ht="15.75" hidden="1" customHeight="1">
      <c r="A71" s="31"/>
      <c r="B71" s="67" t="s">
        <v>110</v>
      </c>
      <c r="C71" s="16" t="s">
        <v>33</v>
      </c>
      <c r="D71" s="14"/>
      <c r="E71" s="19">
        <v>13</v>
      </c>
      <c r="F71" s="13">
        <f>SUM(E71)</f>
        <v>13</v>
      </c>
      <c r="G71" s="13">
        <v>45.32</v>
      </c>
      <c r="H71" s="13">
        <f t="shared" si="8"/>
        <v>0.58916000000000002</v>
      </c>
      <c r="I71" s="13">
        <f t="shared" si="9"/>
        <v>589.16</v>
      </c>
    </row>
    <row r="72" spans="1:21" ht="15.75" hidden="1" customHeight="1">
      <c r="A72" s="31"/>
      <c r="B72" s="67" t="s">
        <v>111</v>
      </c>
      <c r="C72" s="16" t="s">
        <v>33</v>
      </c>
      <c r="D72" s="14"/>
      <c r="E72" s="19">
        <v>13</v>
      </c>
      <c r="F72" s="13">
        <f>SUM(E72)</f>
        <v>13</v>
      </c>
      <c r="G72" s="13">
        <v>42.28</v>
      </c>
      <c r="H72" s="13">
        <f t="shared" si="8"/>
        <v>0.54964000000000002</v>
      </c>
      <c r="I72" s="13">
        <f t="shared" si="9"/>
        <v>549.64</v>
      </c>
    </row>
    <row r="73" spans="1:21" ht="15.75" hidden="1" customHeight="1">
      <c r="A73" s="31"/>
      <c r="B73" s="14" t="s">
        <v>56</v>
      </c>
      <c r="C73" s="16" t="s">
        <v>57</v>
      </c>
      <c r="D73" s="14" t="s">
        <v>53</v>
      </c>
      <c r="E73" s="19">
        <v>8</v>
      </c>
      <c r="F73" s="13">
        <v>8</v>
      </c>
      <c r="G73" s="13">
        <v>49.88</v>
      </c>
      <c r="H73" s="13">
        <f t="shared" si="8"/>
        <v>0.39904000000000001</v>
      </c>
      <c r="I73" s="13">
        <f t="shared" si="9"/>
        <v>399.04</v>
      </c>
    </row>
    <row r="74" spans="1:21" ht="15.75" hidden="1" customHeight="1">
      <c r="A74" s="31"/>
      <c r="B74" s="56" t="s">
        <v>71</v>
      </c>
      <c r="C74" s="16"/>
      <c r="D74" s="14"/>
      <c r="E74" s="19"/>
      <c r="F74" s="13"/>
      <c r="G74" s="13"/>
      <c r="H74" s="13" t="s">
        <v>139</v>
      </c>
      <c r="I74" s="13"/>
    </row>
    <row r="75" spans="1:21" ht="15.75" hidden="1" customHeight="1">
      <c r="A75" s="31">
        <v>17</v>
      </c>
      <c r="B75" s="14" t="s">
        <v>72</v>
      </c>
      <c r="C75" s="16" t="s">
        <v>74</v>
      </c>
      <c r="D75" s="14"/>
      <c r="E75" s="19">
        <v>4</v>
      </c>
      <c r="F75" s="13">
        <v>0.4</v>
      </c>
      <c r="G75" s="13">
        <v>501.62</v>
      </c>
      <c r="H75" s="13">
        <f t="shared" si="8"/>
        <v>0.20064800000000002</v>
      </c>
      <c r="I75" s="13">
        <f>G75*0.4</f>
        <v>200.64800000000002</v>
      </c>
    </row>
    <row r="76" spans="1:21" ht="15.75" hidden="1" customHeight="1">
      <c r="A76" s="31"/>
      <c r="B76" s="14" t="s">
        <v>73</v>
      </c>
      <c r="C76" s="16" t="s">
        <v>31</v>
      </c>
      <c r="D76" s="14"/>
      <c r="E76" s="19">
        <v>1</v>
      </c>
      <c r="F76" s="13">
        <v>1</v>
      </c>
      <c r="G76" s="13">
        <v>852.99</v>
      </c>
      <c r="H76" s="13">
        <f>F76*G76/1000</f>
        <v>0.85299000000000003</v>
      </c>
      <c r="I76" s="13">
        <v>0</v>
      </c>
    </row>
    <row r="77" spans="1:21" ht="15.75" hidden="1" customHeight="1">
      <c r="A77" s="31"/>
      <c r="B77" s="14" t="s">
        <v>113</v>
      </c>
      <c r="C77" s="16" t="s">
        <v>31</v>
      </c>
      <c r="D77" s="14"/>
      <c r="E77" s="19">
        <v>1</v>
      </c>
      <c r="F77" s="13">
        <v>1</v>
      </c>
      <c r="G77" s="13">
        <v>358.51</v>
      </c>
      <c r="H77" s="13">
        <f>G77*F77/1000</f>
        <v>0.35851</v>
      </c>
      <c r="I77" s="13">
        <v>0</v>
      </c>
    </row>
    <row r="78" spans="1:21" ht="15.75" hidden="1" customHeight="1">
      <c r="A78" s="31"/>
      <c r="B78" s="64" t="s">
        <v>75</v>
      </c>
      <c r="C78" s="16"/>
      <c r="D78" s="14"/>
      <c r="E78" s="19"/>
      <c r="F78" s="13"/>
      <c r="G78" s="13" t="s">
        <v>139</v>
      </c>
      <c r="H78" s="13" t="s">
        <v>139</v>
      </c>
      <c r="I78" s="13"/>
    </row>
    <row r="79" spans="1:21" ht="15.75" hidden="1" customHeight="1">
      <c r="A79" s="31"/>
      <c r="B79" s="44" t="s">
        <v>124</v>
      </c>
      <c r="C79" s="16" t="s">
        <v>76</v>
      </c>
      <c r="D79" s="14"/>
      <c r="E79" s="19"/>
      <c r="F79" s="13">
        <v>0.1</v>
      </c>
      <c r="G79" s="13">
        <v>2759.44</v>
      </c>
      <c r="H79" s="13">
        <f t="shared" si="8"/>
        <v>0.27594400000000002</v>
      </c>
      <c r="I79" s="13">
        <v>0</v>
      </c>
    </row>
    <row r="80" spans="1:21" ht="15.75" hidden="1" customHeight="1">
      <c r="A80" s="31"/>
      <c r="B80" s="56" t="s">
        <v>91</v>
      </c>
      <c r="C80" s="70"/>
      <c r="D80" s="70"/>
      <c r="E80" s="70"/>
      <c r="F80" s="70"/>
      <c r="G80" s="65"/>
      <c r="H80" s="65">
        <f>SUM(H59:H79)</f>
        <v>133.26539648000002</v>
      </c>
      <c r="I80" s="65"/>
    </row>
    <row r="81" spans="1:9" ht="15.75" hidden="1" customHeight="1">
      <c r="A81" s="31"/>
      <c r="B81" s="14" t="s">
        <v>112</v>
      </c>
      <c r="C81" s="16"/>
      <c r="D81" s="14"/>
      <c r="E81" s="19"/>
      <c r="F81" s="13">
        <v>1</v>
      </c>
      <c r="G81" s="13">
        <v>13441.4</v>
      </c>
      <c r="H81" s="13">
        <f>G81*F81/1000</f>
        <v>13.4414</v>
      </c>
      <c r="I81" s="13">
        <v>0</v>
      </c>
    </row>
    <row r="82" spans="1:9" ht="15.75" customHeight="1">
      <c r="A82" s="95" t="s">
        <v>134</v>
      </c>
      <c r="B82" s="96"/>
      <c r="C82" s="96"/>
      <c r="D82" s="96"/>
      <c r="E82" s="96"/>
      <c r="F82" s="96"/>
      <c r="G82" s="96"/>
      <c r="H82" s="96"/>
      <c r="I82" s="97"/>
    </row>
    <row r="83" spans="1:9" ht="15.75" customHeight="1">
      <c r="A83" s="31">
        <v>17</v>
      </c>
      <c r="B83" s="14" t="s">
        <v>114</v>
      </c>
      <c r="C83" s="16" t="s">
        <v>54</v>
      </c>
      <c r="D83" s="59" t="s">
        <v>152</v>
      </c>
      <c r="E83" s="13">
        <v>5367.6</v>
      </c>
      <c r="F83" s="13">
        <f>SUM(E83*12)</f>
        <v>64411.200000000004</v>
      </c>
      <c r="G83" s="13">
        <v>2.1</v>
      </c>
      <c r="H83" s="13">
        <f>SUM(F83*G83/1000)</f>
        <v>135.26352000000003</v>
      </c>
      <c r="I83" s="13">
        <f>F83/12*G83</f>
        <v>11271.960000000001</v>
      </c>
    </row>
    <row r="84" spans="1:9" ht="31.5" customHeight="1">
      <c r="A84" s="31">
        <v>18</v>
      </c>
      <c r="B84" s="14" t="s">
        <v>77</v>
      </c>
      <c r="C84" s="16"/>
      <c r="D84" s="59" t="s">
        <v>152</v>
      </c>
      <c r="E84" s="19">
        <f>E83</f>
        <v>5367.6</v>
      </c>
      <c r="F84" s="13">
        <f>E84*12</f>
        <v>64411.200000000004</v>
      </c>
      <c r="G84" s="13">
        <v>1.63</v>
      </c>
      <c r="H84" s="13">
        <f>F84*G84/1000</f>
        <v>104.99025599999999</v>
      </c>
      <c r="I84" s="13">
        <f>F84/12*G84</f>
        <v>8749.1880000000001</v>
      </c>
    </row>
    <row r="85" spans="1:9" ht="15.75" customHeight="1">
      <c r="A85" s="31"/>
      <c r="B85" s="36" t="s">
        <v>79</v>
      </c>
      <c r="C85" s="64"/>
      <c r="D85" s="68"/>
      <c r="E85" s="65"/>
      <c r="F85" s="65"/>
      <c r="G85" s="65"/>
      <c r="H85" s="65">
        <f>H84</f>
        <v>104.99025599999999</v>
      </c>
      <c r="I85" s="65">
        <f>I16+I17+I18+I20+I21+I24+I27+I28+I40+I41+I42+I43+I44+I45+I59+I62+I83+I84</f>
        <v>59842.006101999992</v>
      </c>
    </row>
    <row r="86" spans="1:9" ht="15.75" customHeight="1">
      <c r="A86" s="106" t="s">
        <v>59</v>
      </c>
      <c r="B86" s="107"/>
      <c r="C86" s="107"/>
      <c r="D86" s="107"/>
      <c r="E86" s="107"/>
      <c r="F86" s="107"/>
      <c r="G86" s="107"/>
      <c r="H86" s="107"/>
      <c r="I86" s="108"/>
    </row>
    <row r="87" spans="1:9" ht="15.75" customHeight="1">
      <c r="A87" s="31">
        <v>19</v>
      </c>
      <c r="B87" s="47" t="s">
        <v>122</v>
      </c>
      <c r="C87" s="63" t="s">
        <v>106</v>
      </c>
      <c r="D87" s="44"/>
      <c r="E87" s="13"/>
      <c r="F87" s="13">
        <v>732</v>
      </c>
      <c r="G87" s="13">
        <v>53.42</v>
      </c>
      <c r="H87" s="13">
        <f t="shared" ref="H87" si="10">G87*F87/1000</f>
        <v>39.103439999999999</v>
      </c>
      <c r="I87" s="13">
        <f>G87*61</f>
        <v>3258.62</v>
      </c>
    </row>
    <row r="88" spans="1:9" ht="31.5" customHeight="1">
      <c r="A88" s="31">
        <v>20</v>
      </c>
      <c r="B88" s="47" t="s">
        <v>163</v>
      </c>
      <c r="C88" s="63" t="s">
        <v>29</v>
      </c>
      <c r="D88" s="14"/>
      <c r="E88" s="19"/>
      <c r="F88" s="17">
        <v>2E-3</v>
      </c>
      <c r="G88" s="13">
        <v>1591.6</v>
      </c>
      <c r="H88" s="77">
        <f>G88*F88/1000</f>
        <v>3.1831999999999997E-3</v>
      </c>
      <c r="I88" s="13">
        <f>G88*0.001</f>
        <v>1.5915999999999999</v>
      </c>
    </row>
    <row r="89" spans="1:9" ht="31.5" customHeight="1">
      <c r="A89" s="31">
        <v>21</v>
      </c>
      <c r="B89" s="48" t="s">
        <v>166</v>
      </c>
      <c r="C89" s="49" t="s">
        <v>130</v>
      </c>
      <c r="D89" s="83"/>
      <c r="E89" s="35"/>
      <c r="F89" s="35">
        <v>1</v>
      </c>
      <c r="G89" s="35">
        <v>1046.06</v>
      </c>
      <c r="H89" s="84">
        <f t="shared" ref="H89:H92" si="11">G89*F89/1000</f>
        <v>1.04606</v>
      </c>
      <c r="I89" s="13">
        <f>G89</f>
        <v>1046.06</v>
      </c>
    </row>
    <row r="90" spans="1:9" ht="15.75" customHeight="1">
      <c r="A90" s="31">
        <v>22</v>
      </c>
      <c r="B90" s="85" t="s">
        <v>167</v>
      </c>
      <c r="C90" s="63" t="s">
        <v>106</v>
      </c>
      <c r="D90" s="44"/>
      <c r="E90" s="13"/>
      <c r="F90" s="13">
        <v>1</v>
      </c>
      <c r="G90" s="13">
        <v>189.67</v>
      </c>
      <c r="H90" s="69">
        <f t="shared" si="11"/>
        <v>0.18966999999999998</v>
      </c>
      <c r="I90" s="13">
        <f>G90</f>
        <v>189.67</v>
      </c>
    </row>
    <row r="91" spans="1:9" ht="15.75" customHeight="1">
      <c r="A91" s="31">
        <v>23</v>
      </c>
      <c r="B91" s="86" t="s">
        <v>168</v>
      </c>
      <c r="C91" s="37" t="s">
        <v>169</v>
      </c>
      <c r="D91" s="44"/>
      <c r="E91" s="13"/>
      <c r="F91" s="13">
        <f>4/10</f>
        <v>0.4</v>
      </c>
      <c r="G91" s="13">
        <v>381.08</v>
      </c>
      <c r="H91" s="69">
        <f t="shared" si="11"/>
        <v>0.15243199999999998</v>
      </c>
      <c r="I91" s="13">
        <f>G91*0.4</f>
        <v>152.43199999999999</v>
      </c>
    </row>
    <row r="92" spans="1:9" ht="31.5" customHeight="1">
      <c r="A92" s="31">
        <v>24</v>
      </c>
      <c r="B92" s="48" t="s">
        <v>170</v>
      </c>
      <c r="C92" s="49" t="s">
        <v>106</v>
      </c>
      <c r="D92" s="44"/>
      <c r="E92" s="13"/>
      <c r="F92" s="13">
        <v>1</v>
      </c>
      <c r="G92" s="13">
        <v>193.62</v>
      </c>
      <c r="H92" s="69">
        <f t="shared" si="11"/>
        <v>0.19362000000000001</v>
      </c>
      <c r="I92" s="13">
        <f>G92</f>
        <v>193.62</v>
      </c>
    </row>
    <row r="93" spans="1:9" ht="31.5" customHeight="1">
      <c r="A93" s="31">
        <v>25</v>
      </c>
      <c r="B93" s="87" t="s">
        <v>171</v>
      </c>
      <c r="C93" s="88" t="s">
        <v>106</v>
      </c>
      <c r="D93" s="83"/>
      <c r="E93" s="35"/>
      <c r="F93" s="35">
        <v>2</v>
      </c>
      <c r="G93" s="35">
        <v>715.08</v>
      </c>
      <c r="H93" s="69">
        <f t="shared" ref="H93:H94" si="12">F93*G93/1000</f>
        <v>1.4301600000000001</v>
      </c>
      <c r="I93" s="13">
        <f>G93*2</f>
        <v>1430.16</v>
      </c>
    </row>
    <row r="94" spans="1:9" ht="31.5" customHeight="1">
      <c r="A94" s="31">
        <v>26</v>
      </c>
      <c r="B94" s="87" t="s">
        <v>172</v>
      </c>
      <c r="C94" s="88" t="s">
        <v>106</v>
      </c>
      <c r="D94" s="83"/>
      <c r="E94" s="35"/>
      <c r="F94" s="35">
        <v>1</v>
      </c>
      <c r="G94" s="35">
        <v>1787.7</v>
      </c>
      <c r="H94" s="69">
        <f t="shared" si="12"/>
        <v>1.7877000000000001</v>
      </c>
      <c r="I94" s="13">
        <f t="shared" ref="I94" si="13">G94</f>
        <v>1787.7</v>
      </c>
    </row>
    <row r="95" spans="1:9" ht="15.75" customHeight="1">
      <c r="A95" s="31"/>
      <c r="B95" s="42" t="s">
        <v>51</v>
      </c>
      <c r="C95" s="38"/>
      <c r="D95" s="45"/>
      <c r="E95" s="38">
        <v>1</v>
      </c>
      <c r="F95" s="38"/>
      <c r="G95" s="38"/>
      <c r="H95" s="38"/>
      <c r="I95" s="33">
        <f>SUM(I87:I94)</f>
        <v>8059.8535999999995</v>
      </c>
    </row>
    <row r="96" spans="1:9" ht="15.75" customHeight="1">
      <c r="A96" s="31"/>
      <c r="B96" s="44" t="s">
        <v>78</v>
      </c>
      <c r="C96" s="15"/>
      <c r="D96" s="15"/>
      <c r="E96" s="39"/>
      <c r="F96" s="39"/>
      <c r="G96" s="40"/>
      <c r="H96" s="40"/>
      <c r="I96" s="18">
        <v>0</v>
      </c>
    </row>
    <row r="97" spans="1:9" ht="15.75" customHeight="1">
      <c r="A97" s="46"/>
      <c r="B97" s="43" t="s">
        <v>161</v>
      </c>
      <c r="C97" s="34"/>
      <c r="D97" s="34"/>
      <c r="E97" s="34"/>
      <c r="F97" s="34"/>
      <c r="G97" s="34"/>
      <c r="H97" s="34"/>
      <c r="I97" s="41">
        <f>I85+I95</f>
        <v>67901.859701999987</v>
      </c>
    </row>
    <row r="98" spans="1:9" ht="15.75" customHeight="1">
      <c r="A98" s="98" t="s">
        <v>173</v>
      </c>
      <c r="B98" s="98"/>
      <c r="C98" s="98"/>
      <c r="D98" s="98"/>
      <c r="E98" s="98"/>
      <c r="F98" s="98"/>
      <c r="G98" s="98"/>
      <c r="H98" s="98"/>
      <c r="I98" s="98"/>
    </row>
    <row r="99" spans="1:9" ht="15.75">
      <c r="A99" s="58"/>
      <c r="B99" s="99" t="s">
        <v>174</v>
      </c>
      <c r="C99" s="99"/>
      <c r="D99" s="99"/>
      <c r="E99" s="99"/>
      <c r="F99" s="99"/>
      <c r="G99" s="99"/>
      <c r="H99" s="62"/>
      <c r="I99" s="3"/>
    </row>
    <row r="100" spans="1:9" ht="15.75" customHeight="1">
      <c r="A100" s="54"/>
      <c r="B100" s="100" t="s">
        <v>6</v>
      </c>
      <c r="C100" s="100"/>
      <c r="D100" s="100"/>
      <c r="E100" s="100"/>
      <c r="F100" s="100"/>
      <c r="G100" s="100"/>
      <c r="H100" s="26"/>
      <c r="I100" s="5"/>
    </row>
    <row r="101" spans="1:9" ht="15.75" customHeight="1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>
      <c r="A102" s="101" t="s">
        <v>7</v>
      </c>
      <c r="B102" s="101"/>
      <c r="C102" s="101"/>
      <c r="D102" s="101"/>
      <c r="E102" s="101"/>
      <c r="F102" s="101"/>
      <c r="G102" s="101"/>
      <c r="H102" s="101"/>
      <c r="I102" s="101"/>
    </row>
    <row r="103" spans="1:9" ht="15.75" customHeight="1">
      <c r="A103" s="101" t="s">
        <v>8</v>
      </c>
      <c r="B103" s="101"/>
      <c r="C103" s="101"/>
      <c r="D103" s="101"/>
      <c r="E103" s="101"/>
      <c r="F103" s="101"/>
      <c r="G103" s="101"/>
      <c r="H103" s="101"/>
      <c r="I103" s="101"/>
    </row>
    <row r="104" spans="1:9" ht="15.75">
      <c r="A104" s="102" t="s">
        <v>60</v>
      </c>
      <c r="B104" s="102"/>
      <c r="C104" s="102"/>
      <c r="D104" s="102"/>
      <c r="E104" s="102"/>
      <c r="F104" s="102"/>
      <c r="G104" s="102"/>
      <c r="H104" s="102"/>
      <c r="I104" s="102"/>
    </row>
    <row r="105" spans="1:9" ht="15.75" customHeight="1">
      <c r="A105" s="11"/>
    </row>
    <row r="106" spans="1:9" ht="15.75" customHeight="1">
      <c r="A106" s="103" t="s">
        <v>9</v>
      </c>
      <c r="B106" s="103"/>
      <c r="C106" s="103"/>
      <c r="D106" s="103"/>
      <c r="E106" s="103"/>
      <c r="F106" s="103"/>
      <c r="G106" s="103"/>
      <c r="H106" s="103"/>
      <c r="I106" s="103"/>
    </row>
    <row r="107" spans="1:9" ht="15.75" customHeight="1">
      <c r="A107" s="4"/>
    </row>
    <row r="108" spans="1:9" ht="15.75">
      <c r="B108" s="55" t="s">
        <v>10</v>
      </c>
      <c r="C108" s="104" t="s">
        <v>132</v>
      </c>
      <c r="D108" s="104"/>
      <c r="E108" s="104"/>
      <c r="F108" s="60"/>
      <c r="I108" s="53"/>
    </row>
    <row r="109" spans="1:9" ht="15.75" customHeight="1">
      <c r="A109" s="54"/>
      <c r="C109" s="100" t="s">
        <v>11</v>
      </c>
      <c r="D109" s="100"/>
      <c r="E109" s="100"/>
      <c r="F109" s="26"/>
      <c r="I109" s="52" t="s">
        <v>12</v>
      </c>
    </row>
    <row r="110" spans="1:9" ht="15.75" customHeight="1">
      <c r="A110" s="27"/>
      <c r="C110" s="12"/>
      <c r="D110" s="12"/>
      <c r="G110" s="12"/>
      <c r="H110" s="12"/>
    </row>
    <row r="111" spans="1:9" ht="15.75" customHeight="1">
      <c r="B111" s="55" t="s">
        <v>13</v>
      </c>
      <c r="C111" s="105"/>
      <c r="D111" s="105"/>
      <c r="E111" s="105"/>
      <c r="F111" s="61"/>
      <c r="I111" s="53"/>
    </row>
    <row r="112" spans="1:9" ht="15.75" customHeight="1">
      <c r="A112" s="54"/>
      <c r="C112" s="94" t="s">
        <v>11</v>
      </c>
      <c r="D112" s="94"/>
      <c r="E112" s="94"/>
      <c r="F112" s="54"/>
      <c r="I112" s="52" t="s">
        <v>12</v>
      </c>
    </row>
    <row r="113" spans="1:9" ht="15.75">
      <c r="A113" s="4" t="s">
        <v>14</v>
      </c>
    </row>
    <row r="114" spans="1:9" ht="15.75" customHeight="1">
      <c r="A114" s="92" t="s">
        <v>15</v>
      </c>
      <c r="B114" s="92"/>
      <c r="C114" s="92"/>
      <c r="D114" s="92"/>
      <c r="E114" s="92"/>
      <c r="F114" s="92"/>
      <c r="G114" s="92"/>
      <c r="H114" s="92"/>
      <c r="I114" s="92"/>
    </row>
    <row r="115" spans="1:9" ht="45" customHeight="1">
      <c r="A115" s="93" t="s">
        <v>16</v>
      </c>
      <c r="B115" s="93"/>
      <c r="C115" s="93"/>
      <c r="D115" s="93"/>
      <c r="E115" s="93"/>
      <c r="F115" s="93"/>
      <c r="G115" s="93"/>
      <c r="H115" s="93"/>
      <c r="I115" s="93"/>
    </row>
    <row r="116" spans="1:9" ht="30" customHeight="1">
      <c r="A116" s="93" t="s">
        <v>17</v>
      </c>
      <c r="B116" s="93"/>
      <c r="C116" s="93"/>
      <c r="D116" s="93"/>
      <c r="E116" s="93"/>
      <c r="F116" s="93"/>
      <c r="G116" s="93"/>
      <c r="H116" s="93"/>
      <c r="I116" s="93"/>
    </row>
    <row r="117" spans="1:9" ht="30" customHeight="1">
      <c r="A117" s="93" t="s">
        <v>21</v>
      </c>
      <c r="B117" s="93"/>
      <c r="C117" s="93"/>
      <c r="D117" s="93"/>
      <c r="E117" s="93"/>
      <c r="F117" s="93"/>
      <c r="G117" s="93"/>
      <c r="H117" s="93"/>
      <c r="I117" s="93"/>
    </row>
    <row r="118" spans="1:9" ht="15" customHeight="1">
      <c r="A118" s="93" t="s">
        <v>20</v>
      </c>
      <c r="B118" s="93"/>
      <c r="C118" s="93"/>
      <c r="D118" s="93"/>
      <c r="E118" s="93"/>
      <c r="F118" s="93"/>
      <c r="G118" s="93"/>
      <c r="H118" s="93"/>
      <c r="I118" s="93"/>
    </row>
  </sheetData>
  <autoFilter ref="I12:I59"/>
  <mergeCells count="29">
    <mergeCell ref="R64:U64"/>
    <mergeCell ref="A82:I82"/>
    <mergeCell ref="A3:I3"/>
    <mergeCell ref="A4:I4"/>
    <mergeCell ref="A5:I5"/>
    <mergeCell ref="A8:I8"/>
    <mergeCell ref="A10:I10"/>
    <mergeCell ref="A14:I14"/>
    <mergeCell ref="A104:I104"/>
    <mergeCell ref="A15:I15"/>
    <mergeCell ref="A29:I29"/>
    <mergeCell ref="A46:I46"/>
    <mergeCell ref="A57:I57"/>
    <mergeCell ref="A98:I98"/>
    <mergeCell ref="B99:G99"/>
    <mergeCell ref="B100:G100"/>
    <mergeCell ref="A102:I102"/>
    <mergeCell ref="A103:I103"/>
    <mergeCell ref="A86:I86"/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83</v>
      </c>
      <c r="I1" s="28"/>
      <c r="J1" s="1"/>
      <c r="K1" s="1"/>
      <c r="L1" s="1"/>
      <c r="M1" s="1"/>
    </row>
    <row r="2" spans="1:13" ht="15.75">
      <c r="A2" s="30" t="s">
        <v>61</v>
      </c>
      <c r="J2" s="2"/>
      <c r="K2" s="2"/>
      <c r="L2" s="2"/>
      <c r="M2" s="2"/>
    </row>
    <row r="3" spans="1:13" ht="15.75" customHeight="1">
      <c r="A3" s="114" t="s">
        <v>145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212</v>
      </c>
      <c r="B4" s="115"/>
      <c r="C4" s="115"/>
      <c r="D4" s="115"/>
      <c r="E4" s="115"/>
      <c r="F4" s="115"/>
      <c r="G4" s="115"/>
      <c r="H4" s="115"/>
      <c r="I4" s="115"/>
    </row>
    <row r="5" spans="1:13" ht="15.75">
      <c r="A5" s="114" t="s">
        <v>175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>
      <c r="A6" s="2"/>
      <c r="B6" s="57"/>
      <c r="C6" s="57"/>
      <c r="D6" s="57"/>
      <c r="E6" s="57"/>
      <c r="F6" s="57"/>
      <c r="G6" s="57"/>
      <c r="H6" s="57"/>
      <c r="I6" s="32">
        <v>42855</v>
      </c>
      <c r="J6" s="2"/>
      <c r="K6" s="2"/>
      <c r="L6" s="2"/>
      <c r="M6" s="2"/>
    </row>
    <row r="7" spans="1:13" ht="15.75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7" t="s">
        <v>154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18" t="s">
        <v>155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3" t="s">
        <v>58</v>
      </c>
      <c r="B14" s="113"/>
      <c r="C14" s="113"/>
      <c r="D14" s="113"/>
      <c r="E14" s="113"/>
      <c r="F14" s="113"/>
      <c r="G14" s="113"/>
      <c r="H14" s="113"/>
      <c r="I14" s="113"/>
      <c r="J14" s="8"/>
      <c r="K14" s="8"/>
      <c r="L14" s="8"/>
      <c r="M14" s="8"/>
    </row>
    <row r="15" spans="1:13" ht="15" customHeight="1">
      <c r="A15" s="109" t="s">
        <v>4</v>
      </c>
      <c r="B15" s="109"/>
      <c r="C15" s="109"/>
      <c r="D15" s="109"/>
      <c r="E15" s="109"/>
      <c r="F15" s="109"/>
      <c r="G15" s="109"/>
      <c r="H15" s="109"/>
      <c r="I15" s="109"/>
      <c r="J15" s="8"/>
      <c r="K15" s="8"/>
      <c r="L15" s="8"/>
      <c r="M15" s="8"/>
    </row>
    <row r="16" spans="1:13" ht="15.75" customHeight="1">
      <c r="A16" s="31">
        <v>1</v>
      </c>
      <c r="B16" s="14" t="s">
        <v>84</v>
      </c>
      <c r="C16" s="16" t="s">
        <v>85</v>
      </c>
      <c r="D16" s="14" t="s">
        <v>157</v>
      </c>
      <c r="E16" s="19">
        <v>62.28</v>
      </c>
      <c r="F16" s="13">
        <f>SUM(E16*156/100)</f>
        <v>97.156800000000004</v>
      </c>
      <c r="G16" s="13">
        <v>175.38</v>
      </c>
      <c r="H16" s="13">
        <f t="shared" ref="H16:H25" si="0">SUM(F16*G16/1000)</f>
        <v>17.039359584000003</v>
      </c>
      <c r="I16" s="13">
        <f>F16/12*G16</f>
        <v>1419.9466320000001</v>
      </c>
      <c r="J16" s="23"/>
      <c r="K16" s="8"/>
      <c r="L16" s="8"/>
      <c r="M16" s="8"/>
    </row>
    <row r="17" spans="1:13" ht="15.75" customHeight="1">
      <c r="A17" s="31">
        <v>2</v>
      </c>
      <c r="B17" s="14" t="s">
        <v>115</v>
      </c>
      <c r="C17" s="16" t="s">
        <v>85</v>
      </c>
      <c r="D17" s="14" t="s">
        <v>158</v>
      </c>
      <c r="E17" s="19">
        <v>311.42</v>
      </c>
      <c r="F17" s="13">
        <f>SUM(E17*104/100)</f>
        <v>323.8768</v>
      </c>
      <c r="G17" s="13">
        <v>175.38</v>
      </c>
      <c r="H17" s="13">
        <f t="shared" si="0"/>
        <v>56.801513183999994</v>
      </c>
      <c r="I17" s="13">
        <f>F17/12*G17</f>
        <v>4733.4594319999997</v>
      </c>
      <c r="J17" s="24"/>
      <c r="K17" s="8"/>
      <c r="L17" s="8"/>
      <c r="M17" s="8"/>
    </row>
    <row r="18" spans="1:13" ht="15.75" customHeight="1">
      <c r="A18" s="31">
        <v>3</v>
      </c>
      <c r="B18" s="14" t="s">
        <v>116</v>
      </c>
      <c r="C18" s="16" t="s">
        <v>85</v>
      </c>
      <c r="D18" s="14" t="s">
        <v>159</v>
      </c>
      <c r="E18" s="19">
        <v>373.7</v>
      </c>
      <c r="F18" s="13">
        <f>SUM(E18*24/100)</f>
        <v>89.687999999999988</v>
      </c>
      <c r="G18" s="13">
        <v>504.5</v>
      </c>
      <c r="H18" s="13">
        <f t="shared" si="0"/>
        <v>45.247595999999987</v>
      </c>
      <c r="I18" s="13">
        <f>F18/12*G18</f>
        <v>3770.6329999999998</v>
      </c>
      <c r="J18" s="24"/>
      <c r="K18" s="8"/>
      <c r="L18" s="8"/>
      <c r="M18" s="8"/>
    </row>
    <row r="19" spans="1:13" ht="15.75" hidden="1" customHeight="1">
      <c r="A19" s="31"/>
      <c r="B19" s="14" t="s">
        <v>92</v>
      </c>
      <c r="C19" s="16" t="s">
        <v>93</v>
      </c>
      <c r="D19" s="14" t="s">
        <v>94</v>
      </c>
      <c r="E19" s="19">
        <v>38.4</v>
      </c>
      <c r="F19" s="13">
        <f>SUM(E19/10)</f>
        <v>3.84</v>
      </c>
      <c r="G19" s="13">
        <v>170.16</v>
      </c>
      <c r="H19" s="13">
        <f t="shared" si="0"/>
        <v>0.65341439999999995</v>
      </c>
      <c r="I19" s="13">
        <v>0</v>
      </c>
      <c r="J19" s="24"/>
      <c r="K19" s="8"/>
      <c r="L19" s="8"/>
      <c r="M19" s="8"/>
    </row>
    <row r="20" spans="1:13" ht="15.75" customHeight="1">
      <c r="A20" s="31">
        <v>4</v>
      </c>
      <c r="B20" s="14" t="s">
        <v>95</v>
      </c>
      <c r="C20" s="16" t="s">
        <v>85</v>
      </c>
      <c r="D20" s="14" t="s">
        <v>117</v>
      </c>
      <c r="E20" s="19">
        <v>35.04</v>
      </c>
      <c r="F20" s="13">
        <f>SUM(E20*12/100)</f>
        <v>4.2048000000000005</v>
      </c>
      <c r="G20" s="13">
        <v>217.88</v>
      </c>
      <c r="H20" s="13">
        <f t="shared" si="0"/>
        <v>0.91614182399999999</v>
      </c>
      <c r="I20" s="13">
        <f>F20/12*G20</f>
        <v>76.345152000000013</v>
      </c>
      <c r="J20" s="24"/>
      <c r="K20" s="8"/>
      <c r="L20" s="8"/>
      <c r="M20" s="8"/>
    </row>
    <row r="21" spans="1:13" ht="15.75" customHeight="1">
      <c r="A21" s="31">
        <v>5</v>
      </c>
      <c r="B21" s="14" t="s">
        <v>96</v>
      </c>
      <c r="C21" s="16" t="s">
        <v>85</v>
      </c>
      <c r="D21" s="14" t="s">
        <v>30</v>
      </c>
      <c r="E21" s="19">
        <v>9.08</v>
      </c>
      <c r="F21" s="13">
        <f>SUM(E21*12/100)</f>
        <v>1.0896000000000001</v>
      </c>
      <c r="G21" s="13">
        <v>216.12</v>
      </c>
      <c r="H21" s="13">
        <f t="shared" si="0"/>
        <v>0.23548435200000004</v>
      </c>
      <c r="I21" s="13">
        <f>F21/12*G21</f>
        <v>19.623696000000002</v>
      </c>
      <c r="J21" s="24"/>
      <c r="K21" s="8"/>
      <c r="L21" s="8"/>
      <c r="M21" s="8"/>
    </row>
    <row r="22" spans="1:13" ht="15.75" hidden="1" customHeight="1">
      <c r="A22" s="31"/>
      <c r="B22" s="14" t="s">
        <v>97</v>
      </c>
      <c r="C22" s="16" t="s">
        <v>52</v>
      </c>
      <c r="D22" s="14" t="s">
        <v>94</v>
      </c>
      <c r="E22" s="19">
        <v>629</v>
      </c>
      <c r="F22" s="13">
        <f>SUM(E22/100)</f>
        <v>6.29</v>
      </c>
      <c r="G22" s="13">
        <v>269.26</v>
      </c>
      <c r="H22" s="13">
        <f t="shared" si="0"/>
        <v>1.6936453999999999</v>
      </c>
      <c r="I22" s="13">
        <v>0</v>
      </c>
      <c r="J22" s="24"/>
      <c r="K22" s="8"/>
      <c r="L22" s="8"/>
      <c r="M22" s="8"/>
    </row>
    <row r="23" spans="1:13" ht="15.75" hidden="1" customHeight="1">
      <c r="A23" s="31"/>
      <c r="B23" s="14" t="s">
        <v>98</v>
      </c>
      <c r="C23" s="16" t="s">
        <v>52</v>
      </c>
      <c r="D23" s="14" t="s">
        <v>94</v>
      </c>
      <c r="E23" s="19">
        <v>58</v>
      </c>
      <c r="F23" s="13">
        <f>SUM(E23/100)</f>
        <v>0.57999999999999996</v>
      </c>
      <c r="G23" s="13">
        <v>44.29</v>
      </c>
      <c r="H23" s="13">
        <f t="shared" si="0"/>
        <v>2.5688199999999998E-2</v>
      </c>
      <c r="I23" s="13">
        <v>0</v>
      </c>
      <c r="J23" s="24"/>
      <c r="K23" s="8"/>
      <c r="L23" s="8"/>
      <c r="M23" s="8"/>
    </row>
    <row r="24" spans="1:13" ht="15.75" customHeight="1">
      <c r="A24" s="31">
        <v>6</v>
      </c>
      <c r="B24" s="14" t="s">
        <v>99</v>
      </c>
      <c r="C24" s="16" t="s">
        <v>52</v>
      </c>
      <c r="D24" s="14" t="s">
        <v>30</v>
      </c>
      <c r="E24" s="19">
        <v>24</v>
      </c>
      <c r="F24" s="13">
        <f>E24*12/100</f>
        <v>2.88</v>
      </c>
      <c r="G24" s="13">
        <v>389.72</v>
      </c>
      <c r="H24" s="13">
        <f t="shared" si="0"/>
        <v>1.1223936000000001</v>
      </c>
      <c r="I24" s="13">
        <f>F24/12*G24</f>
        <v>93.532800000000009</v>
      </c>
      <c r="J24" s="24"/>
      <c r="K24" s="8"/>
      <c r="L24" s="8"/>
      <c r="M24" s="8"/>
    </row>
    <row r="25" spans="1:13" ht="15.75" hidden="1" customHeight="1">
      <c r="A25" s="31"/>
      <c r="B25" s="14" t="s">
        <v>100</v>
      </c>
      <c r="C25" s="16" t="s">
        <v>52</v>
      </c>
      <c r="D25" s="14" t="s">
        <v>53</v>
      </c>
      <c r="E25" s="19">
        <v>17</v>
      </c>
      <c r="F25" s="13">
        <f>SUM(E25/100)</f>
        <v>0.17</v>
      </c>
      <c r="G25" s="13">
        <v>520.79999999999995</v>
      </c>
      <c r="H25" s="13">
        <f t="shared" si="0"/>
        <v>8.8536000000000004E-2</v>
      </c>
      <c r="I25" s="13">
        <v>0</v>
      </c>
      <c r="J25" s="24"/>
      <c r="K25" s="8"/>
      <c r="L25" s="8"/>
      <c r="M25" s="8"/>
    </row>
    <row r="26" spans="1:13" ht="15.75" hidden="1" customHeight="1">
      <c r="A26" s="31"/>
      <c r="B26" s="14" t="s">
        <v>123</v>
      </c>
      <c r="C26" s="16" t="s">
        <v>52</v>
      </c>
      <c r="D26" s="14" t="s">
        <v>53</v>
      </c>
      <c r="E26" s="19">
        <v>24</v>
      </c>
      <c r="F26" s="13">
        <v>0.24</v>
      </c>
      <c r="G26" s="13">
        <v>216.12</v>
      </c>
      <c r="H26" s="13">
        <f>G26*F26/1000</f>
        <v>5.18688E-2</v>
      </c>
      <c r="I26" s="13">
        <v>0</v>
      </c>
      <c r="J26" s="24"/>
      <c r="K26" s="8"/>
      <c r="L26" s="8"/>
      <c r="M26" s="8"/>
    </row>
    <row r="27" spans="1:13" ht="15.75" customHeight="1">
      <c r="A27" s="31">
        <v>7</v>
      </c>
      <c r="B27" s="14" t="s">
        <v>63</v>
      </c>
      <c r="C27" s="16" t="s">
        <v>33</v>
      </c>
      <c r="D27" s="14" t="s">
        <v>160</v>
      </c>
      <c r="E27" s="19">
        <v>0.1</v>
      </c>
      <c r="F27" s="13">
        <f>SUM(E27*365)</f>
        <v>36.5</v>
      </c>
      <c r="G27" s="13">
        <v>147.03</v>
      </c>
      <c r="H27" s="13">
        <f>SUM(F27*G27/1000)</f>
        <v>5.3665950000000002</v>
      </c>
      <c r="I27" s="13">
        <f>F27/12*G27</f>
        <v>447.21625</v>
      </c>
      <c r="J27" s="25"/>
    </row>
    <row r="28" spans="1:13" ht="15.75" customHeight="1">
      <c r="A28" s="31">
        <v>8</v>
      </c>
      <c r="B28" s="44" t="s">
        <v>23</v>
      </c>
      <c r="C28" s="16" t="s">
        <v>24</v>
      </c>
      <c r="D28" s="14" t="s">
        <v>160</v>
      </c>
      <c r="E28" s="19">
        <v>5367.6</v>
      </c>
      <c r="F28" s="13">
        <f>SUM(E28*12)</f>
        <v>64411.200000000004</v>
      </c>
      <c r="G28" s="13">
        <v>3.18</v>
      </c>
      <c r="H28" s="13">
        <f>SUM(F28*G28/1000)</f>
        <v>204.82761600000003</v>
      </c>
      <c r="I28" s="13">
        <f>F28/12*G28</f>
        <v>17068.968000000001</v>
      </c>
      <c r="J28" s="25"/>
    </row>
    <row r="29" spans="1:13" ht="15" customHeight="1">
      <c r="A29" s="109" t="s">
        <v>82</v>
      </c>
      <c r="B29" s="109"/>
      <c r="C29" s="109"/>
      <c r="D29" s="109"/>
      <c r="E29" s="109"/>
      <c r="F29" s="109"/>
      <c r="G29" s="109"/>
      <c r="H29" s="109"/>
      <c r="I29" s="109"/>
      <c r="J29" s="24"/>
      <c r="K29" s="8"/>
      <c r="L29" s="8"/>
      <c r="M29" s="8"/>
    </row>
    <row r="30" spans="1:13" ht="15.75" hidden="1" customHeight="1">
      <c r="A30" s="31"/>
      <c r="B30" s="56" t="s">
        <v>28</v>
      </c>
      <c r="C30" s="16"/>
      <c r="D30" s="14"/>
      <c r="E30" s="19"/>
      <c r="F30" s="13"/>
      <c r="G30" s="13"/>
      <c r="H30" s="13"/>
      <c r="I30" s="13"/>
      <c r="J30" s="24"/>
      <c r="K30" s="8"/>
      <c r="L30" s="8"/>
      <c r="M30" s="8"/>
    </row>
    <row r="31" spans="1:13" ht="31.5" hidden="1" customHeight="1">
      <c r="A31" s="31">
        <v>9</v>
      </c>
      <c r="B31" s="14" t="s">
        <v>104</v>
      </c>
      <c r="C31" s="16" t="s">
        <v>87</v>
      </c>
      <c r="D31" s="14" t="s">
        <v>101</v>
      </c>
      <c r="E31" s="13">
        <v>748</v>
      </c>
      <c r="F31" s="13">
        <f>SUM(E31*52/1000)</f>
        <v>38.896000000000001</v>
      </c>
      <c r="G31" s="13">
        <v>155.88999999999999</v>
      </c>
      <c r="H31" s="13">
        <f t="shared" ref="H31:H38" si="1">SUM(F31*G31/1000)</f>
        <v>6.063497439999999</v>
      </c>
      <c r="I31" s="13">
        <f t="shared" ref="I31:I35" si="2">F31/6*G31</f>
        <v>1010.5829066666666</v>
      </c>
      <c r="J31" s="24"/>
      <c r="K31" s="8"/>
      <c r="L31" s="8"/>
      <c r="M31" s="8"/>
    </row>
    <row r="32" spans="1:13" ht="31.5" hidden="1" customHeight="1">
      <c r="A32" s="31">
        <v>10</v>
      </c>
      <c r="B32" s="14" t="s">
        <v>119</v>
      </c>
      <c r="C32" s="16" t="s">
        <v>87</v>
      </c>
      <c r="D32" s="14" t="s">
        <v>102</v>
      </c>
      <c r="E32" s="13">
        <v>374</v>
      </c>
      <c r="F32" s="13">
        <f>SUM(E32*78/1000)</f>
        <v>29.172000000000001</v>
      </c>
      <c r="G32" s="13">
        <v>258.63</v>
      </c>
      <c r="H32" s="13">
        <f t="shared" si="1"/>
        <v>7.5447543599999998</v>
      </c>
      <c r="I32" s="13">
        <f t="shared" si="2"/>
        <v>1257.4590599999999</v>
      </c>
      <c r="J32" s="24"/>
      <c r="K32" s="8"/>
      <c r="L32" s="8"/>
      <c r="M32" s="8"/>
    </row>
    <row r="33" spans="1:14" ht="15.75" hidden="1" customHeight="1">
      <c r="A33" s="31"/>
      <c r="B33" s="14" t="s">
        <v>27</v>
      </c>
      <c r="C33" s="16" t="s">
        <v>87</v>
      </c>
      <c r="D33" s="14" t="s">
        <v>53</v>
      </c>
      <c r="E33" s="13">
        <v>748</v>
      </c>
      <c r="F33" s="13">
        <f>SUM(E33/1000)</f>
        <v>0.748</v>
      </c>
      <c r="G33" s="13">
        <v>3020.33</v>
      </c>
      <c r="H33" s="13">
        <f t="shared" si="1"/>
        <v>2.25920684</v>
      </c>
      <c r="I33" s="13">
        <f>F33*G33</f>
        <v>2259.2068399999998</v>
      </c>
      <c r="J33" s="24"/>
      <c r="K33" s="8"/>
      <c r="L33" s="8"/>
      <c r="M33" s="8"/>
    </row>
    <row r="34" spans="1:14" ht="15.75" hidden="1" customHeight="1">
      <c r="A34" s="31">
        <v>11</v>
      </c>
      <c r="B34" s="14" t="s">
        <v>118</v>
      </c>
      <c r="C34" s="16" t="s">
        <v>40</v>
      </c>
      <c r="D34" s="14" t="s">
        <v>62</v>
      </c>
      <c r="E34" s="13">
        <v>1</v>
      </c>
      <c r="F34" s="13">
        <f>E34*155/100</f>
        <v>1.55</v>
      </c>
      <c r="G34" s="13">
        <v>1302.02</v>
      </c>
      <c r="H34" s="13">
        <f>G34*F34/1000</f>
        <v>2.0181309999999999</v>
      </c>
      <c r="I34" s="13">
        <f t="shared" si="2"/>
        <v>336.35516666666672</v>
      </c>
      <c r="J34" s="24"/>
      <c r="K34" s="8"/>
    </row>
    <row r="35" spans="1:14" ht="15.75" hidden="1" customHeight="1">
      <c r="A35" s="31">
        <v>12</v>
      </c>
      <c r="B35" s="14" t="s">
        <v>103</v>
      </c>
      <c r="C35" s="16" t="s">
        <v>31</v>
      </c>
      <c r="D35" s="14" t="s">
        <v>62</v>
      </c>
      <c r="E35" s="66">
        <v>0.33333333333333331</v>
      </c>
      <c r="F35" s="13">
        <f>155/3</f>
        <v>51.666666666666664</v>
      </c>
      <c r="G35" s="13">
        <v>56.69</v>
      </c>
      <c r="H35" s="13">
        <f>SUM(G35*155/3/1000)</f>
        <v>2.9289833333333331</v>
      </c>
      <c r="I35" s="13">
        <f t="shared" si="2"/>
        <v>488.16388888888883</v>
      </c>
      <c r="J35" s="25"/>
    </row>
    <row r="36" spans="1:14" ht="15.75" hidden="1" customHeight="1">
      <c r="A36" s="31"/>
      <c r="B36" s="14" t="s">
        <v>64</v>
      </c>
      <c r="C36" s="16" t="s">
        <v>33</v>
      </c>
      <c r="D36" s="14" t="s">
        <v>66</v>
      </c>
      <c r="E36" s="19"/>
      <c r="F36" s="13">
        <v>2</v>
      </c>
      <c r="G36" s="13">
        <v>191.32</v>
      </c>
      <c r="H36" s="13">
        <f t="shared" si="1"/>
        <v>0.38263999999999998</v>
      </c>
      <c r="I36" s="13">
        <v>0</v>
      </c>
      <c r="J36" s="25"/>
    </row>
    <row r="37" spans="1:14" ht="15.75" hidden="1" customHeight="1">
      <c r="A37" s="31"/>
      <c r="B37" s="14" t="s">
        <v>65</v>
      </c>
      <c r="C37" s="16" t="s">
        <v>32</v>
      </c>
      <c r="D37" s="14" t="s">
        <v>66</v>
      </c>
      <c r="E37" s="19"/>
      <c r="F37" s="13">
        <v>1</v>
      </c>
      <c r="G37" s="13">
        <v>1136.33</v>
      </c>
      <c r="H37" s="13">
        <f t="shared" si="1"/>
        <v>1.1363299999999998</v>
      </c>
      <c r="I37" s="13">
        <v>0</v>
      </c>
      <c r="J37" s="25"/>
    </row>
    <row r="38" spans="1:14" ht="15.75" hidden="1" customHeight="1">
      <c r="A38" s="31"/>
      <c r="B38" s="14" t="s">
        <v>125</v>
      </c>
      <c r="C38" s="16" t="s">
        <v>29</v>
      </c>
      <c r="D38" s="14"/>
      <c r="E38" s="19">
        <v>932.2</v>
      </c>
      <c r="F38" s="13">
        <v>0.93220000000000003</v>
      </c>
      <c r="G38" s="13">
        <v>1305.02</v>
      </c>
      <c r="H38" s="13">
        <f t="shared" si="1"/>
        <v>1.216539644</v>
      </c>
      <c r="I38" s="13">
        <v>0</v>
      </c>
      <c r="J38" s="25"/>
    </row>
    <row r="39" spans="1:14" ht="15.75" customHeight="1">
      <c r="A39" s="31"/>
      <c r="B39" s="56" t="s">
        <v>5</v>
      </c>
      <c r="C39" s="16"/>
      <c r="D39" s="14"/>
      <c r="E39" s="19"/>
      <c r="F39" s="13"/>
      <c r="G39" s="13"/>
      <c r="H39" s="13" t="s">
        <v>139</v>
      </c>
      <c r="I39" s="13"/>
      <c r="J39" s="25"/>
      <c r="L39" s="20"/>
      <c r="M39" s="21"/>
      <c r="N39" s="22"/>
    </row>
    <row r="40" spans="1:14" ht="15.75" customHeight="1">
      <c r="A40" s="31">
        <v>9</v>
      </c>
      <c r="B40" s="14" t="s">
        <v>26</v>
      </c>
      <c r="C40" s="16" t="s">
        <v>32</v>
      </c>
      <c r="D40" s="14"/>
      <c r="E40" s="19"/>
      <c r="F40" s="13">
        <v>6</v>
      </c>
      <c r="G40" s="13">
        <v>1527.22</v>
      </c>
      <c r="H40" s="13">
        <f t="shared" ref="H40:H45" si="3">SUM(F40*G40/1000)</f>
        <v>9.1633200000000006</v>
      </c>
      <c r="I40" s="13">
        <f t="shared" ref="I40:I45" si="4">F40/6*G40</f>
        <v>1527.22</v>
      </c>
      <c r="J40" s="25"/>
      <c r="L40" s="20"/>
      <c r="M40" s="21"/>
      <c r="N40" s="22"/>
    </row>
    <row r="41" spans="1:14" ht="15.75" customHeight="1">
      <c r="A41" s="31">
        <v>10</v>
      </c>
      <c r="B41" s="14" t="s">
        <v>105</v>
      </c>
      <c r="C41" s="16" t="s">
        <v>29</v>
      </c>
      <c r="D41" s="14" t="s">
        <v>126</v>
      </c>
      <c r="E41" s="19">
        <v>374</v>
      </c>
      <c r="F41" s="13">
        <f>E41*26/1000</f>
        <v>9.7240000000000002</v>
      </c>
      <c r="G41" s="13">
        <v>2102.71</v>
      </c>
      <c r="H41" s="13">
        <f>G41*F41/1000</f>
        <v>20.44675204</v>
      </c>
      <c r="I41" s="13">
        <f t="shared" si="4"/>
        <v>3407.792006666667</v>
      </c>
      <c r="J41" s="25"/>
      <c r="L41" s="20"/>
      <c r="M41" s="21"/>
      <c r="N41" s="22"/>
    </row>
    <row r="42" spans="1:14" ht="15.75" customHeight="1">
      <c r="A42" s="31">
        <v>11</v>
      </c>
      <c r="B42" s="14" t="s">
        <v>67</v>
      </c>
      <c r="C42" s="16" t="s">
        <v>29</v>
      </c>
      <c r="D42" s="14" t="s">
        <v>86</v>
      </c>
      <c r="E42" s="13">
        <v>160</v>
      </c>
      <c r="F42" s="13">
        <f>SUM(E42*155/1000)</f>
        <v>24.8</v>
      </c>
      <c r="G42" s="13">
        <v>350.75</v>
      </c>
      <c r="H42" s="13">
        <f t="shared" si="3"/>
        <v>8.6986000000000008</v>
      </c>
      <c r="I42" s="13">
        <f t="shared" si="4"/>
        <v>1449.7666666666669</v>
      </c>
      <c r="J42" s="25"/>
      <c r="L42" s="20"/>
      <c r="M42" s="21"/>
      <c r="N42" s="22"/>
    </row>
    <row r="43" spans="1:14" ht="47.25" customHeight="1">
      <c r="A43" s="31">
        <v>12</v>
      </c>
      <c r="B43" s="14" t="s">
        <v>81</v>
      </c>
      <c r="C43" s="16" t="s">
        <v>87</v>
      </c>
      <c r="D43" s="14" t="s">
        <v>127</v>
      </c>
      <c r="E43" s="13">
        <v>76</v>
      </c>
      <c r="F43" s="13">
        <f>SUM(E43*50/1000)</f>
        <v>3.8</v>
      </c>
      <c r="G43" s="13">
        <v>5803.28</v>
      </c>
      <c r="H43" s="13">
        <f t="shared" si="3"/>
        <v>22.052463999999997</v>
      </c>
      <c r="I43" s="13">
        <f t="shared" si="4"/>
        <v>3675.4106666666662</v>
      </c>
      <c r="J43" s="25"/>
      <c r="L43" s="20"/>
      <c r="M43" s="21"/>
      <c r="N43" s="22"/>
    </row>
    <row r="44" spans="1:14" ht="15.75" customHeight="1">
      <c r="A44" s="31">
        <v>13</v>
      </c>
      <c r="B44" s="14" t="s">
        <v>88</v>
      </c>
      <c r="C44" s="16" t="s">
        <v>87</v>
      </c>
      <c r="D44" s="122" t="s">
        <v>217</v>
      </c>
      <c r="E44" s="123">
        <v>76</v>
      </c>
      <c r="F44" s="124">
        <f>SUM(E44*15/1000)</f>
        <v>1.1399999999999999</v>
      </c>
      <c r="G44" s="123">
        <v>428.7</v>
      </c>
      <c r="H44" s="125">
        <f t="shared" ref="H44" si="5">SUM(F44*G44/1000)</f>
        <v>0.48871799999999999</v>
      </c>
      <c r="I44" s="13">
        <f>F44/2*G44</f>
        <v>244.35899999999998</v>
      </c>
      <c r="J44" s="25"/>
      <c r="L44" s="20"/>
      <c r="M44" s="21"/>
      <c r="N44" s="22"/>
    </row>
    <row r="45" spans="1:14" ht="15.75" customHeight="1">
      <c r="A45" s="31">
        <v>14</v>
      </c>
      <c r="B45" s="14" t="s">
        <v>69</v>
      </c>
      <c r="C45" s="16" t="s">
        <v>33</v>
      </c>
      <c r="D45" s="14"/>
      <c r="E45" s="19"/>
      <c r="F45" s="13">
        <v>0.9</v>
      </c>
      <c r="G45" s="13">
        <v>798</v>
      </c>
      <c r="H45" s="13">
        <f t="shared" si="3"/>
        <v>0.71820000000000006</v>
      </c>
      <c r="I45" s="13">
        <f t="shared" si="4"/>
        <v>119.69999999999999</v>
      </c>
      <c r="J45" s="25"/>
      <c r="L45" s="20"/>
      <c r="M45" s="21"/>
      <c r="N45" s="22"/>
    </row>
    <row r="46" spans="1:14" ht="15" customHeight="1">
      <c r="A46" s="110" t="s">
        <v>135</v>
      </c>
      <c r="B46" s="111"/>
      <c r="C46" s="111"/>
      <c r="D46" s="111"/>
      <c r="E46" s="111"/>
      <c r="F46" s="111"/>
      <c r="G46" s="111"/>
      <c r="H46" s="111"/>
      <c r="I46" s="112"/>
      <c r="J46" s="25"/>
      <c r="L46" s="20"/>
      <c r="M46" s="21"/>
      <c r="N46" s="22"/>
    </row>
    <row r="47" spans="1:14" ht="15.75" hidden="1" customHeight="1">
      <c r="A47" s="31"/>
      <c r="B47" s="14" t="s">
        <v>140</v>
      </c>
      <c r="C47" s="16" t="s">
        <v>87</v>
      </c>
      <c r="D47" s="14" t="s">
        <v>42</v>
      </c>
      <c r="E47" s="19">
        <v>1099.7</v>
      </c>
      <c r="F47" s="13">
        <f>SUM(E47*2/1000)</f>
        <v>2.1994000000000002</v>
      </c>
      <c r="G47" s="13">
        <v>809.74</v>
      </c>
      <c r="H47" s="13">
        <f t="shared" ref="H47:H56" si="6">SUM(F47*G47/1000)</f>
        <v>1.7809421560000003</v>
      </c>
      <c r="I47" s="13">
        <v>0</v>
      </c>
      <c r="J47" s="25"/>
      <c r="L47" s="20"/>
      <c r="M47" s="21"/>
      <c r="N47" s="22"/>
    </row>
    <row r="48" spans="1:14" ht="15.75" hidden="1" customHeight="1">
      <c r="A48" s="31"/>
      <c r="B48" s="14" t="s">
        <v>35</v>
      </c>
      <c r="C48" s="16" t="s">
        <v>87</v>
      </c>
      <c r="D48" s="14" t="s">
        <v>42</v>
      </c>
      <c r="E48" s="19">
        <v>52</v>
      </c>
      <c r="F48" s="13">
        <f>E48*2/1000</f>
        <v>0.104</v>
      </c>
      <c r="G48" s="13">
        <v>579.48</v>
      </c>
      <c r="H48" s="13">
        <f t="shared" si="6"/>
        <v>6.0265920000000001E-2</v>
      </c>
      <c r="I48" s="13">
        <v>0</v>
      </c>
      <c r="J48" s="25"/>
      <c r="L48" s="20"/>
      <c r="M48" s="21"/>
      <c r="N48" s="22"/>
    </row>
    <row r="49" spans="1:22" ht="15.75" hidden="1" customHeight="1">
      <c r="A49" s="31"/>
      <c r="B49" s="14" t="s">
        <v>36</v>
      </c>
      <c r="C49" s="16" t="s">
        <v>87</v>
      </c>
      <c r="D49" s="14" t="s">
        <v>42</v>
      </c>
      <c r="E49" s="19">
        <v>917.78</v>
      </c>
      <c r="F49" s="13">
        <f>SUM(E49*2/1000)</f>
        <v>1.8355599999999999</v>
      </c>
      <c r="G49" s="13">
        <v>579.48</v>
      </c>
      <c r="H49" s="13">
        <f t="shared" si="6"/>
        <v>1.0636703087999999</v>
      </c>
      <c r="I49" s="13">
        <v>0</v>
      </c>
      <c r="J49" s="25"/>
      <c r="L49" s="20"/>
      <c r="M49" s="21"/>
      <c r="N49" s="22"/>
    </row>
    <row r="50" spans="1:22" ht="15.75" hidden="1" customHeight="1">
      <c r="A50" s="31"/>
      <c r="B50" s="14" t="s">
        <v>37</v>
      </c>
      <c r="C50" s="16" t="s">
        <v>87</v>
      </c>
      <c r="D50" s="14" t="s">
        <v>42</v>
      </c>
      <c r="E50" s="19">
        <v>3930</v>
      </c>
      <c r="F50" s="13">
        <f>SUM(E50*2/1000)</f>
        <v>7.86</v>
      </c>
      <c r="G50" s="13">
        <v>606.77</v>
      </c>
      <c r="H50" s="13">
        <f t="shared" si="6"/>
        <v>4.7692122000000001</v>
      </c>
      <c r="I50" s="13">
        <v>0</v>
      </c>
      <c r="J50" s="25"/>
      <c r="L50" s="20"/>
      <c r="M50" s="21"/>
      <c r="N50" s="22"/>
    </row>
    <row r="51" spans="1:22" ht="15.75" hidden="1" customHeight="1">
      <c r="A51" s="31"/>
      <c r="B51" s="14" t="s">
        <v>34</v>
      </c>
      <c r="C51" s="16" t="s">
        <v>52</v>
      </c>
      <c r="D51" s="14" t="s">
        <v>42</v>
      </c>
      <c r="E51" s="19">
        <v>142.38999999999999</v>
      </c>
      <c r="F51" s="13">
        <f>E51*2/100</f>
        <v>2.8477999999999999</v>
      </c>
      <c r="G51" s="13">
        <v>72.81</v>
      </c>
      <c r="H51" s="13">
        <f>F51*G51/1000</f>
        <v>0.207348318</v>
      </c>
      <c r="I51" s="13">
        <v>0</v>
      </c>
      <c r="J51" s="25"/>
      <c r="L51" s="20"/>
      <c r="M51" s="21"/>
      <c r="N51" s="22"/>
    </row>
    <row r="52" spans="1:22" ht="15.75" hidden="1" customHeight="1">
      <c r="A52" s="31">
        <v>15</v>
      </c>
      <c r="B52" s="14" t="s">
        <v>55</v>
      </c>
      <c r="C52" s="16" t="s">
        <v>87</v>
      </c>
      <c r="D52" s="14" t="s">
        <v>142</v>
      </c>
      <c r="E52" s="19">
        <v>1914</v>
      </c>
      <c r="F52" s="13">
        <f>SUM(E52*5/1000)</f>
        <v>9.57</v>
      </c>
      <c r="G52" s="13">
        <v>1213.55</v>
      </c>
      <c r="H52" s="13">
        <f t="shared" si="6"/>
        <v>11.613673500000001</v>
      </c>
      <c r="I52" s="13">
        <f>F52/5*G52</f>
        <v>2322.7347</v>
      </c>
      <c r="J52" s="25"/>
      <c r="L52" s="20"/>
      <c r="M52" s="21"/>
      <c r="N52" s="22"/>
    </row>
    <row r="53" spans="1:22" ht="31.5" hidden="1" customHeight="1">
      <c r="A53" s="31">
        <v>16</v>
      </c>
      <c r="B53" s="14" t="s">
        <v>89</v>
      </c>
      <c r="C53" s="16" t="s">
        <v>87</v>
      </c>
      <c r="D53" s="14" t="s">
        <v>42</v>
      </c>
      <c r="E53" s="19">
        <v>1914</v>
      </c>
      <c r="F53" s="13">
        <f>SUM(E53*2/1000)</f>
        <v>3.8279999999999998</v>
      </c>
      <c r="G53" s="13">
        <v>1213.55</v>
      </c>
      <c r="H53" s="13">
        <f t="shared" si="6"/>
        <v>4.6454693999999996</v>
      </c>
      <c r="I53" s="13">
        <f>F53/2*G53</f>
        <v>2322.7347</v>
      </c>
      <c r="J53" s="25"/>
      <c r="L53" s="20"/>
      <c r="M53" s="21"/>
      <c r="N53" s="22"/>
    </row>
    <row r="54" spans="1:22" ht="31.5" hidden="1" customHeight="1">
      <c r="A54" s="31">
        <v>17</v>
      </c>
      <c r="B54" s="14" t="s">
        <v>90</v>
      </c>
      <c r="C54" s="16" t="s">
        <v>38</v>
      </c>
      <c r="D54" s="14" t="s">
        <v>42</v>
      </c>
      <c r="E54" s="19">
        <v>20</v>
      </c>
      <c r="F54" s="13">
        <f>SUM(E54*2/100)</f>
        <v>0.4</v>
      </c>
      <c r="G54" s="13">
        <v>2730.49</v>
      </c>
      <c r="H54" s="13">
        <f>SUM(F54*G54/1000)</f>
        <v>1.0921959999999999</v>
      </c>
      <c r="I54" s="13">
        <f>F54/2*G54</f>
        <v>546.09799999999996</v>
      </c>
      <c r="J54" s="25"/>
      <c r="L54" s="20"/>
      <c r="M54" s="21"/>
      <c r="N54" s="22"/>
    </row>
    <row r="55" spans="1:22" ht="15.75" customHeight="1">
      <c r="A55" s="31">
        <v>15</v>
      </c>
      <c r="B55" s="14" t="s">
        <v>39</v>
      </c>
      <c r="C55" s="16" t="s">
        <v>40</v>
      </c>
      <c r="D55" s="14" t="s">
        <v>42</v>
      </c>
      <c r="E55" s="19">
        <v>1</v>
      </c>
      <c r="F55" s="13">
        <v>0.02</v>
      </c>
      <c r="G55" s="13">
        <v>5652.13</v>
      </c>
      <c r="H55" s="13">
        <f t="shared" si="6"/>
        <v>0.11304260000000001</v>
      </c>
      <c r="I55" s="13">
        <f>F55/2*G55</f>
        <v>56.521300000000004</v>
      </c>
      <c r="J55" s="25"/>
      <c r="L55" s="20"/>
      <c r="M55" s="21"/>
      <c r="N55" s="22"/>
    </row>
    <row r="56" spans="1:22" ht="15.75" customHeight="1">
      <c r="A56" s="31">
        <v>16</v>
      </c>
      <c r="B56" s="14" t="s">
        <v>41</v>
      </c>
      <c r="C56" s="16" t="s">
        <v>106</v>
      </c>
      <c r="D56" s="14" t="s">
        <v>70</v>
      </c>
      <c r="E56" s="19">
        <v>120</v>
      </c>
      <c r="F56" s="13">
        <f>SUM(E56)*3</f>
        <v>360</v>
      </c>
      <c r="G56" s="13">
        <v>65.67</v>
      </c>
      <c r="H56" s="13">
        <f t="shared" si="6"/>
        <v>23.641200000000001</v>
      </c>
      <c r="I56" s="13">
        <f>E56*G56</f>
        <v>7880.4000000000005</v>
      </c>
      <c r="J56" s="25"/>
      <c r="L56" s="20"/>
      <c r="M56" s="21"/>
      <c r="N56" s="22"/>
    </row>
    <row r="57" spans="1:22" ht="15.75" customHeight="1">
      <c r="A57" s="110" t="s">
        <v>136</v>
      </c>
      <c r="B57" s="111"/>
      <c r="C57" s="111"/>
      <c r="D57" s="111"/>
      <c r="E57" s="111"/>
      <c r="F57" s="111"/>
      <c r="G57" s="111"/>
      <c r="H57" s="111"/>
      <c r="I57" s="112"/>
      <c r="J57" s="25"/>
      <c r="L57" s="20"/>
      <c r="M57" s="21"/>
      <c r="N57" s="22"/>
    </row>
    <row r="58" spans="1:22" ht="15.75" customHeight="1">
      <c r="A58" s="31"/>
      <c r="B58" s="56" t="s">
        <v>43</v>
      </c>
      <c r="C58" s="16"/>
      <c r="D58" s="14"/>
      <c r="E58" s="19"/>
      <c r="F58" s="13"/>
      <c r="G58" s="13"/>
      <c r="H58" s="13"/>
      <c r="I58" s="13"/>
      <c r="J58" s="25"/>
      <c r="L58" s="20"/>
    </row>
    <row r="59" spans="1:22" ht="31.5" customHeight="1">
      <c r="A59" s="31">
        <v>17</v>
      </c>
      <c r="B59" s="14" t="s">
        <v>141</v>
      </c>
      <c r="C59" s="16" t="s">
        <v>85</v>
      </c>
      <c r="D59" s="14" t="s">
        <v>107</v>
      </c>
      <c r="E59" s="19">
        <v>66</v>
      </c>
      <c r="F59" s="13">
        <f>SUM(E59*6/100)</f>
        <v>3.96</v>
      </c>
      <c r="G59" s="13">
        <v>1547.28</v>
      </c>
      <c r="H59" s="13">
        <f>SUM(F59*G59/1000)</f>
        <v>6.1272288000000001</v>
      </c>
      <c r="I59" s="13">
        <f>F59/6*G59</f>
        <v>1021.2048</v>
      </c>
    </row>
    <row r="60" spans="1:22" ht="15.75" customHeight="1">
      <c r="A60" s="31"/>
      <c r="B60" s="56" t="s">
        <v>44</v>
      </c>
      <c r="C60" s="16"/>
      <c r="D60" s="14"/>
      <c r="E60" s="19"/>
      <c r="F60" s="13"/>
      <c r="G60" s="13"/>
      <c r="H60" s="13"/>
      <c r="I60" s="13"/>
    </row>
    <row r="61" spans="1:22" ht="15.75" hidden="1" customHeight="1">
      <c r="A61" s="31"/>
      <c r="B61" s="14" t="s">
        <v>120</v>
      </c>
      <c r="C61" s="16" t="s">
        <v>52</v>
      </c>
      <c r="D61" s="14" t="s">
        <v>53</v>
      </c>
      <c r="E61" s="19">
        <v>1387</v>
      </c>
      <c r="F61" s="13">
        <f>E61/100</f>
        <v>13.87</v>
      </c>
      <c r="G61" s="13">
        <v>793.61</v>
      </c>
      <c r="H61" s="13">
        <f>F61*G61/1000</f>
        <v>11.007370699999999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31">
        <v>18</v>
      </c>
      <c r="B62" s="14" t="s">
        <v>121</v>
      </c>
      <c r="C62" s="16" t="s">
        <v>25</v>
      </c>
      <c r="D62" s="14" t="s">
        <v>30</v>
      </c>
      <c r="E62" s="19">
        <v>286.8</v>
      </c>
      <c r="F62" s="13">
        <f>E62*12</f>
        <v>3441.6000000000004</v>
      </c>
      <c r="G62" s="13">
        <v>2.6</v>
      </c>
      <c r="H62" s="13">
        <f>F62*G62/1000</f>
        <v>8.9481600000000014</v>
      </c>
      <c r="I62" s="13">
        <f>F62/12*G62</f>
        <v>745.68000000000006</v>
      </c>
      <c r="J62" s="27"/>
      <c r="K62" s="27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31"/>
      <c r="B63" s="56" t="s">
        <v>128</v>
      </c>
      <c r="C63" s="16"/>
      <c r="D63" s="14"/>
      <c r="E63" s="19"/>
      <c r="F63" s="13"/>
      <c r="G63" s="13"/>
      <c r="H63" s="13"/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31"/>
      <c r="B64" s="14" t="s">
        <v>129</v>
      </c>
      <c r="C64" s="16" t="s">
        <v>106</v>
      </c>
      <c r="D64" s="14" t="s">
        <v>53</v>
      </c>
      <c r="E64" s="19">
        <v>4</v>
      </c>
      <c r="F64" s="13">
        <v>4</v>
      </c>
      <c r="G64" s="13">
        <v>237.75</v>
      </c>
      <c r="H64" s="13">
        <f t="shared" ref="H64" si="7">F64*G64/1000</f>
        <v>0.95099999999999996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94"/>
      <c r="S64" s="94"/>
      <c r="T64" s="94"/>
      <c r="U64" s="94"/>
    </row>
    <row r="65" spans="1:21" ht="15.75" hidden="1" customHeight="1">
      <c r="A65" s="31"/>
      <c r="B65" s="56" t="s">
        <v>45</v>
      </c>
      <c r="C65" s="16"/>
      <c r="D65" s="14"/>
      <c r="E65" s="19"/>
      <c r="F65" s="13"/>
      <c r="G65" s="13"/>
      <c r="H65" s="13" t="s">
        <v>139</v>
      </c>
      <c r="I65" s="1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hidden="1" customHeight="1">
      <c r="A66" s="31"/>
      <c r="B66" s="14" t="s">
        <v>46</v>
      </c>
      <c r="C66" s="16" t="s">
        <v>106</v>
      </c>
      <c r="D66" s="14" t="s">
        <v>66</v>
      </c>
      <c r="E66" s="19">
        <v>10</v>
      </c>
      <c r="F66" s="13">
        <v>10</v>
      </c>
      <c r="G66" s="13">
        <v>222.4</v>
      </c>
      <c r="H66" s="13">
        <f t="shared" ref="H66:H79" si="8">SUM(F66*G66/1000)</f>
        <v>2.2240000000000002</v>
      </c>
      <c r="I66" s="13">
        <f>0</f>
        <v>0</v>
      </c>
    </row>
    <row r="67" spans="1:21" ht="15.75" hidden="1" customHeight="1">
      <c r="A67" s="31"/>
      <c r="B67" s="14" t="s">
        <v>47</v>
      </c>
      <c r="C67" s="16" t="s">
        <v>106</v>
      </c>
      <c r="D67" s="14" t="s">
        <v>66</v>
      </c>
      <c r="E67" s="19">
        <v>5</v>
      </c>
      <c r="F67" s="13">
        <v>5</v>
      </c>
      <c r="G67" s="13">
        <v>76.25</v>
      </c>
      <c r="H67" s="13">
        <f t="shared" si="8"/>
        <v>0.38124999999999998</v>
      </c>
      <c r="I67" s="13">
        <v>0</v>
      </c>
    </row>
    <row r="68" spans="1:21" ht="15.75" hidden="1" customHeight="1">
      <c r="A68" s="31"/>
      <c r="B68" s="14" t="s">
        <v>48</v>
      </c>
      <c r="C68" s="16" t="s">
        <v>108</v>
      </c>
      <c r="D68" s="14" t="s">
        <v>53</v>
      </c>
      <c r="E68" s="19">
        <v>19138</v>
      </c>
      <c r="F68" s="13">
        <f>SUM(E68/100)</f>
        <v>191.38</v>
      </c>
      <c r="G68" s="13">
        <v>212.15</v>
      </c>
      <c r="H68" s="13">
        <f t="shared" si="8"/>
        <v>40.601267</v>
      </c>
      <c r="I68" s="13">
        <f>F68*G68</f>
        <v>40601.267</v>
      </c>
    </row>
    <row r="69" spans="1:21" ht="15.75" hidden="1" customHeight="1">
      <c r="A69" s="31"/>
      <c r="B69" s="14" t="s">
        <v>49</v>
      </c>
      <c r="C69" s="16" t="s">
        <v>109</v>
      </c>
      <c r="D69" s="14"/>
      <c r="E69" s="19">
        <v>19138</v>
      </c>
      <c r="F69" s="13">
        <f>SUM(E69/1000)</f>
        <v>19.138000000000002</v>
      </c>
      <c r="G69" s="13">
        <v>165.21</v>
      </c>
      <c r="H69" s="13">
        <f t="shared" si="8"/>
        <v>3.1617889800000003</v>
      </c>
      <c r="I69" s="13">
        <f t="shared" ref="I69:I73" si="9">F69*G69</f>
        <v>3161.7889800000003</v>
      </c>
    </row>
    <row r="70" spans="1:21" ht="15.75" hidden="1" customHeight="1">
      <c r="A70" s="31"/>
      <c r="B70" s="14" t="s">
        <v>50</v>
      </c>
      <c r="C70" s="16" t="s">
        <v>76</v>
      </c>
      <c r="D70" s="14" t="s">
        <v>53</v>
      </c>
      <c r="E70" s="19">
        <v>2730</v>
      </c>
      <c r="F70" s="13">
        <f>SUM(E70/100)</f>
        <v>27.3</v>
      </c>
      <c r="G70" s="13">
        <v>2074.63</v>
      </c>
      <c r="H70" s="13">
        <f t="shared" si="8"/>
        <v>56.637399000000002</v>
      </c>
      <c r="I70" s="13">
        <f t="shared" si="9"/>
        <v>56637.399000000005</v>
      </c>
    </row>
    <row r="71" spans="1:21" ht="15.75" hidden="1" customHeight="1">
      <c r="A71" s="31"/>
      <c r="B71" s="67" t="s">
        <v>110</v>
      </c>
      <c r="C71" s="16" t="s">
        <v>33</v>
      </c>
      <c r="D71" s="14"/>
      <c r="E71" s="19">
        <v>13</v>
      </c>
      <c r="F71" s="13">
        <f>SUM(E71)</f>
        <v>13</v>
      </c>
      <c r="G71" s="13">
        <v>45.32</v>
      </c>
      <c r="H71" s="13">
        <f t="shared" si="8"/>
        <v>0.58916000000000002</v>
      </c>
      <c r="I71" s="13">
        <f t="shared" si="9"/>
        <v>589.16</v>
      </c>
    </row>
    <row r="72" spans="1:21" ht="15.75" hidden="1" customHeight="1">
      <c r="A72" s="31"/>
      <c r="B72" s="67" t="s">
        <v>111</v>
      </c>
      <c r="C72" s="16" t="s">
        <v>33</v>
      </c>
      <c r="D72" s="14"/>
      <c r="E72" s="19">
        <v>13</v>
      </c>
      <c r="F72" s="13">
        <f>SUM(E72)</f>
        <v>13</v>
      </c>
      <c r="G72" s="13">
        <v>42.28</v>
      </c>
      <c r="H72" s="13">
        <f t="shared" si="8"/>
        <v>0.54964000000000002</v>
      </c>
      <c r="I72" s="13">
        <f t="shared" si="9"/>
        <v>549.64</v>
      </c>
    </row>
    <row r="73" spans="1:21" ht="15.75" hidden="1" customHeight="1">
      <c r="A73" s="31"/>
      <c r="B73" s="14" t="s">
        <v>56</v>
      </c>
      <c r="C73" s="16" t="s">
        <v>57</v>
      </c>
      <c r="D73" s="14" t="s">
        <v>53</v>
      </c>
      <c r="E73" s="19">
        <v>8</v>
      </c>
      <c r="F73" s="13">
        <v>8</v>
      </c>
      <c r="G73" s="13">
        <v>49.88</v>
      </c>
      <c r="H73" s="13">
        <f t="shared" si="8"/>
        <v>0.39904000000000001</v>
      </c>
      <c r="I73" s="13">
        <f t="shared" si="9"/>
        <v>399.04</v>
      </c>
    </row>
    <row r="74" spans="1:21" ht="15.75" hidden="1" customHeight="1">
      <c r="A74" s="31"/>
      <c r="B74" s="56" t="s">
        <v>71</v>
      </c>
      <c r="C74" s="16"/>
      <c r="D74" s="14"/>
      <c r="E74" s="19"/>
      <c r="F74" s="13"/>
      <c r="G74" s="13"/>
      <c r="H74" s="13" t="s">
        <v>139</v>
      </c>
      <c r="I74" s="13"/>
    </row>
    <row r="75" spans="1:21" ht="15.75" hidden="1" customHeight="1">
      <c r="A75" s="31">
        <v>22</v>
      </c>
      <c r="B75" s="14" t="s">
        <v>72</v>
      </c>
      <c r="C75" s="16" t="s">
        <v>74</v>
      </c>
      <c r="D75" s="14"/>
      <c r="E75" s="19">
        <v>4</v>
      </c>
      <c r="F75" s="13">
        <v>0.4</v>
      </c>
      <c r="G75" s="13">
        <v>501.62</v>
      </c>
      <c r="H75" s="13">
        <f t="shared" si="8"/>
        <v>0.20064800000000002</v>
      </c>
      <c r="I75" s="13">
        <f>G75*0.6</f>
        <v>300.97199999999998</v>
      </c>
    </row>
    <row r="76" spans="1:21" ht="15.75" hidden="1" customHeight="1">
      <c r="A76" s="31"/>
      <c r="B76" s="14" t="s">
        <v>73</v>
      </c>
      <c r="C76" s="16" t="s">
        <v>31</v>
      </c>
      <c r="D76" s="14"/>
      <c r="E76" s="19">
        <v>1</v>
      </c>
      <c r="F76" s="13">
        <v>1</v>
      </c>
      <c r="G76" s="13">
        <v>852.99</v>
      </c>
      <c r="H76" s="13">
        <f>F76*G76/1000</f>
        <v>0.85299000000000003</v>
      </c>
      <c r="I76" s="13">
        <v>0</v>
      </c>
    </row>
    <row r="77" spans="1:21" ht="15.75" hidden="1" customHeight="1">
      <c r="A77" s="31"/>
      <c r="B77" s="14" t="s">
        <v>113</v>
      </c>
      <c r="C77" s="16" t="s">
        <v>31</v>
      </c>
      <c r="D77" s="14"/>
      <c r="E77" s="19">
        <v>1</v>
      </c>
      <c r="F77" s="13">
        <v>1</v>
      </c>
      <c r="G77" s="13">
        <v>358.51</v>
      </c>
      <c r="H77" s="13">
        <f>G77*F77/1000</f>
        <v>0.35851</v>
      </c>
      <c r="I77" s="13">
        <v>0</v>
      </c>
    </row>
    <row r="78" spans="1:21" ht="15.75" hidden="1" customHeight="1">
      <c r="A78" s="31"/>
      <c r="B78" s="64" t="s">
        <v>75</v>
      </c>
      <c r="C78" s="16"/>
      <c r="D78" s="14"/>
      <c r="E78" s="19"/>
      <c r="F78" s="13"/>
      <c r="G78" s="13" t="s">
        <v>139</v>
      </c>
      <c r="H78" s="13" t="s">
        <v>139</v>
      </c>
      <c r="I78" s="13"/>
    </row>
    <row r="79" spans="1:21" ht="15.75" hidden="1" customHeight="1">
      <c r="A79" s="31"/>
      <c r="B79" s="44" t="s">
        <v>124</v>
      </c>
      <c r="C79" s="16" t="s">
        <v>76</v>
      </c>
      <c r="D79" s="14"/>
      <c r="E79" s="19"/>
      <c r="F79" s="13">
        <v>0.1</v>
      </c>
      <c r="G79" s="13">
        <v>2759.44</v>
      </c>
      <c r="H79" s="13">
        <f t="shared" si="8"/>
        <v>0.27594400000000002</v>
      </c>
      <c r="I79" s="13">
        <v>0</v>
      </c>
    </row>
    <row r="80" spans="1:21" ht="15.75" hidden="1" customHeight="1">
      <c r="A80" s="31"/>
      <c r="B80" s="56" t="s">
        <v>91</v>
      </c>
      <c r="C80" s="70"/>
      <c r="D80" s="70"/>
      <c r="E80" s="70"/>
      <c r="F80" s="70"/>
      <c r="G80" s="65"/>
      <c r="H80" s="65">
        <f>SUM(H59:H79)</f>
        <v>133.26539648000002</v>
      </c>
      <c r="I80" s="65"/>
    </row>
    <row r="81" spans="1:9" ht="15.75" hidden="1" customHeight="1">
      <c r="A81" s="31"/>
      <c r="B81" s="14" t="s">
        <v>112</v>
      </c>
      <c r="C81" s="16"/>
      <c r="D81" s="14"/>
      <c r="E81" s="19"/>
      <c r="F81" s="13">
        <v>1</v>
      </c>
      <c r="G81" s="13">
        <v>13441.4</v>
      </c>
      <c r="H81" s="13">
        <f>G81*F81/1000</f>
        <v>13.4414</v>
      </c>
      <c r="I81" s="13">
        <v>0</v>
      </c>
    </row>
    <row r="82" spans="1:9" ht="15.75" customHeight="1">
      <c r="A82" s="95" t="s">
        <v>137</v>
      </c>
      <c r="B82" s="96"/>
      <c r="C82" s="96"/>
      <c r="D82" s="96"/>
      <c r="E82" s="96"/>
      <c r="F82" s="96"/>
      <c r="G82" s="96"/>
      <c r="H82" s="96"/>
      <c r="I82" s="97"/>
    </row>
    <row r="83" spans="1:9" ht="15.75" customHeight="1">
      <c r="A83" s="31">
        <v>19</v>
      </c>
      <c r="B83" s="14" t="s">
        <v>114</v>
      </c>
      <c r="C83" s="16" t="s">
        <v>54</v>
      </c>
      <c r="D83" s="59" t="s">
        <v>152</v>
      </c>
      <c r="E83" s="13">
        <v>5367.6</v>
      </c>
      <c r="F83" s="13">
        <f>SUM(E83*12)</f>
        <v>64411.200000000004</v>
      </c>
      <c r="G83" s="13">
        <v>2.1</v>
      </c>
      <c r="H83" s="13">
        <f>SUM(F83*G83/1000)</f>
        <v>135.26352000000003</v>
      </c>
      <c r="I83" s="13">
        <f>F83/12*G83</f>
        <v>11271.960000000001</v>
      </c>
    </row>
    <row r="84" spans="1:9" ht="31.5" customHeight="1">
      <c r="A84" s="31">
        <v>20</v>
      </c>
      <c r="B84" s="14" t="s">
        <v>77</v>
      </c>
      <c r="C84" s="16"/>
      <c r="D84" s="59" t="s">
        <v>152</v>
      </c>
      <c r="E84" s="19">
        <f>E83</f>
        <v>5367.6</v>
      </c>
      <c r="F84" s="13">
        <f>E84*12</f>
        <v>64411.200000000004</v>
      </c>
      <c r="G84" s="13">
        <v>1.63</v>
      </c>
      <c r="H84" s="13">
        <f>F84*G84/1000</f>
        <v>104.99025599999999</v>
      </c>
      <c r="I84" s="13">
        <f>F84/12*G84</f>
        <v>8749.1880000000001</v>
      </c>
    </row>
    <row r="85" spans="1:9" ht="15.75" customHeight="1">
      <c r="A85" s="31"/>
      <c r="B85" s="36" t="s">
        <v>79</v>
      </c>
      <c r="C85" s="64"/>
      <c r="D85" s="68"/>
      <c r="E85" s="65"/>
      <c r="F85" s="65"/>
      <c r="G85" s="65"/>
      <c r="H85" s="65">
        <f>H84</f>
        <v>104.99025599999999</v>
      </c>
      <c r="I85" s="65">
        <f>I16+I17+I18+I20+I21+I24+I27+I28+I40+I41+I42+I43+I44+I45+I55+I56+I59+I62+I83+I84</f>
        <v>67778.927401999987</v>
      </c>
    </row>
    <row r="86" spans="1:9" ht="15.75" customHeight="1">
      <c r="A86" s="106" t="s">
        <v>59</v>
      </c>
      <c r="B86" s="107"/>
      <c r="C86" s="107"/>
      <c r="D86" s="107"/>
      <c r="E86" s="107"/>
      <c r="F86" s="107"/>
      <c r="G86" s="107"/>
      <c r="H86" s="107"/>
      <c r="I86" s="108"/>
    </row>
    <row r="87" spans="1:9" ht="15.75" customHeight="1">
      <c r="A87" s="31">
        <v>21</v>
      </c>
      <c r="B87" s="47" t="s">
        <v>122</v>
      </c>
      <c r="C87" s="63" t="s">
        <v>106</v>
      </c>
      <c r="D87" s="44"/>
      <c r="E87" s="13"/>
      <c r="F87" s="13">
        <v>732</v>
      </c>
      <c r="G87" s="13">
        <v>53.42</v>
      </c>
      <c r="H87" s="13">
        <f t="shared" ref="H87" si="10">G87*F87/1000</f>
        <v>39.103439999999999</v>
      </c>
      <c r="I87" s="13">
        <f>G87*61</f>
        <v>3258.62</v>
      </c>
    </row>
    <row r="88" spans="1:9" ht="15.75" customHeight="1">
      <c r="A88" s="31"/>
      <c r="B88" s="42" t="s">
        <v>51</v>
      </c>
      <c r="C88" s="38"/>
      <c r="D88" s="45"/>
      <c r="E88" s="38">
        <v>1</v>
      </c>
      <c r="F88" s="38"/>
      <c r="G88" s="38"/>
      <c r="H88" s="38"/>
      <c r="I88" s="33">
        <f>SUM(I87:I87)</f>
        <v>3258.62</v>
      </c>
    </row>
    <row r="89" spans="1:9" ht="15.75" customHeight="1">
      <c r="A89" s="31"/>
      <c r="B89" s="44" t="s">
        <v>78</v>
      </c>
      <c r="C89" s="15"/>
      <c r="D89" s="15"/>
      <c r="E89" s="39"/>
      <c r="F89" s="39"/>
      <c r="G89" s="40"/>
      <c r="H89" s="40"/>
      <c r="I89" s="18">
        <v>0</v>
      </c>
    </row>
    <row r="90" spans="1:9" ht="15.75" customHeight="1">
      <c r="A90" s="46"/>
      <c r="B90" s="43" t="s">
        <v>161</v>
      </c>
      <c r="C90" s="34"/>
      <c r="D90" s="34"/>
      <c r="E90" s="34"/>
      <c r="F90" s="34"/>
      <c r="G90" s="34"/>
      <c r="H90" s="34"/>
      <c r="I90" s="41">
        <f>I85+I88</f>
        <v>71037.547401999982</v>
      </c>
    </row>
    <row r="91" spans="1:9" ht="15.75" customHeight="1">
      <c r="A91" s="98" t="s">
        <v>176</v>
      </c>
      <c r="B91" s="98"/>
      <c r="C91" s="98"/>
      <c r="D91" s="98"/>
      <c r="E91" s="98"/>
      <c r="F91" s="98"/>
      <c r="G91" s="98"/>
      <c r="H91" s="98"/>
      <c r="I91" s="98"/>
    </row>
    <row r="92" spans="1:9" ht="15.75">
      <c r="A92" s="58"/>
      <c r="B92" s="99" t="s">
        <v>177</v>
      </c>
      <c r="C92" s="99"/>
      <c r="D92" s="99"/>
      <c r="E92" s="99"/>
      <c r="F92" s="99"/>
      <c r="G92" s="99"/>
      <c r="H92" s="62"/>
      <c r="I92" s="3"/>
    </row>
    <row r="93" spans="1:9" ht="15.75" customHeight="1">
      <c r="A93" s="54"/>
      <c r="B93" s="100" t="s">
        <v>6</v>
      </c>
      <c r="C93" s="100"/>
      <c r="D93" s="100"/>
      <c r="E93" s="100"/>
      <c r="F93" s="100"/>
      <c r="G93" s="100"/>
      <c r="H93" s="26"/>
      <c r="I93" s="5"/>
    </row>
    <row r="94" spans="1:9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>
      <c r="A95" s="101" t="s">
        <v>7</v>
      </c>
      <c r="B95" s="101"/>
      <c r="C95" s="101"/>
      <c r="D95" s="101"/>
      <c r="E95" s="101"/>
      <c r="F95" s="101"/>
      <c r="G95" s="101"/>
      <c r="H95" s="101"/>
      <c r="I95" s="101"/>
    </row>
    <row r="96" spans="1:9" ht="15.75" customHeight="1">
      <c r="A96" s="101" t="s">
        <v>8</v>
      </c>
      <c r="B96" s="101"/>
      <c r="C96" s="101"/>
      <c r="D96" s="101"/>
      <c r="E96" s="101"/>
      <c r="F96" s="101"/>
      <c r="G96" s="101"/>
      <c r="H96" s="101"/>
      <c r="I96" s="101"/>
    </row>
    <row r="97" spans="1:9" ht="15.75">
      <c r="A97" s="102" t="s">
        <v>60</v>
      </c>
      <c r="B97" s="102"/>
      <c r="C97" s="102"/>
      <c r="D97" s="102"/>
      <c r="E97" s="102"/>
      <c r="F97" s="102"/>
      <c r="G97" s="102"/>
      <c r="H97" s="102"/>
      <c r="I97" s="102"/>
    </row>
    <row r="98" spans="1:9" ht="15.75" customHeight="1">
      <c r="A98" s="11"/>
    </row>
    <row r="99" spans="1:9" ht="15.75" customHeight="1">
      <c r="A99" s="103" t="s">
        <v>9</v>
      </c>
      <c r="B99" s="103"/>
      <c r="C99" s="103"/>
      <c r="D99" s="103"/>
      <c r="E99" s="103"/>
      <c r="F99" s="103"/>
      <c r="G99" s="103"/>
      <c r="H99" s="103"/>
      <c r="I99" s="103"/>
    </row>
    <row r="100" spans="1:9" ht="15.75" customHeight="1">
      <c r="A100" s="4"/>
    </row>
    <row r="101" spans="1:9" ht="15.75">
      <c r="B101" s="55" t="s">
        <v>10</v>
      </c>
      <c r="C101" s="104" t="s">
        <v>132</v>
      </c>
      <c r="D101" s="104"/>
      <c r="E101" s="104"/>
      <c r="F101" s="60"/>
      <c r="I101" s="53"/>
    </row>
    <row r="102" spans="1:9" ht="15.75" customHeight="1">
      <c r="A102" s="54"/>
      <c r="C102" s="100" t="s">
        <v>11</v>
      </c>
      <c r="D102" s="100"/>
      <c r="E102" s="100"/>
      <c r="F102" s="26"/>
      <c r="I102" s="52" t="s">
        <v>12</v>
      </c>
    </row>
    <row r="103" spans="1:9" ht="15.75" customHeight="1">
      <c r="A103" s="27"/>
      <c r="C103" s="12"/>
      <c r="D103" s="12"/>
      <c r="G103" s="12"/>
      <c r="H103" s="12"/>
    </row>
    <row r="104" spans="1:9" ht="15.75" customHeight="1">
      <c r="B104" s="55" t="s">
        <v>13</v>
      </c>
      <c r="C104" s="105"/>
      <c r="D104" s="105"/>
      <c r="E104" s="105"/>
      <c r="F104" s="61"/>
      <c r="I104" s="53"/>
    </row>
    <row r="105" spans="1:9" ht="15.75" customHeight="1">
      <c r="A105" s="54"/>
      <c r="C105" s="94" t="s">
        <v>11</v>
      </c>
      <c r="D105" s="94"/>
      <c r="E105" s="94"/>
      <c r="F105" s="54"/>
      <c r="I105" s="52" t="s">
        <v>12</v>
      </c>
    </row>
    <row r="106" spans="1:9" ht="15.75">
      <c r="A106" s="4" t="s">
        <v>14</v>
      </c>
    </row>
    <row r="107" spans="1:9" ht="15.75" customHeight="1">
      <c r="A107" s="92" t="s">
        <v>15</v>
      </c>
      <c r="B107" s="92"/>
      <c r="C107" s="92"/>
      <c r="D107" s="92"/>
      <c r="E107" s="92"/>
      <c r="F107" s="92"/>
      <c r="G107" s="92"/>
      <c r="H107" s="92"/>
      <c r="I107" s="92"/>
    </row>
    <row r="108" spans="1:9" ht="45" customHeight="1">
      <c r="A108" s="93" t="s">
        <v>16</v>
      </c>
      <c r="B108" s="93"/>
      <c r="C108" s="93"/>
      <c r="D108" s="93"/>
      <c r="E108" s="93"/>
      <c r="F108" s="93"/>
      <c r="G108" s="93"/>
      <c r="H108" s="93"/>
      <c r="I108" s="93"/>
    </row>
    <row r="109" spans="1:9" ht="30" customHeight="1">
      <c r="A109" s="93" t="s">
        <v>17</v>
      </c>
      <c r="B109" s="93"/>
      <c r="C109" s="93"/>
      <c r="D109" s="93"/>
      <c r="E109" s="93"/>
      <c r="F109" s="93"/>
      <c r="G109" s="93"/>
      <c r="H109" s="93"/>
      <c r="I109" s="93"/>
    </row>
    <row r="110" spans="1:9" ht="30" customHeight="1">
      <c r="A110" s="93" t="s">
        <v>21</v>
      </c>
      <c r="B110" s="93"/>
      <c r="C110" s="93"/>
      <c r="D110" s="93"/>
      <c r="E110" s="93"/>
      <c r="F110" s="93"/>
      <c r="G110" s="93"/>
      <c r="H110" s="93"/>
      <c r="I110" s="93"/>
    </row>
    <row r="111" spans="1:9" ht="15" customHeight="1">
      <c r="A111" s="93" t="s">
        <v>20</v>
      </c>
      <c r="B111" s="93"/>
      <c r="C111" s="93"/>
      <c r="D111" s="93"/>
      <c r="E111" s="93"/>
      <c r="F111" s="93"/>
      <c r="G111" s="93"/>
      <c r="H111" s="93"/>
      <c r="I111" s="93"/>
    </row>
  </sheetData>
  <autoFilter ref="I12:I59"/>
  <mergeCells count="29">
    <mergeCell ref="R64:U64"/>
    <mergeCell ref="A82:I82"/>
    <mergeCell ref="A3:I3"/>
    <mergeCell ref="A4:I4"/>
    <mergeCell ref="A5:I5"/>
    <mergeCell ref="A8:I8"/>
    <mergeCell ref="A10:I10"/>
    <mergeCell ref="A14:I14"/>
    <mergeCell ref="A97:I97"/>
    <mergeCell ref="A15:I15"/>
    <mergeCell ref="A29:I29"/>
    <mergeCell ref="A46:I46"/>
    <mergeCell ref="A57:I57"/>
    <mergeCell ref="A91:I91"/>
    <mergeCell ref="B92:G92"/>
    <mergeCell ref="B93:G93"/>
    <mergeCell ref="A95:I95"/>
    <mergeCell ref="A96:I96"/>
    <mergeCell ref="A86:I86"/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83</v>
      </c>
      <c r="I1" s="28"/>
      <c r="J1" s="1"/>
      <c r="K1" s="1"/>
      <c r="L1" s="1"/>
      <c r="M1" s="1"/>
    </row>
    <row r="2" spans="1:13" ht="15.75">
      <c r="A2" s="30" t="s">
        <v>61</v>
      </c>
      <c r="J2" s="2"/>
      <c r="K2" s="2"/>
      <c r="L2" s="2"/>
      <c r="M2" s="2"/>
    </row>
    <row r="3" spans="1:13" ht="15.75" customHeight="1">
      <c r="A3" s="114" t="s">
        <v>146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212</v>
      </c>
      <c r="B4" s="115"/>
      <c r="C4" s="115"/>
      <c r="D4" s="115"/>
      <c r="E4" s="115"/>
      <c r="F4" s="115"/>
      <c r="G4" s="115"/>
      <c r="H4" s="115"/>
      <c r="I4" s="115"/>
    </row>
    <row r="5" spans="1:13" ht="15.75">
      <c r="A5" s="114" t="s">
        <v>178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>
      <c r="A6" s="2"/>
      <c r="B6" s="57"/>
      <c r="C6" s="57"/>
      <c r="D6" s="57"/>
      <c r="E6" s="57"/>
      <c r="F6" s="57"/>
      <c r="G6" s="57"/>
      <c r="H6" s="57"/>
      <c r="I6" s="32">
        <v>42886</v>
      </c>
      <c r="J6" s="2"/>
      <c r="K6" s="2"/>
      <c r="L6" s="2"/>
      <c r="M6" s="2"/>
    </row>
    <row r="7" spans="1:13" ht="15.75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7" t="s">
        <v>154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18" t="s">
        <v>155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3" t="s">
        <v>58</v>
      </c>
      <c r="B14" s="113"/>
      <c r="C14" s="113"/>
      <c r="D14" s="113"/>
      <c r="E14" s="113"/>
      <c r="F14" s="113"/>
      <c r="G14" s="113"/>
      <c r="H14" s="113"/>
      <c r="I14" s="113"/>
      <c r="J14" s="8"/>
      <c r="K14" s="8"/>
      <c r="L14" s="8"/>
      <c r="M14" s="8"/>
    </row>
    <row r="15" spans="1:13" ht="15.75" customHeight="1">
      <c r="A15" s="109" t="s">
        <v>4</v>
      </c>
      <c r="B15" s="109"/>
      <c r="C15" s="109"/>
      <c r="D15" s="109"/>
      <c r="E15" s="109"/>
      <c r="F15" s="109"/>
      <c r="G15" s="109"/>
      <c r="H15" s="109"/>
      <c r="I15" s="109"/>
      <c r="J15" s="8"/>
      <c r="K15" s="8"/>
      <c r="L15" s="8"/>
      <c r="M15" s="8"/>
    </row>
    <row r="16" spans="1:13" ht="15.75" customHeight="1">
      <c r="A16" s="31">
        <v>1</v>
      </c>
      <c r="B16" s="14" t="s">
        <v>84</v>
      </c>
      <c r="C16" s="16" t="s">
        <v>85</v>
      </c>
      <c r="D16" s="14" t="s">
        <v>157</v>
      </c>
      <c r="E16" s="19">
        <v>62.28</v>
      </c>
      <c r="F16" s="13">
        <f>SUM(E16*156/100)</f>
        <v>97.156800000000004</v>
      </c>
      <c r="G16" s="13">
        <v>175.38</v>
      </c>
      <c r="H16" s="13">
        <f t="shared" ref="H16:H25" si="0">SUM(F16*G16/1000)</f>
        <v>17.039359584000003</v>
      </c>
      <c r="I16" s="13">
        <f>F16/12*G16</f>
        <v>1419.9466320000001</v>
      </c>
      <c r="J16" s="23"/>
      <c r="K16" s="8"/>
      <c r="L16" s="8"/>
      <c r="M16" s="8"/>
    </row>
    <row r="17" spans="1:13" ht="15.75" customHeight="1">
      <c r="A17" s="31">
        <v>2</v>
      </c>
      <c r="B17" s="14" t="s">
        <v>115</v>
      </c>
      <c r="C17" s="16" t="s">
        <v>85</v>
      </c>
      <c r="D17" s="14" t="s">
        <v>158</v>
      </c>
      <c r="E17" s="19">
        <v>311.42</v>
      </c>
      <c r="F17" s="13">
        <f>SUM(E17*104/100)</f>
        <v>323.8768</v>
      </c>
      <c r="G17" s="13">
        <v>175.38</v>
      </c>
      <c r="H17" s="13">
        <f t="shared" si="0"/>
        <v>56.801513183999994</v>
      </c>
      <c r="I17" s="13">
        <f>F17/12*G17</f>
        <v>4733.4594319999997</v>
      </c>
      <c r="J17" s="24"/>
      <c r="K17" s="8"/>
      <c r="L17" s="8"/>
      <c r="M17" s="8"/>
    </row>
    <row r="18" spans="1:13" ht="15.75" customHeight="1">
      <c r="A18" s="31">
        <v>3</v>
      </c>
      <c r="B18" s="14" t="s">
        <v>116</v>
      </c>
      <c r="C18" s="16" t="s">
        <v>85</v>
      </c>
      <c r="D18" s="14" t="s">
        <v>159</v>
      </c>
      <c r="E18" s="19">
        <v>373.7</v>
      </c>
      <c r="F18" s="13">
        <f>SUM(E18*24/100)</f>
        <v>89.687999999999988</v>
      </c>
      <c r="G18" s="13">
        <v>504.5</v>
      </c>
      <c r="H18" s="13">
        <f t="shared" si="0"/>
        <v>45.247595999999987</v>
      </c>
      <c r="I18" s="13">
        <f>F18/12*G18</f>
        <v>3770.6329999999998</v>
      </c>
      <c r="J18" s="24"/>
      <c r="K18" s="8"/>
      <c r="L18" s="8"/>
      <c r="M18" s="8"/>
    </row>
    <row r="19" spans="1:13" ht="15.75" customHeight="1">
      <c r="A19" s="31">
        <v>4</v>
      </c>
      <c r="B19" s="14" t="s">
        <v>92</v>
      </c>
      <c r="C19" s="16" t="s">
        <v>93</v>
      </c>
      <c r="D19" s="14" t="s">
        <v>94</v>
      </c>
      <c r="E19" s="19">
        <v>38.4</v>
      </c>
      <c r="F19" s="13">
        <f>SUM(E19/10)</f>
        <v>3.84</v>
      </c>
      <c r="G19" s="13">
        <v>170.16</v>
      </c>
      <c r="H19" s="13">
        <f t="shared" si="0"/>
        <v>0.65341439999999995</v>
      </c>
      <c r="I19" s="13">
        <f>F19/2*G19</f>
        <v>326.7072</v>
      </c>
      <c r="J19" s="24"/>
      <c r="K19" s="8"/>
      <c r="L19" s="8"/>
      <c r="M19" s="8"/>
    </row>
    <row r="20" spans="1:13" ht="15.75" customHeight="1">
      <c r="A20" s="31">
        <v>5</v>
      </c>
      <c r="B20" s="14" t="s">
        <v>95</v>
      </c>
      <c r="C20" s="16" t="s">
        <v>85</v>
      </c>
      <c r="D20" s="14" t="s">
        <v>117</v>
      </c>
      <c r="E20" s="19">
        <v>35.04</v>
      </c>
      <c r="F20" s="13">
        <f>SUM(E20*12/100)</f>
        <v>4.2048000000000005</v>
      </c>
      <c r="G20" s="13">
        <v>217.88</v>
      </c>
      <c r="H20" s="13">
        <f t="shared" si="0"/>
        <v>0.91614182399999999</v>
      </c>
      <c r="I20" s="13">
        <f>F20/12*G20</f>
        <v>76.345152000000013</v>
      </c>
      <c r="J20" s="24"/>
      <c r="K20" s="8"/>
      <c r="L20" s="8"/>
      <c r="M20" s="8"/>
    </row>
    <row r="21" spans="1:13" ht="15.75" customHeight="1">
      <c r="A21" s="31">
        <v>6</v>
      </c>
      <c r="B21" s="14" t="s">
        <v>96</v>
      </c>
      <c r="C21" s="16" t="s">
        <v>85</v>
      </c>
      <c r="D21" s="14" t="s">
        <v>30</v>
      </c>
      <c r="E21" s="19">
        <v>9.08</v>
      </c>
      <c r="F21" s="13">
        <f>SUM(E21*12/100)</f>
        <v>1.0896000000000001</v>
      </c>
      <c r="G21" s="13">
        <v>216.12</v>
      </c>
      <c r="H21" s="13">
        <f t="shared" si="0"/>
        <v>0.23548435200000004</v>
      </c>
      <c r="I21" s="13">
        <f>F21/12*G21</f>
        <v>19.623696000000002</v>
      </c>
      <c r="J21" s="24"/>
      <c r="K21" s="8"/>
      <c r="L21" s="8"/>
      <c r="M21" s="8"/>
    </row>
    <row r="22" spans="1:13" ht="15.75" customHeight="1">
      <c r="A22" s="31">
        <v>7</v>
      </c>
      <c r="B22" s="14" t="s">
        <v>97</v>
      </c>
      <c r="C22" s="16" t="s">
        <v>52</v>
      </c>
      <c r="D22" s="14" t="s">
        <v>94</v>
      </c>
      <c r="E22" s="19">
        <v>629</v>
      </c>
      <c r="F22" s="13">
        <f>SUM(E22/100)</f>
        <v>6.29</v>
      </c>
      <c r="G22" s="13">
        <v>269.26</v>
      </c>
      <c r="H22" s="13">
        <f t="shared" si="0"/>
        <v>1.6936453999999999</v>
      </c>
      <c r="I22" s="13">
        <f>F22*G22</f>
        <v>1693.6453999999999</v>
      </c>
      <c r="J22" s="24"/>
      <c r="K22" s="8"/>
      <c r="L22" s="8"/>
      <c r="M22" s="8"/>
    </row>
    <row r="23" spans="1:13" ht="15.75" customHeight="1">
      <c r="A23" s="31">
        <v>8</v>
      </c>
      <c r="B23" s="14" t="s">
        <v>98</v>
      </c>
      <c r="C23" s="16" t="s">
        <v>52</v>
      </c>
      <c r="D23" s="14" t="s">
        <v>94</v>
      </c>
      <c r="E23" s="19">
        <v>58</v>
      </c>
      <c r="F23" s="13">
        <f>SUM(E23/100)</f>
        <v>0.57999999999999996</v>
      </c>
      <c r="G23" s="13">
        <v>44.29</v>
      </c>
      <c r="H23" s="13">
        <f t="shared" si="0"/>
        <v>2.5688199999999998E-2</v>
      </c>
      <c r="I23" s="13">
        <f>F23*G23</f>
        <v>25.688199999999998</v>
      </c>
      <c r="J23" s="24"/>
      <c r="K23" s="8"/>
      <c r="L23" s="8"/>
      <c r="M23" s="8"/>
    </row>
    <row r="24" spans="1:13" ht="15.75" customHeight="1">
      <c r="A24" s="31">
        <v>9</v>
      </c>
      <c r="B24" s="14" t="s">
        <v>99</v>
      </c>
      <c r="C24" s="16" t="s">
        <v>52</v>
      </c>
      <c r="D24" s="14" t="s">
        <v>30</v>
      </c>
      <c r="E24" s="19">
        <v>24</v>
      </c>
      <c r="F24" s="13">
        <f>E24*12/100</f>
        <v>2.88</v>
      </c>
      <c r="G24" s="13">
        <v>389.72</v>
      </c>
      <c r="H24" s="13">
        <f t="shared" si="0"/>
        <v>1.1223936000000001</v>
      </c>
      <c r="I24" s="13">
        <f>F24/12*G24</f>
        <v>93.532800000000009</v>
      </c>
      <c r="J24" s="24"/>
      <c r="K24" s="8"/>
      <c r="L24" s="8"/>
      <c r="M24" s="8"/>
    </row>
    <row r="25" spans="1:13" ht="15.75" customHeight="1">
      <c r="A25" s="31">
        <v>10</v>
      </c>
      <c r="B25" s="14" t="s">
        <v>100</v>
      </c>
      <c r="C25" s="16" t="s">
        <v>52</v>
      </c>
      <c r="D25" s="14" t="s">
        <v>53</v>
      </c>
      <c r="E25" s="19">
        <v>17</v>
      </c>
      <c r="F25" s="13">
        <f>SUM(E25/100)</f>
        <v>0.17</v>
      </c>
      <c r="G25" s="13">
        <v>520.79999999999995</v>
      </c>
      <c r="H25" s="13">
        <f t="shared" si="0"/>
        <v>8.8536000000000004E-2</v>
      </c>
      <c r="I25" s="13">
        <f>F25*G25</f>
        <v>88.536000000000001</v>
      </c>
      <c r="J25" s="24"/>
      <c r="K25" s="8"/>
      <c r="L25" s="8"/>
      <c r="M25" s="8"/>
    </row>
    <row r="26" spans="1:13" ht="15.75" customHeight="1">
      <c r="A26" s="31">
        <v>11</v>
      </c>
      <c r="B26" s="14" t="s">
        <v>123</v>
      </c>
      <c r="C26" s="16" t="s">
        <v>52</v>
      </c>
      <c r="D26" s="14" t="s">
        <v>53</v>
      </c>
      <c r="E26" s="19">
        <v>24</v>
      </c>
      <c r="F26" s="13">
        <v>0.24</v>
      </c>
      <c r="G26" s="13">
        <v>216.12</v>
      </c>
      <c r="H26" s="13">
        <f>G26*F26/1000</f>
        <v>5.18688E-2</v>
      </c>
      <c r="I26" s="13">
        <f>F26*G26</f>
        <v>51.8688</v>
      </c>
      <c r="J26" s="24"/>
      <c r="K26" s="8"/>
      <c r="L26" s="8"/>
      <c r="M26" s="8"/>
    </row>
    <row r="27" spans="1:13" ht="15.75" customHeight="1">
      <c r="A27" s="31">
        <v>12</v>
      </c>
      <c r="B27" s="14" t="s">
        <v>63</v>
      </c>
      <c r="C27" s="16" t="s">
        <v>33</v>
      </c>
      <c r="D27" s="14" t="s">
        <v>160</v>
      </c>
      <c r="E27" s="19">
        <v>0.1</v>
      </c>
      <c r="F27" s="13">
        <f>SUM(E27*365)</f>
        <v>36.5</v>
      </c>
      <c r="G27" s="13">
        <v>147.03</v>
      </c>
      <c r="H27" s="13">
        <f>SUM(F27*G27/1000)</f>
        <v>5.3665950000000002</v>
      </c>
      <c r="I27" s="13">
        <f>F27/12*G27</f>
        <v>447.21625</v>
      </c>
      <c r="J27" s="25"/>
    </row>
    <row r="28" spans="1:13" ht="15.75" customHeight="1">
      <c r="A28" s="31">
        <v>13</v>
      </c>
      <c r="B28" s="44" t="s">
        <v>23</v>
      </c>
      <c r="C28" s="16" t="s">
        <v>24</v>
      </c>
      <c r="D28" s="14" t="s">
        <v>160</v>
      </c>
      <c r="E28" s="19">
        <v>5367.6</v>
      </c>
      <c r="F28" s="13">
        <f>SUM(E28*12)</f>
        <v>64411.200000000004</v>
      </c>
      <c r="G28" s="13">
        <v>3.18</v>
      </c>
      <c r="H28" s="13">
        <f>SUM(F28*G28/1000)</f>
        <v>204.82761600000003</v>
      </c>
      <c r="I28" s="13">
        <f>F28/12*G28</f>
        <v>17068.968000000001</v>
      </c>
      <c r="J28" s="25"/>
    </row>
    <row r="29" spans="1:13" ht="15.75" customHeight="1">
      <c r="A29" s="109" t="s">
        <v>82</v>
      </c>
      <c r="B29" s="109"/>
      <c r="C29" s="109"/>
      <c r="D29" s="109"/>
      <c r="E29" s="109"/>
      <c r="F29" s="109"/>
      <c r="G29" s="109"/>
      <c r="H29" s="109"/>
      <c r="I29" s="109"/>
      <c r="J29" s="24"/>
      <c r="K29" s="8"/>
      <c r="L29" s="8"/>
      <c r="M29" s="8"/>
    </row>
    <row r="30" spans="1:13" ht="15.75" customHeight="1">
      <c r="A30" s="31"/>
      <c r="B30" s="56" t="s">
        <v>28</v>
      </c>
      <c r="C30" s="16"/>
      <c r="D30" s="14"/>
      <c r="E30" s="19"/>
      <c r="F30" s="13"/>
      <c r="G30" s="13"/>
      <c r="H30" s="13"/>
      <c r="I30" s="13"/>
      <c r="J30" s="24"/>
      <c r="K30" s="8"/>
      <c r="L30" s="8"/>
      <c r="M30" s="8"/>
    </row>
    <row r="31" spans="1:13" ht="15.75" customHeight="1">
      <c r="A31" s="31">
        <v>14</v>
      </c>
      <c r="B31" s="14" t="s">
        <v>104</v>
      </c>
      <c r="C31" s="16" t="s">
        <v>87</v>
      </c>
      <c r="D31" s="14" t="s">
        <v>179</v>
      </c>
      <c r="E31" s="13">
        <v>748</v>
      </c>
      <c r="F31" s="13">
        <f>SUM(E31*52/1000)</f>
        <v>38.896000000000001</v>
      </c>
      <c r="G31" s="13">
        <v>155.88999999999999</v>
      </c>
      <c r="H31" s="13">
        <f t="shared" ref="H31:H38" si="1">SUM(F31*G31/1000)</f>
        <v>6.063497439999999</v>
      </c>
      <c r="I31" s="13">
        <f t="shared" ref="I31:I35" si="2">F31/6*G31</f>
        <v>1010.5829066666666</v>
      </c>
      <c r="J31" s="24"/>
      <c r="K31" s="8"/>
      <c r="L31" s="8"/>
      <c r="M31" s="8"/>
    </row>
    <row r="32" spans="1:13" ht="31.5" customHeight="1">
      <c r="A32" s="31">
        <v>15</v>
      </c>
      <c r="B32" s="14" t="s">
        <v>119</v>
      </c>
      <c r="C32" s="16" t="s">
        <v>87</v>
      </c>
      <c r="D32" s="14" t="s">
        <v>180</v>
      </c>
      <c r="E32" s="13">
        <v>374</v>
      </c>
      <c r="F32" s="13">
        <f>SUM(E32*78/1000)</f>
        <v>29.172000000000001</v>
      </c>
      <c r="G32" s="13">
        <v>258.63</v>
      </c>
      <c r="H32" s="13">
        <f t="shared" si="1"/>
        <v>7.5447543599999998</v>
      </c>
      <c r="I32" s="13">
        <f t="shared" si="2"/>
        <v>1257.4590599999999</v>
      </c>
      <c r="J32" s="24"/>
      <c r="K32" s="8"/>
      <c r="L32" s="8"/>
      <c r="M32" s="8"/>
    </row>
    <row r="33" spans="1:14" ht="15.75" customHeight="1">
      <c r="A33" s="31">
        <v>16</v>
      </c>
      <c r="B33" s="14" t="s">
        <v>27</v>
      </c>
      <c r="C33" s="16" t="s">
        <v>87</v>
      </c>
      <c r="D33" s="14" t="s">
        <v>53</v>
      </c>
      <c r="E33" s="13">
        <v>748</v>
      </c>
      <c r="F33" s="13">
        <f>SUM(E33/1000)</f>
        <v>0.748</v>
      </c>
      <c r="G33" s="13">
        <v>3020.33</v>
      </c>
      <c r="H33" s="13">
        <f t="shared" si="1"/>
        <v>2.25920684</v>
      </c>
      <c r="I33" s="13">
        <f>F33*G33</f>
        <v>2259.2068399999998</v>
      </c>
      <c r="J33" s="24"/>
      <c r="K33" s="8"/>
      <c r="L33" s="8"/>
      <c r="M33" s="8"/>
    </row>
    <row r="34" spans="1:14" ht="15.75" customHeight="1">
      <c r="A34" s="31">
        <v>17</v>
      </c>
      <c r="B34" s="14" t="s">
        <v>118</v>
      </c>
      <c r="C34" s="16" t="s">
        <v>40</v>
      </c>
      <c r="D34" s="14" t="s">
        <v>62</v>
      </c>
      <c r="E34" s="13">
        <v>1</v>
      </c>
      <c r="F34" s="13">
        <f>E34*155/100</f>
        <v>1.55</v>
      </c>
      <c r="G34" s="13">
        <v>1302.02</v>
      </c>
      <c r="H34" s="13">
        <f>G34*F34/1000</f>
        <v>2.0181309999999999</v>
      </c>
      <c r="I34" s="13">
        <f t="shared" si="2"/>
        <v>336.35516666666672</v>
      </c>
      <c r="J34" s="24"/>
      <c r="K34" s="8"/>
    </row>
    <row r="35" spans="1:14" ht="15.75" customHeight="1">
      <c r="A35" s="31">
        <v>18</v>
      </c>
      <c r="B35" s="14" t="s">
        <v>103</v>
      </c>
      <c r="C35" s="16" t="s">
        <v>31</v>
      </c>
      <c r="D35" s="14" t="s">
        <v>62</v>
      </c>
      <c r="E35" s="66">
        <v>0.33333333333333331</v>
      </c>
      <c r="F35" s="13">
        <f>155/3</f>
        <v>51.666666666666664</v>
      </c>
      <c r="G35" s="13">
        <v>56.69</v>
      </c>
      <c r="H35" s="13">
        <f>SUM(G35*155/3/1000)</f>
        <v>2.9289833333333331</v>
      </c>
      <c r="I35" s="13">
        <f t="shared" si="2"/>
        <v>488.16388888888883</v>
      </c>
      <c r="J35" s="25"/>
    </row>
    <row r="36" spans="1:14" ht="15.75" hidden="1" customHeight="1">
      <c r="A36" s="31"/>
      <c r="B36" s="14" t="s">
        <v>64</v>
      </c>
      <c r="C36" s="16" t="s">
        <v>33</v>
      </c>
      <c r="D36" s="14" t="s">
        <v>66</v>
      </c>
      <c r="E36" s="19"/>
      <c r="F36" s="13">
        <v>2</v>
      </c>
      <c r="G36" s="13">
        <v>191.32</v>
      </c>
      <c r="H36" s="13">
        <f t="shared" si="1"/>
        <v>0.38263999999999998</v>
      </c>
      <c r="I36" s="13">
        <v>0</v>
      </c>
      <c r="J36" s="25"/>
    </row>
    <row r="37" spans="1:14" ht="15.75" hidden="1" customHeight="1">
      <c r="A37" s="31"/>
      <c r="B37" s="14" t="s">
        <v>65</v>
      </c>
      <c r="C37" s="16" t="s">
        <v>32</v>
      </c>
      <c r="D37" s="14" t="s">
        <v>66</v>
      </c>
      <c r="E37" s="19"/>
      <c r="F37" s="13">
        <v>1</v>
      </c>
      <c r="G37" s="13">
        <v>1136.33</v>
      </c>
      <c r="H37" s="13">
        <f t="shared" si="1"/>
        <v>1.1363299999999998</v>
      </c>
      <c r="I37" s="13">
        <v>0</v>
      </c>
      <c r="J37" s="25"/>
    </row>
    <row r="38" spans="1:14" ht="15.75" hidden="1" customHeight="1">
      <c r="A38" s="31"/>
      <c r="B38" s="14" t="s">
        <v>125</v>
      </c>
      <c r="C38" s="16" t="s">
        <v>29</v>
      </c>
      <c r="D38" s="14"/>
      <c r="E38" s="19">
        <v>932.2</v>
      </c>
      <c r="F38" s="13">
        <v>0.93220000000000003</v>
      </c>
      <c r="G38" s="13">
        <v>1305.02</v>
      </c>
      <c r="H38" s="13">
        <f t="shared" si="1"/>
        <v>1.216539644</v>
      </c>
      <c r="I38" s="13">
        <v>0</v>
      </c>
      <c r="J38" s="25"/>
    </row>
    <row r="39" spans="1:14" ht="15.75" hidden="1" customHeight="1">
      <c r="A39" s="31"/>
      <c r="B39" s="56" t="s">
        <v>5</v>
      </c>
      <c r="C39" s="16"/>
      <c r="D39" s="14"/>
      <c r="E39" s="19"/>
      <c r="F39" s="13"/>
      <c r="G39" s="13"/>
      <c r="H39" s="13" t="s">
        <v>139</v>
      </c>
      <c r="I39" s="13"/>
      <c r="J39" s="25"/>
      <c r="L39" s="20"/>
      <c r="M39" s="21"/>
      <c r="N39" s="22"/>
    </row>
    <row r="40" spans="1:14" ht="15.75" hidden="1" customHeight="1">
      <c r="A40" s="31">
        <v>9</v>
      </c>
      <c r="B40" s="14" t="s">
        <v>26</v>
      </c>
      <c r="C40" s="16" t="s">
        <v>32</v>
      </c>
      <c r="D40" s="14"/>
      <c r="E40" s="19"/>
      <c r="F40" s="13">
        <v>6</v>
      </c>
      <c r="G40" s="13">
        <v>1527.22</v>
      </c>
      <c r="H40" s="13">
        <f t="shared" ref="H40:H45" si="3">SUM(F40*G40/1000)</f>
        <v>9.1633200000000006</v>
      </c>
      <c r="I40" s="13">
        <f t="shared" ref="I40:I45" si="4">F40/6*G40</f>
        <v>1527.22</v>
      </c>
      <c r="J40" s="25"/>
      <c r="L40" s="20"/>
      <c r="M40" s="21"/>
      <c r="N40" s="22"/>
    </row>
    <row r="41" spans="1:14" ht="15.75" hidden="1" customHeight="1">
      <c r="A41" s="31">
        <v>10</v>
      </c>
      <c r="B41" s="14" t="s">
        <v>105</v>
      </c>
      <c r="C41" s="16" t="s">
        <v>29</v>
      </c>
      <c r="D41" s="14" t="s">
        <v>126</v>
      </c>
      <c r="E41" s="19">
        <v>374</v>
      </c>
      <c r="F41" s="13">
        <f>E41*26/1000</f>
        <v>9.7240000000000002</v>
      </c>
      <c r="G41" s="13">
        <v>2102.71</v>
      </c>
      <c r="H41" s="13">
        <f>G41*F41/1000</f>
        <v>20.44675204</v>
      </c>
      <c r="I41" s="13">
        <f t="shared" si="4"/>
        <v>3407.792006666667</v>
      </c>
      <c r="J41" s="25"/>
      <c r="L41" s="20"/>
      <c r="M41" s="21"/>
      <c r="N41" s="22"/>
    </row>
    <row r="42" spans="1:14" ht="15.75" hidden="1" customHeight="1">
      <c r="A42" s="31">
        <v>11</v>
      </c>
      <c r="B42" s="14" t="s">
        <v>67</v>
      </c>
      <c r="C42" s="16" t="s">
        <v>29</v>
      </c>
      <c r="D42" s="14" t="s">
        <v>86</v>
      </c>
      <c r="E42" s="13">
        <v>160</v>
      </c>
      <c r="F42" s="13">
        <f>SUM(E42*155/1000)</f>
        <v>24.8</v>
      </c>
      <c r="G42" s="13">
        <v>350.75</v>
      </c>
      <c r="H42" s="13">
        <f t="shared" si="3"/>
        <v>8.6986000000000008</v>
      </c>
      <c r="I42" s="13">
        <f t="shared" si="4"/>
        <v>1449.7666666666669</v>
      </c>
      <c r="J42" s="25"/>
      <c r="L42" s="20"/>
      <c r="M42" s="21"/>
      <c r="N42" s="22"/>
    </row>
    <row r="43" spans="1:14" ht="47.25" hidden="1" customHeight="1">
      <c r="A43" s="31">
        <v>12</v>
      </c>
      <c r="B43" s="14" t="s">
        <v>81</v>
      </c>
      <c r="C43" s="16" t="s">
        <v>87</v>
      </c>
      <c r="D43" s="14" t="s">
        <v>127</v>
      </c>
      <c r="E43" s="13">
        <v>76</v>
      </c>
      <c r="F43" s="13">
        <f>SUM(E43*50/1000)</f>
        <v>3.8</v>
      </c>
      <c r="G43" s="13">
        <v>5803.28</v>
      </c>
      <c r="H43" s="13">
        <f t="shared" si="3"/>
        <v>22.052463999999997</v>
      </c>
      <c r="I43" s="13">
        <f t="shared" si="4"/>
        <v>3675.4106666666662</v>
      </c>
      <c r="J43" s="25"/>
      <c r="L43" s="20"/>
      <c r="M43" s="21"/>
      <c r="N43" s="22"/>
    </row>
    <row r="44" spans="1:14" ht="15.75" hidden="1" customHeight="1">
      <c r="A44" s="31">
        <v>13</v>
      </c>
      <c r="B44" s="14" t="s">
        <v>88</v>
      </c>
      <c r="C44" s="16" t="s">
        <v>87</v>
      </c>
      <c r="D44" s="14" t="s">
        <v>68</v>
      </c>
      <c r="E44" s="13">
        <v>76</v>
      </c>
      <c r="F44" s="13">
        <f>SUM(E44*45/1000)</f>
        <v>3.42</v>
      </c>
      <c r="G44" s="13">
        <v>428.7</v>
      </c>
      <c r="H44" s="13">
        <f t="shared" si="3"/>
        <v>1.466154</v>
      </c>
      <c r="I44" s="13">
        <f t="shared" si="4"/>
        <v>244.35899999999998</v>
      </c>
      <c r="J44" s="25"/>
      <c r="L44" s="20"/>
      <c r="M44" s="21"/>
      <c r="N44" s="22"/>
    </row>
    <row r="45" spans="1:14" ht="15.75" hidden="1" customHeight="1">
      <c r="A45" s="31">
        <v>14</v>
      </c>
      <c r="B45" s="14" t="s">
        <v>69</v>
      </c>
      <c r="C45" s="16" t="s">
        <v>33</v>
      </c>
      <c r="D45" s="14"/>
      <c r="E45" s="19"/>
      <c r="F45" s="13">
        <v>0.9</v>
      </c>
      <c r="G45" s="13">
        <v>798</v>
      </c>
      <c r="H45" s="13">
        <f t="shared" si="3"/>
        <v>0.71820000000000006</v>
      </c>
      <c r="I45" s="13">
        <f t="shared" si="4"/>
        <v>119.69999999999999</v>
      </c>
      <c r="J45" s="25"/>
      <c r="L45" s="20"/>
      <c r="M45" s="21"/>
      <c r="N45" s="22"/>
    </row>
    <row r="46" spans="1:14" ht="15" customHeight="1">
      <c r="A46" s="110" t="s">
        <v>135</v>
      </c>
      <c r="B46" s="111"/>
      <c r="C46" s="111"/>
      <c r="D46" s="111"/>
      <c r="E46" s="111"/>
      <c r="F46" s="111"/>
      <c r="G46" s="111"/>
      <c r="H46" s="111"/>
      <c r="I46" s="112"/>
      <c r="J46" s="25"/>
      <c r="L46" s="20"/>
      <c r="M46" s="21"/>
      <c r="N46" s="22"/>
    </row>
    <row r="47" spans="1:14" ht="15.75" customHeight="1">
      <c r="A47" s="31">
        <v>19</v>
      </c>
      <c r="B47" s="14" t="s">
        <v>140</v>
      </c>
      <c r="C47" s="16" t="s">
        <v>87</v>
      </c>
      <c r="D47" s="14" t="s">
        <v>42</v>
      </c>
      <c r="E47" s="19">
        <v>1099.7</v>
      </c>
      <c r="F47" s="13">
        <f>SUM(E47*2/1000)</f>
        <v>2.1994000000000002</v>
      </c>
      <c r="G47" s="13">
        <v>809.74</v>
      </c>
      <c r="H47" s="13">
        <f t="shared" ref="H47:H56" si="5">SUM(F47*G47/1000)</f>
        <v>1.7809421560000003</v>
      </c>
      <c r="I47" s="13">
        <f t="shared" ref="I47:I50" si="6">F47/2*G47</f>
        <v>890.47107800000015</v>
      </c>
      <c r="J47" s="25"/>
      <c r="L47" s="20"/>
      <c r="M47" s="21"/>
      <c r="N47" s="22"/>
    </row>
    <row r="48" spans="1:14" ht="15.75" customHeight="1">
      <c r="A48" s="31">
        <v>20</v>
      </c>
      <c r="B48" s="14" t="s">
        <v>35</v>
      </c>
      <c r="C48" s="16" t="s">
        <v>87</v>
      </c>
      <c r="D48" s="14" t="s">
        <v>42</v>
      </c>
      <c r="E48" s="19">
        <v>52</v>
      </c>
      <c r="F48" s="13">
        <f>E48*2/1000</f>
        <v>0.104</v>
      </c>
      <c r="G48" s="13">
        <v>579.48</v>
      </c>
      <c r="H48" s="13">
        <f t="shared" si="5"/>
        <v>6.0265920000000001E-2</v>
      </c>
      <c r="I48" s="13">
        <f t="shared" si="6"/>
        <v>30.132960000000001</v>
      </c>
      <c r="J48" s="25"/>
      <c r="L48" s="20"/>
      <c r="M48" s="21"/>
      <c r="N48" s="22"/>
    </row>
    <row r="49" spans="1:22" ht="15.75" customHeight="1">
      <c r="A49" s="31">
        <v>21</v>
      </c>
      <c r="B49" s="14" t="s">
        <v>36</v>
      </c>
      <c r="C49" s="16" t="s">
        <v>87</v>
      </c>
      <c r="D49" s="14" t="s">
        <v>42</v>
      </c>
      <c r="E49" s="19">
        <v>917.78</v>
      </c>
      <c r="F49" s="13">
        <f>SUM(E49*2/1000)</f>
        <v>1.8355599999999999</v>
      </c>
      <c r="G49" s="13">
        <v>579.48</v>
      </c>
      <c r="H49" s="13">
        <f t="shared" si="5"/>
        <v>1.0636703087999999</v>
      </c>
      <c r="I49" s="13">
        <f t="shared" si="6"/>
        <v>531.83515439999996</v>
      </c>
      <c r="J49" s="25"/>
      <c r="L49" s="20"/>
      <c r="M49" s="21"/>
      <c r="N49" s="22"/>
    </row>
    <row r="50" spans="1:22" ht="15.75" customHeight="1">
      <c r="A50" s="31">
        <v>22</v>
      </c>
      <c r="B50" s="14" t="s">
        <v>37</v>
      </c>
      <c r="C50" s="16" t="s">
        <v>87</v>
      </c>
      <c r="D50" s="14" t="s">
        <v>42</v>
      </c>
      <c r="E50" s="19">
        <v>3930</v>
      </c>
      <c r="F50" s="13">
        <f>SUM(E50*2/1000)</f>
        <v>7.86</v>
      </c>
      <c r="G50" s="13">
        <v>606.77</v>
      </c>
      <c r="H50" s="13">
        <f t="shared" si="5"/>
        <v>4.7692122000000001</v>
      </c>
      <c r="I50" s="13">
        <f t="shared" si="6"/>
        <v>2384.6061</v>
      </c>
      <c r="J50" s="25"/>
      <c r="L50" s="20"/>
      <c r="M50" s="21"/>
      <c r="N50" s="22"/>
    </row>
    <row r="51" spans="1:22" ht="15.75" customHeight="1">
      <c r="A51" s="31">
        <v>23</v>
      </c>
      <c r="B51" s="14" t="s">
        <v>34</v>
      </c>
      <c r="C51" s="16" t="s">
        <v>52</v>
      </c>
      <c r="D51" s="14" t="s">
        <v>42</v>
      </c>
      <c r="E51" s="19">
        <v>142.38999999999999</v>
      </c>
      <c r="F51" s="13">
        <f>E51*2/100</f>
        <v>2.8477999999999999</v>
      </c>
      <c r="G51" s="13">
        <v>72.81</v>
      </c>
      <c r="H51" s="13">
        <f>F51*G51/1000</f>
        <v>0.207348318</v>
      </c>
      <c r="I51" s="13">
        <f>F51/2*G51</f>
        <v>103.674159</v>
      </c>
      <c r="J51" s="25"/>
      <c r="L51" s="20"/>
      <c r="M51" s="21"/>
      <c r="N51" s="22"/>
    </row>
    <row r="52" spans="1:22" ht="15.75" customHeight="1">
      <c r="A52" s="31">
        <v>24</v>
      </c>
      <c r="B52" s="14" t="s">
        <v>55</v>
      </c>
      <c r="C52" s="16" t="s">
        <v>87</v>
      </c>
      <c r="D52" s="14" t="s">
        <v>142</v>
      </c>
      <c r="E52" s="19">
        <v>1914</v>
      </c>
      <c r="F52" s="13">
        <f>SUM(E52*5/1000)</f>
        <v>9.57</v>
      </c>
      <c r="G52" s="13">
        <v>1213.55</v>
      </c>
      <c r="H52" s="13">
        <f t="shared" si="5"/>
        <v>11.613673500000001</v>
      </c>
      <c r="I52" s="13">
        <f>F52/5*G52</f>
        <v>2322.7347</v>
      </c>
      <c r="J52" s="25"/>
      <c r="L52" s="20"/>
      <c r="M52" s="21"/>
      <c r="N52" s="22"/>
    </row>
    <row r="53" spans="1:22" ht="31.5" hidden="1" customHeight="1">
      <c r="A53" s="31">
        <v>16</v>
      </c>
      <c r="B53" s="14" t="s">
        <v>89</v>
      </c>
      <c r="C53" s="16" t="s">
        <v>87</v>
      </c>
      <c r="D53" s="14" t="s">
        <v>42</v>
      </c>
      <c r="E53" s="19">
        <v>1914</v>
      </c>
      <c r="F53" s="13">
        <f>SUM(E53*2/1000)</f>
        <v>3.8279999999999998</v>
      </c>
      <c r="G53" s="13">
        <v>1213.55</v>
      </c>
      <c r="H53" s="13">
        <f t="shared" si="5"/>
        <v>4.6454693999999996</v>
      </c>
      <c r="I53" s="13">
        <f>F53/2*G53</f>
        <v>2322.7347</v>
      </c>
      <c r="J53" s="25"/>
      <c r="L53" s="20"/>
      <c r="M53" s="21"/>
      <c r="N53" s="22"/>
    </row>
    <row r="54" spans="1:22" ht="31.5" hidden="1" customHeight="1">
      <c r="A54" s="31">
        <v>17</v>
      </c>
      <c r="B54" s="14" t="s">
        <v>90</v>
      </c>
      <c r="C54" s="16" t="s">
        <v>38</v>
      </c>
      <c r="D54" s="14" t="s">
        <v>42</v>
      </c>
      <c r="E54" s="19">
        <v>20</v>
      </c>
      <c r="F54" s="13">
        <f>SUM(E54*2/100)</f>
        <v>0.4</v>
      </c>
      <c r="G54" s="13">
        <v>2730.49</v>
      </c>
      <c r="H54" s="13">
        <f>SUM(F54*G54/1000)</f>
        <v>1.0921959999999999</v>
      </c>
      <c r="I54" s="13">
        <f>F54/2*G54</f>
        <v>546.09799999999996</v>
      </c>
      <c r="J54" s="25"/>
      <c r="L54" s="20"/>
      <c r="M54" s="21"/>
      <c r="N54" s="22"/>
    </row>
    <row r="55" spans="1:22" ht="15.75" hidden="1" customHeight="1">
      <c r="A55" s="31">
        <v>18</v>
      </c>
      <c r="B55" s="14" t="s">
        <v>39</v>
      </c>
      <c r="C55" s="16" t="s">
        <v>40</v>
      </c>
      <c r="D55" s="14" t="s">
        <v>42</v>
      </c>
      <c r="E55" s="19">
        <v>1</v>
      </c>
      <c r="F55" s="13">
        <v>0.02</v>
      </c>
      <c r="G55" s="13">
        <v>5652.13</v>
      </c>
      <c r="H55" s="13">
        <f t="shared" si="5"/>
        <v>0.11304260000000001</v>
      </c>
      <c r="I55" s="13">
        <f>F55/2*G55</f>
        <v>56.521300000000004</v>
      </c>
      <c r="J55" s="25"/>
      <c r="L55" s="20"/>
      <c r="M55" s="21"/>
      <c r="N55" s="22"/>
    </row>
    <row r="56" spans="1:22" ht="15.75" hidden="1" customHeight="1">
      <c r="A56" s="31">
        <v>19</v>
      </c>
      <c r="B56" s="14" t="s">
        <v>41</v>
      </c>
      <c r="C56" s="16" t="s">
        <v>106</v>
      </c>
      <c r="D56" s="14" t="s">
        <v>70</v>
      </c>
      <c r="E56" s="19">
        <v>120</v>
      </c>
      <c r="F56" s="13">
        <f>SUM(E56)*3</f>
        <v>360</v>
      </c>
      <c r="G56" s="13">
        <v>65.67</v>
      </c>
      <c r="H56" s="13">
        <f t="shared" si="5"/>
        <v>23.641200000000001</v>
      </c>
      <c r="I56" s="13">
        <f>E56*G56</f>
        <v>7880.4000000000005</v>
      </c>
      <c r="J56" s="25"/>
      <c r="L56" s="20"/>
      <c r="M56" s="21"/>
      <c r="N56" s="22"/>
    </row>
    <row r="57" spans="1:22" ht="15.75" customHeight="1">
      <c r="A57" s="110" t="s">
        <v>136</v>
      </c>
      <c r="B57" s="111"/>
      <c r="C57" s="111"/>
      <c r="D57" s="111"/>
      <c r="E57" s="111"/>
      <c r="F57" s="111"/>
      <c r="G57" s="111"/>
      <c r="H57" s="111"/>
      <c r="I57" s="112"/>
      <c r="J57" s="25"/>
      <c r="L57" s="20"/>
      <c r="M57" s="21"/>
      <c r="N57" s="22"/>
    </row>
    <row r="58" spans="1:22" ht="15.75" hidden="1" customHeight="1">
      <c r="A58" s="31"/>
      <c r="B58" s="56" t="s">
        <v>43</v>
      </c>
      <c r="C58" s="16"/>
      <c r="D58" s="14"/>
      <c r="E58" s="19"/>
      <c r="F58" s="13"/>
      <c r="G58" s="13"/>
      <c r="H58" s="13"/>
      <c r="I58" s="13"/>
      <c r="J58" s="25"/>
      <c r="L58" s="20"/>
    </row>
    <row r="59" spans="1:22" ht="31.5" hidden="1" customHeight="1">
      <c r="A59" s="31">
        <v>20</v>
      </c>
      <c r="B59" s="14" t="s">
        <v>141</v>
      </c>
      <c r="C59" s="16" t="s">
        <v>85</v>
      </c>
      <c r="D59" s="14" t="s">
        <v>107</v>
      </c>
      <c r="E59" s="19">
        <v>66</v>
      </c>
      <c r="F59" s="13">
        <f>SUM(E59*6/100)</f>
        <v>3.96</v>
      </c>
      <c r="G59" s="13">
        <v>1547.28</v>
      </c>
      <c r="H59" s="13">
        <f>SUM(F59*G59/1000)</f>
        <v>6.1272288000000001</v>
      </c>
      <c r="I59" s="13">
        <f>F59/6*G59</f>
        <v>1021.2048</v>
      </c>
    </row>
    <row r="60" spans="1:22" ht="15.75" customHeight="1">
      <c r="A60" s="31"/>
      <c r="B60" s="56" t="s">
        <v>44</v>
      </c>
      <c r="C60" s="16"/>
      <c r="D60" s="14"/>
      <c r="E60" s="19"/>
      <c r="F60" s="13"/>
      <c r="G60" s="13"/>
      <c r="H60" s="13"/>
      <c r="I60" s="13"/>
    </row>
    <row r="61" spans="1:22" ht="15.75" hidden="1" customHeight="1">
      <c r="A61" s="31"/>
      <c r="B61" s="14" t="s">
        <v>120</v>
      </c>
      <c r="C61" s="16" t="s">
        <v>52</v>
      </c>
      <c r="D61" s="14" t="s">
        <v>53</v>
      </c>
      <c r="E61" s="19">
        <v>1387</v>
      </c>
      <c r="F61" s="13">
        <f>E61/100</f>
        <v>13.87</v>
      </c>
      <c r="G61" s="13">
        <v>793.61</v>
      </c>
      <c r="H61" s="13">
        <f>F61*G61/1000</f>
        <v>11.007370699999999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31">
        <v>25</v>
      </c>
      <c r="B62" s="14" t="s">
        <v>121</v>
      </c>
      <c r="C62" s="16" t="s">
        <v>25</v>
      </c>
      <c r="D62" s="14" t="s">
        <v>30</v>
      </c>
      <c r="E62" s="19">
        <v>286.8</v>
      </c>
      <c r="F62" s="13">
        <f>E62*12</f>
        <v>3441.6000000000004</v>
      </c>
      <c r="G62" s="13">
        <v>2.6</v>
      </c>
      <c r="H62" s="13">
        <f>F62*G62/1000</f>
        <v>8.9481600000000014</v>
      </c>
      <c r="I62" s="13">
        <f>F62/12*G62</f>
        <v>745.68000000000006</v>
      </c>
      <c r="J62" s="27"/>
      <c r="K62" s="27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31"/>
      <c r="B63" s="56" t="s">
        <v>128</v>
      </c>
      <c r="C63" s="16"/>
      <c r="D63" s="14"/>
      <c r="E63" s="19"/>
      <c r="F63" s="13"/>
      <c r="G63" s="13"/>
      <c r="H63" s="13"/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31"/>
      <c r="B64" s="14" t="s">
        <v>129</v>
      </c>
      <c r="C64" s="16" t="s">
        <v>106</v>
      </c>
      <c r="D64" s="14" t="s">
        <v>53</v>
      </c>
      <c r="E64" s="19">
        <v>4</v>
      </c>
      <c r="F64" s="13">
        <v>4</v>
      </c>
      <c r="G64" s="13">
        <v>237.75</v>
      </c>
      <c r="H64" s="13">
        <f t="shared" ref="H64" si="7">F64*G64/1000</f>
        <v>0.95099999999999996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94"/>
      <c r="S64" s="94"/>
      <c r="T64" s="94"/>
      <c r="U64" s="94"/>
    </row>
    <row r="65" spans="1:21" ht="15.75" customHeight="1">
      <c r="A65" s="31"/>
      <c r="B65" s="56" t="s">
        <v>45</v>
      </c>
      <c r="C65" s="16"/>
      <c r="D65" s="14"/>
      <c r="E65" s="19"/>
      <c r="F65" s="13"/>
      <c r="G65" s="13"/>
      <c r="H65" s="13" t="s">
        <v>139</v>
      </c>
      <c r="I65" s="1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hidden="1" customHeight="1">
      <c r="A66" s="31"/>
      <c r="B66" s="14" t="s">
        <v>46</v>
      </c>
      <c r="C66" s="16" t="s">
        <v>106</v>
      </c>
      <c r="D66" s="14" t="s">
        <v>66</v>
      </c>
      <c r="E66" s="19">
        <v>10</v>
      </c>
      <c r="F66" s="13">
        <v>10</v>
      </c>
      <c r="G66" s="13">
        <v>222.4</v>
      </c>
      <c r="H66" s="13">
        <f t="shared" ref="H66:H79" si="8">SUM(F66*G66/1000)</f>
        <v>2.2240000000000002</v>
      </c>
      <c r="I66" s="13">
        <f>0</f>
        <v>0</v>
      </c>
    </row>
    <row r="67" spans="1:21" ht="15.75" hidden="1" customHeight="1">
      <c r="A67" s="31"/>
      <c r="B67" s="14" t="s">
        <v>47</v>
      </c>
      <c r="C67" s="16" t="s">
        <v>106</v>
      </c>
      <c r="D67" s="14" t="s">
        <v>66</v>
      </c>
      <c r="E67" s="19">
        <v>5</v>
      </c>
      <c r="F67" s="13">
        <v>5</v>
      </c>
      <c r="G67" s="13">
        <v>76.25</v>
      </c>
      <c r="H67" s="13">
        <f t="shared" si="8"/>
        <v>0.38124999999999998</v>
      </c>
      <c r="I67" s="13">
        <v>0</v>
      </c>
    </row>
    <row r="68" spans="1:21" ht="15.75" customHeight="1">
      <c r="A68" s="31">
        <v>26</v>
      </c>
      <c r="B68" s="14" t="s">
        <v>48</v>
      </c>
      <c r="C68" s="16" t="s">
        <v>108</v>
      </c>
      <c r="D68" s="14" t="s">
        <v>53</v>
      </c>
      <c r="E68" s="19">
        <v>19138</v>
      </c>
      <c r="F68" s="13">
        <f>SUM(E68/100)</f>
        <v>191.38</v>
      </c>
      <c r="G68" s="13">
        <v>212.15</v>
      </c>
      <c r="H68" s="13">
        <f t="shared" si="8"/>
        <v>40.601267</v>
      </c>
      <c r="I68" s="13">
        <f>F68*G68</f>
        <v>40601.267</v>
      </c>
    </row>
    <row r="69" spans="1:21" ht="15.75" customHeight="1">
      <c r="A69" s="31">
        <v>27</v>
      </c>
      <c r="B69" s="14" t="s">
        <v>49</v>
      </c>
      <c r="C69" s="16" t="s">
        <v>109</v>
      </c>
      <c r="D69" s="14"/>
      <c r="E69" s="19">
        <v>19138</v>
      </c>
      <c r="F69" s="13">
        <f>SUM(E69/1000)</f>
        <v>19.138000000000002</v>
      </c>
      <c r="G69" s="13">
        <v>165.21</v>
      </c>
      <c r="H69" s="13">
        <f t="shared" si="8"/>
        <v>3.1617889800000003</v>
      </c>
      <c r="I69" s="13">
        <f t="shared" ref="I69:I73" si="9">F69*G69</f>
        <v>3161.7889800000003</v>
      </c>
    </row>
    <row r="70" spans="1:21" ht="15.75" customHeight="1">
      <c r="A70" s="31">
        <v>28</v>
      </c>
      <c r="B70" s="14" t="s">
        <v>50</v>
      </c>
      <c r="C70" s="16" t="s">
        <v>76</v>
      </c>
      <c r="D70" s="14" t="s">
        <v>53</v>
      </c>
      <c r="E70" s="19">
        <v>2730</v>
      </c>
      <c r="F70" s="13">
        <f>SUM(E70/100)</f>
        <v>27.3</v>
      </c>
      <c r="G70" s="13">
        <v>2074.63</v>
      </c>
      <c r="H70" s="13">
        <f t="shared" si="8"/>
        <v>56.637399000000002</v>
      </c>
      <c r="I70" s="13">
        <f t="shared" si="9"/>
        <v>56637.399000000005</v>
      </c>
    </row>
    <row r="71" spans="1:21" ht="15.75" customHeight="1">
      <c r="A71" s="31">
        <v>29</v>
      </c>
      <c r="B71" s="67" t="s">
        <v>110</v>
      </c>
      <c r="C71" s="16" t="s">
        <v>33</v>
      </c>
      <c r="D71" s="14"/>
      <c r="E71" s="19">
        <v>13</v>
      </c>
      <c r="F71" s="13">
        <f>SUM(E71)</f>
        <v>13</v>
      </c>
      <c r="G71" s="13">
        <v>45.32</v>
      </c>
      <c r="H71" s="13">
        <f t="shared" si="8"/>
        <v>0.58916000000000002</v>
      </c>
      <c r="I71" s="13">
        <f t="shared" si="9"/>
        <v>589.16</v>
      </c>
    </row>
    <row r="72" spans="1:21" ht="15.75" customHeight="1">
      <c r="A72" s="31">
        <v>30</v>
      </c>
      <c r="B72" s="67" t="s">
        <v>111</v>
      </c>
      <c r="C72" s="16" t="s">
        <v>33</v>
      </c>
      <c r="D72" s="14"/>
      <c r="E72" s="19">
        <v>13</v>
      </c>
      <c r="F72" s="13">
        <f>SUM(E72)</f>
        <v>13</v>
      </c>
      <c r="G72" s="13">
        <v>42.28</v>
      </c>
      <c r="H72" s="13">
        <f t="shared" si="8"/>
        <v>0.54964000000000002</v>
      </c>
      <c r="I72" s="13">
        <f t="shared" si="9"/>
        <v>549.64</v>
      </c>
    </row>
    <row r="73" spans="1:21" ht="15.75" hidden="1" customHeight="1">
      <c r="A73" s="31"/>
      <c r="B73" s="14" t="s">
        <v>56</v>
      </c>
      <c r="C73" s="16" t="s">
        <v>57</v>
      </c>
      <c r="D73" s="14" t="s">
        <v>53</v>
      </c>
      <c r="E73" s="19">
        <v>8</v>
      </c>
      <c r="F73" s="13">
        <v>8</v>
      </c>
      <c r="G73" s="13">
        <v>49.88</v>
      </c>
      <c r="H73" s="13">
        <f t="shared" si="8"/>
        <v>0.39904000000000001</v>
      </c>
      <c r="I73" s="13">
        <f t="shared" si="9"/>
        <v>399.04</v>
      </c>
    </row>
    <row r="74" spans="1:21" ht="15.75" hidden="1" customHeight="1">
      <c r="A74" s="31"/>
      <c r="B74" s="56" t="s">
        <v>71</v>
      </c>
      <c r="C74" s="16"/>
      <c r="D74" s="14"/>
      <c r="E74" s="19"/>
      <c r="F74" s="13"/>
      <c r="G74" s="13"/>
      <c r="H74" s="13" t="s">
        <v>139</v>
      </c>
      <c r="I74" s="13"/>
    </row>
    <row r="75" spans="1:21" ht="15.75" hidden="1" customHeight="1">
      <c r="A75" s="31">
        <v>22</v>
      </c>
      <c r="B75" s="14" t="s">
        <v>72</v>
      </c>
      <c r="C75" s="16" t="s">
        <v>74</v>
      </c>
      <c r="D75" s="14"/>
      <c r="E75" s="19">
        <v>4</v>
      </c>
      <c r="F75" s="13">
        <v>0.4</v>
      </c>
      <c r="G75" s="13">
        <v>501.62</v>
      </c>
      <c r="H75" s="13">
        <f t="shared" si="8"/>
        <v>0.20064800000000002</v>
      </c>
      <c r="I75" s="13">
        <f>G75*0.6</f>
        <v>300.97199999999998</v>
      </c>
    </row>
    <row r="76" spans="1:21" ht="15.75" hidden="1" customHeight="1">
      <c r="A76" s="31"/>
      <c r="B76" s="14" t="s">
        <v>73</v>
      </c>
      <c r="C76" s="16" t="s">
        <v>31</v>
      </c>
      <c r="D76" s="14"/>
      <c r="E76" s="19">
        <v>1</v>
      </c>
      <c r="F76" s="13">
        <v>1</v>
      </c>
      <c r="G76" s="13">
        <v>852.99</v>
      </c>
      <c r="H76" s="13">
        <f>F76*G76/1000</f>
        <v>0.85299000000000003</v>
      </c>
      <c r="I76" s="13">
        <v>0</v>
      </c>
    </row>
    <row r="77" spans="1:21" ht="15.75" hidden="1" customHeight="1">
      <c r="A77" s="31"/>
      <c r="B77" s="14" t="s">
        <v>113</v>
      </c>
      <c r="C77" s="16" t="s">
        <v>31</v>
      </c>
      <c r="D77" s="14"/>
      <c r="E77" s="19">
        <v>1</v>
      </c>
      <c r="F77" s="13">
        <v>1</v>
      </c>
      <c r="G77" s="13">
        <v>358.51</v>
      </c>
      <c r="H77" s="13">
        <f>G77*F77/1000</f>
        <v>0.35851</v>
      </c>
      <c r="I77" s="13">
        <v>0</v>
      </c>
    </row>
    <row r="78" spans="1:21" ht="15.75" hidden="1" customHeight="1">
      <c r="A78" s="31"/>
      <c r="B78" s="64" t="s">
        <v>75</v>
      </c>
      <c r="C78" s="16"/>
      <c r="D78" s="14"/>
      <c r="E78" s="19"/>
      <c r="F78" s="13"/>
      <c r="G78" s="13" t="s">
        <v>139</v>
      </c>
      <c r="H78" s="13" t="s">
        <v>139</v>
      </c>
      <c r="I78" s="13"/>
    </row>
    <row r="79" spans="1:21" ht="15.75" hidden="1" customHeight="1">
      <c r="A79" s="31"/>
      <c r="B79" s="44" t="s">
        <v>124</v>
      </c>
      <c r="C79" s="16" t="s">
        <v>76</v>
      </c>
      <c r="D79" s="14"/>
      <c r="E79" s="19"/>
      <c r="F79" s="13">
        <v>0.1</v>
      </c>
      <c r="G79" s="13">
        <v>2759.44</v>
      </c>
      <c r="H79" s="13">
        <f t="shared" si="8"/>
        <v>0.27594400000000002</v>
      </c>
      <c r="I79" s="13">
        <v>0</v>
      </c>
    </row>
    <row r="80" spans="1:21" ht="15.75" hidden="1" customHeight="1">
      <c r="A80" s="31"/>
      <c r="B80" s="56" t="s">
        <v>91</v>
      </c>
      <c r="C80" s="70"/>
      <c r="D80" s="70"/>
      <c r="E80" s="70"/>
      <c r="F80" s="70"/>
      <c r="G80" s="65"/>
      <c r="H80" s="65">
        <f>SUM(H59:H79)</f>
        <v>133.26539648000002</v>
      </c>
      <c r="I80" s="65"/>
    </row>
    <row r="81" spans="1:9" ht="15.75" hidden="1" customHeight="1">
      <c r="A81" s="31"/>
      <c r="B81" s="14" t="s">
        <v>112</v>
      </c>
      <c r="C81" s="16"/>
      <c r="D81" s="14"/>
      <c r="E81" s="19"/>
      <c r="F81" s="13">
        <v>1</v>
      </c>
      <c r="G81" s="13">
        <v>13441.4</v>
      </c>
      <c r="H81" s="13">
        <f>G81*F81/1000</f>
        <v>13.4414</v>
      </c>
      <c r="I81" s="13">
        <v>0</v>
      </c>
    </row>
    <row r="82" spans="1:9" ht="15.75" customHeight="1">
      <c r="A82" s="95" t="s">
        <v>137</v>
      </c>
      <c r="B82" s="96"/>
      <c r="C82" s="96"/>
      <c r="D82" s="96"/>
      <c r="E82" s="96"/>
      <c r="F82" s="96"/>
      <c r="G82" s="96"/>
      <c r="H82" s="96"/>
      <c r="I82" s="97"/>
    </row>
    <row r="83" spans="1:9" ht="15.75" customHeight="1">
      <c r="A83" s="31">
        <v>31</v>
      </c>
      <c r="B83" s="14" t="s">
        <v>114</v>
      </c>
      <c r="C83" s="16" t="s">
        <v>54</v>
      </c>
      <c r="D83" s="59" t="s">
        <v>152</v>
      </c>
      <c r="E83" s="13">
        <v>5367.6</v>
      </c>
      <c r="F83" s="13">
        <f>SUM(E83*12)</f>
        <v>64411.200000000004</v>
      </c>
      <c r="G83" s="13">
        <v>2.1</v>
      </c>
      <c r="H83" s="13">
        <f>SUM(F83*G83/1000)</f>
        <v>135.26352000000003</v>
      </c>
      <c r="I83" s="13">
        <f>F83/12*G83</f>
        <v>11271.960000000001</v>
      </c>
    </row>
    <row r="84" spans="1:9" ht="31.5" customHeight="1">
      <c r="A84" s="31">
        <v>32</v>
      </c>
      <c r="B84" s="14" t="s">
        <v>77</v>
      </c>
      <c r="C84" s="16"/>
      <c r="D84" s="59" t="s">
        <v>152</v>
      </c>
      <c r="E84" s="19">
        <f>E83</f>
        <v>5367.6</v>
      </c>
      <c r="F84" s="13">
        <f>E84*12</f>
        <v>64411.200000000004</v>
      </c>
      <c r="G84" s="13">
        <v>1.63</v>
      </c>
      <c r="H84" s="13">
        <f>F84*G84/1000</f>
        <v>104.99025599999999</v>
      </c>
      <c r="I84" s="13">
        <f>F84/12*G84</f>
        <v>8749.1880000000001</v>
      </c>
    </row>
    <row r="85" spans="1:9" ht="15.75" customHeight="1">
      <c r="A85" s="31"/>
      <c r="B85" s="36" t="s">
        <v>79</v>
      </c>
      <c r="C85" s="64"/>
      <c r="D85" s="68"/>
      <c r="E85" s="65"/>
      <c r="F85" s="65"/>
      <c r="G85" s="65"/>
      <c r="H85" s="65">
        <f>H84</f>
        <v>104.99025599999999</v>
      </c>
      <c r="I85" s="65">
        <f>I16+I17+I18+I19+I20+I21+I22+I23+I24+I25+I26+I27+I28+I31+I32+I33+I34+I35+I47+I48+I49+I50+I51+I52+I62+I68+I69+I70+I71+I72+I83+I84</f>
        <v>163737.47555562222</v>
      </c>
    </row>
    <row r="86" spans="1:9" ht="15.75" customHeight="1">
      <c r="A86" s="106" t="s">
        <v>59</v>
      </c>
      <c r="B86" s="107"/>
      <c r="C86" s="107"/>
      <c r="D86" s="107"/>
      <c r="E86" s="107"/>
      <c r="F86" s="107"/>
      <c r="G86" s="107"/>
      <c r="H86" s="107"/>
      <c r="I86" s="108"/>
    </row>
    <row r="87" spans="1:9" ht="15.75" customHeight="1">
      <c r="A87" s="31">
        <v>33</v>
      </c>
      <c r="B87" s="47" t="s">
        <v>122</v>
      </c>
      <c r="C87" s="63" t="s">
        <v>106</v>
      </c>
      <c r="D87" s="44"/>
      <c r="E87" s="13"/>
      <c r="F87" s="13">
        <v>732</v>
      </c>
      <c r="G87" s="13">
        <v>53.42</v>
      </c>
      <c r="H87" s="13">
        <f t="shared" ref="H87" si="10">G87*F87/1000</f>
        <v>39.103439999999999</v>
      </c>
      <c r="I87" s="13">
        <f>G87*61</f>
        <v>3258.62</v>
      </c>
    </row>
    <row r="88" spans="1:9" ht="15.75" customHeight="1">
      <c r="A88" s="31">
        <v>34</v>
      </c>
      <c r="B88" s="47" t="s">
        <v>80</v>
      </c>
      <c r="C88" s="63" t="s">
        <v>106</v>
      </c>
      <c r="D88" s="44"/>
      <c r="E88" s="13"/>
      <c r="F88" s="13">
        <v>3</v>
      </c>
      <c r="G88" s="13">
        <v>189.88</v>
      </c>
      <c r="H88" s="69">
        <f>G88*F88/1000</f>
        <v>0.56964000000000004</v>
      </c>
      <c r="I88" s="13">
        <f>G88</f>
        <v>189.88</v>
      </c>
    </row>
    <row r="89" spans="1:9" ht="31.5" customHeight="1">
      <c r="A89" s="31">
        <v>35</v>
      </c>
      <c r="B89" s="47" t="s">
        <v>181</v>
      </c>
      <c r="C89" s="63" t="s">
        <v>54</v>
      </c>
      <c r="D89" s="44"/>
      <c r="E89" s="13"/>
      <c r="F89" s="13">
        <v>2.8</v>
      </c>
      <c r="G89" s="13">
        <v>645.96</v>
      </c>
      <c r="H89" s="69">
        <f t="shared" ref="H89" si="11">G89*F89/1000</f>
        <v>1.8086879999999999</v>
      </c>
      <c r="I89" s="13">
        <f>G89*2.8</f>
        <v>1808.6879999999999</v>
      </c>
    </row>
    <row r="90" spans="1:9" ht="15.75" customHeight="1">
      <c r="A90" s="31"/>
      <c r="B90" s="42" t="s">
        <v>51</v>
      </c>
      <c r="C90" s="38"/>
      <c r="D90" s="45"/>
      <c r="E90" s="38">
        <v>1</v>
      </c>
      <c r="F90" s="38"/>
      <c r="G90" s="38"/>
      <c r="H90" s="38"/>
      <c r="I90" s="33">
        <f>SUM(I87:I89)</f>
        <v>5257.1880000000001</v>
      </c>
    </row>
    <row r="91" spans="1:9" ht="15.75" customHeight="1">
      <c r="A91" s="31"/>
      <c r="B91" s="44" t="s">
        <v>78</v>
      </c>
      <c r="C91" s="15"/>
      <c r="D91" s="15"/>
      <c r="E91" s="39"/>
      <c r="F91" s="39"/>
      <c r="G91" s="40"/>
      <c r="H91" s="40"/>
      <c r="I91" s="18">
        <v>0</v>
      </c>
    </row>
    <row r="92" spans="1:9" ht="15.75" customHeight="1">
      <c r="A92" s="46"/>
      <c r="B92" s="43" t="s">
        <v>161</v>
      </c>
      <c r="C92" s="34"/>
      <c r="D92" s="34"/>
      <c r="E92" s="34"/>
      <c r="F92" s="34"/>
      <c r="G92" s="34"/>
      <c r="H92" s="34"/>
      <c r="I92" s="41">
        <f>I85+I90</f>
        <v>168994.66355562222</v>
      </c>
    </row>
    <row r="93" spans="1:9" ht="15.75" customHeight="1">
      <c r="A93" s="98" t="s">
        <v>182</v>
      </c>
      <c r="B93" s="98"/>
      <c r="C93" s="98"/>
      <c r="D93" s="98"/>
      <c r="E93" s="98"/>
      <c r="F93" s="98"/>
      <c r="G93" s="98"/>
      <c r="H93" s="98"/>
      <c r="I93" s="98"/>
    </row>
    <row r="94" spans="1:9" ht="15.75">
      <c r="A94" s="58"/>
      <c r="B94" s="99" t="s">
        <v>183</v>
      </c>
      <c r="C94" s="99"/>
      <c r="D94" s="99"/>
      <c r="E94" s="99"/>
      <c r="F94" s="99"/>
      <c r="G94" s="99"/>
      <c r="H94" s="62"/>
      <c r="I94" s="3"/>
    </row>
    <row r="95" spans="1:9" ht="15.75" customHeight="1">
      <c r="A95" s="54"/>
      <c r="B95" s="100" t="s">
        <v>6</v>
      </c>
      <c r="C95" s="100"/>
      <c r="D95" s="100"/>
      <c r="E95" s="100"/>
      <c r="F95" s="100"/>
      <c r="G95" s="100"/>
      <c r="H95" s="26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01" t="s">
        <v>7</v>
      </c>
      <c r="B97" s="101"/>
      <c r="C97" s="101"/>
      <c r="D97" s="101"/>
      <c r="E97" s="101"/>
      <c r="F97" s="101"/>
      <c r="G97" s="101"/>
      <c r="H97" s="101"/>
      <c r="I97" s="101"/>
    </row>
    <row r="98" spans="1:9" ht="15.75" customHeight="1">
      <c r="A98" s="101" t="s">
        <v>8</v>
      </c>
      <c r="B98" s="101"/>
      <c r="C98" s="101"/>
      <c r="D98" s="101"/>
      <c r="E98" s="101"/>
      <c r="F98" s="101"/>
      <c r="G98" s="101"/>
      <c r="H98" s="101"/>
      <c r="I98" s="101"/>
    </row>
    <row r="99" spans="1:9" ht="15.75">
      <c r="A99" s="102" t="s">
        <v>60</v>
      </c>
      <c r="B99" s="102"/>
      <c r="C99" s="102"/>
      <c r="D99" s="102"/>
      <c r="E99" s="102"/>
      <c r="F99" s="102"/>
      <c r="G99" s="102"/>
      <c r="H99" s="102"/>
      <c r="I99" s="102"/>
    </row>
    <row r="100" spans="1:9" ht="15.75" customHeight="1">
      <c r="A100" s="11"/>
    </row>
    <row r="101" spans="1:9" ht="15.75" customHeight="1">
      <c r="A101" s="103" t="s">
        <v>9</v>
      </c>
      <c r="B101" s="103"/>
      <c r="C101" s="103"/>
      <c r="D101" s="103"/>
      <c r="E101" s="103"/>
      <c r="F101" s="103"/>
      <c r="G101" s="103"/>
      <c r="H101" s="103"/>
      <c r="I101" s="103"/>
    </row>
    <row r="102" spans="1:9" ht="15.75" customHeight="1">
      <c r="A102" s="4"/>
    </row>
    <row r="103" spans="1:9" ht="15.75">
      <c r="B103" s="55" t="s">
        <v>10</v>
      </c>
      <c r="C103" s="104" t="s">
        <v>132</v>
      </c>
      <c r="D103" s="104"/>
      <c r="E103" s="104"/>
      <c r="F103" s="60"/>
      <c r="I103" s="53"/>
    </row>
    <row r="104" spans="1:9" ht="15.75" customHeight="1">
      <c r="A104" s="54"/>
      <c r="C104" s="100" t="s">
        <v>11</v>
      </c>
      <c r="D104" s="100"/>
      <c r="E104" s="100"/>
      <c r="F104" s="26"/>
      <c r="I104" s="52" t="s">
        <v>12</v>
      </c>
    </row>
    <row r="105" spans="1:9" ht="15.75" customHeight="1">
      <c r="A105" s="27"/>
      <c r="C105" s="12"/>
      <c r="D105" s="12"/>
      <c r="G105" s="12"/>
      <c r="H105" s="12"/>
    </row>
    <row r="106" spans="1:9" ht="15.75" customHeight="1">
      <c r="B106" s="55" t="s">
        <v>13</v>
      </c>
      <c r="C106" s="105"/>
      <c r="D106" s="105"/>
      <c r="E106" s="105"/>
      <c r="F106" s="61"/>
      <c r="I106" s="53"/>
    </row>
    <row r="107" spans="1:9" ht="15.75" customHeight="1">
      <c r="A107" s="54"/>
      <c r="C107" s="94" t="s">
        <v>11</v>
      </c>
      <c r="D107" s="94"/>
      <c r="E107" s="94"/>
      <c r="F107" s="54"/>
      <c r="I107" s="52" t="s">
        <v>12</v>
      </c>
    </row>
    <row r="108" spans="1:9" ht="15.75">
      <c r="A108" s="4" t="s">
        <v>14</v>
      </c>
    </row>
    <row r="109" spans="1:9" ht="15.75" customHeight="1">
      <c r="A109" s="92" t="s">
        <v>15</v>
      </c>
      <c r="B109" s="92"/>
      <c r="C109" s="92"/>
      <c r="D109" s="92"/>
      <c r="E109" s="92"/>
      <c r="F109" s="92"/>
      <c r="G109" s="92"/>
      <c r="H109" s="92"/>
      <c r="I109" s="92"/>
    </row>
    <row r="110" spans="1:9" ht="45" customHeight="1">
      <c r="A110" s="93" t="s">
        <v>16</v>
      </c>
      <c r="B110" s="93"/>
      <c r="C110" s="93"/>
      <c r="D110" s="93"/>
      <c r="E110" s="93"/>
      <c r="F110" s="93"/>
      <c r="G110" s="93"/>
      <c r="H110" s="93"/>
      <c r="I110" s="93"/>
    </row>
    <row r="111" spans="1:9" ht="30" customHeight="1">
      <c r="A111" s="93" t="s">
        <v>17</v>
      </c>
      <c r="B111" s="93"/>
      <c r="C111" s="93"/>
      <c r="D111" s="93"/>
      <c r="E111" s="93"/>
      <c r="F111" s="93"/>
      <c r="G111" s="93"/>
      <c r="H111" s="93"/>
      <c r="I111" s="93"/>
    </row>
    <row r="112" spans="1:9" ht="30" customHeight="1">
      <c r="A112" s="93" t="s">
        <v>21</v>
      </c>
      <c r="B112" s="93"/>
      <c r="C112" s="93"/>
      <c r="D112" s="93"/>
      <c r="E112" s="93"/>
      <c r="F112" s="93"/>
      <c r="G112" s="93"/>
      <c r="H112" s="93"/>
      <c r="I112" s="93"/>
    </row>
    <row r="113" spans="1:9" ht="15" customHeight="1">
      <c r="A113" s="93" t="s">
        <v>20</v>
      </c>
      <c r="B113" s="93"/>
      <c r="C113" s="93"/>
      <c r="D113" s="93"/>
      <c r="E113" s="93"/>
      <c r="F113" s="93"/>
      <c r="G113" s="93"/>
      <c r="H113" s="93"/>
      <c r="I113" s="93"/>
    </row>
  </sheetData>
  <autoFilter ref="I12:I59"/>
  <mergeCells count="29">
    <mergeCell ref="R64:U64"/>
    <mergeCell ref="A82:I82"/>
    <mergeCell ref="A3:I3"/>
    <mergeCell ref="A4:I4"/>
    <mergeCell ref="A5:I5"/>
    <mergeCell ref="A8:I8"/>
    <mergeCell ref="A10:I10"/>
    <mergeCell ref="A14:I14"/>
    <mergeCell ref="A99:I99"/>
    <mergeCell ref="A15:I15"/>
    <mergeCell ref="A29:I29"/>
    <mergeCell ref="A46:I46"/>
    <mergeCell ref="A57:I57"/>
    <mergeCell ref="A93:I93"/>
    <mergeCell ref="B94:G94"/>
    <mergeCell ref="B95:G95"/>
    <mergeCell ref="A97:I97"/>
    <mergeCell ref="A98:I98"/>
    <mergeCell ref="A86:I86"/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83</v>
      </c>
      <c r="I1" s="28"/>
      <c r="J1" s="1"/>
      <c r="K1" s="1"/>
      <c r="L1" s="1"/>
      <c r="M1" s="1"/>
    </row>
    <row r="2" spans="1:13" ht="15.75">
      <c r="A2" s="30" t="s">
        <v>61</v>
      </c>
      <c r="J2" s="2"/>
      <c r="K2" s="2"/>
      <c r="L2" s="2"/>
      <c r="M2" s="2"/>
    </row>
    <row r="3" spans="1:13" ht="15.75" customHeight="1">
      <c r="A3" s="114" t="s">
        <v>147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212</v>
      </c>
      <c r="B4" s="115"/>
      <c r="C4" s="115"/>
      <c r="D4" s="115"/>
      <c r="E4" s="115"/>
      <c r="F4" s="115"/>
      <c r="G4" s="115"/>
      <c r="H4" s="115"/>
      <c r="I4" s="115"/>
    </row>
    <row r="5" spans="1:13" ht="15.75">
      <c r="A5" s="114" t="s">
        <v>184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>
      <c r="A6" s="2"/>
      <c r="B6" s="57"/>
      <c r="C6" s="57"/>
      <c r="D6" s="57"/>
      <c r="E6" s="57"/>
      <c r="F6" s="57"/>
      <c r="G6" s="57"/>
      <c r="H6" s="57"/>
      <c r="I6" s="32">
        <v>42916</v>
      </c>
      <c r="J6" s="2"/>
      <c r="K6" s="2"/>
      <c r="L6" s="2"/>
      <c r="M6" s="2"/>
    </row>
    <row r="7" spans="1:13" ht="15.75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7" t="s">
        <v>154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18" t="s">
        <v>155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3" t="s">
        <v>58</v>
      </c>
      <c r="B14" s="113"/>
      <c r="C14" s="113"/>
      <c r="D14" s="113"/>
      <c r="E14" s="113"/>
      <c r="F14" s="113"/>
      <c r="G14" s="113"/>
      <c r="H14" s="113"/>
      <c r="I14" s="113"/>
      <c r="J14" s="8"/>
      <c r="K14" s="8"/>
      <c r="L14" s="8"/>
      <c r="M14" s="8"/>
    </row>
    <row r="15" spans="1:13" ht="15.75" customHeight="1">
      <c r="A15" s="109" t="s">
        <v>4</v>
      </c>
      <c r="B15" s="109"/>
      <c r="C15" s="109"/>
      <c r="D15" s="109"/>
      <c r="E15" s="109"/>
      <c r="F15" s="109"/>
      <c r="G15" s="109"/>
      <c r="H15" s="109"/>
      <c r="I15" s="109"/>
      <c r="J15" s="8"/>
      <c r="K15" s="8"/>
      <c r="L15" s="8"/>
      <c r="M15" s="8"/>
    </row>
    <row r="16" spans="1:13" ht="15.75" customHeight="1">
      <c r="A16" s="31">
        <v>1</v>
      </c>
      <c r="B16" s="14" t="s">
        <v>84</v>
      </c>
      <c r="C16" s="16" t="s">
        <v>85</v>
      </c>
      <c r="D16" s="14" t="s">
        <v>157</v>
      </c>
      <c r="E16" s="19">
        <v>62.28</v>
      </c>
      <c r="F16" s="13">
        <f>SUM(E16*156/100)</f>
        <v>97.156800000000004</v>
      </c>
      <c r="G16" s="13">
        <v>175.38</v>
      </c>
      <c r="H16" s="13">
        <f t="shared" ref="H16:H25" si="0">SUM(F16*G16/1000)</f>
        <v>17.039359584000003</v>
      </c>
      <c r="I16" s="13">
        <f>F16/12*G16</f>
        <v>1419.9466320000001</v>
      </c>
      <c r="J16" s="23"/>
      <c r="K16" s="8"/>
      <c r="L16" s="8"/>
      <c r="M16" s="8"/>
    </row>
    <row r="17" spans="1:13" ht="15.75" customHeight="1">
      <c r="A17" s="31">
        <v>2</v>
      </c>
      <c r="B17" s="14" t="s">
        <v>115</v>
      </c>
      <c r="C17" s="16" t="s">
        <v>85</v>
      </c>
      <c r="D17" s="14" t="s">
        <v>158</v>
      </c>
      <c r="E17" s="19">
        <v>311.42</v>
      </c>
      <c r="F17" s="13">
        <f>SUM(E17*104/100)</f>
        <v>323.8768</v>
      </c>
      <c r="G17" s="13">
        <v>175.38</v>
      </c>
      <c r="H17" s="13">
        <f t="shared" si="0"/>
        <v>56.801513183999994</v>
      </c>
      <c r="I17" s="13">
        <f>F17/12*G17</f>
        <v>4733.4594319999997</v>
      </c>
      <c r="J17" s="24"/>
      <c r="K17" s="8"/>
      <c r="L17" s="8"/>
      <c r="M17" s="8"/>
    </row>
    <row r="18" spans="1:13" ht="15.75" customHeight="1">
      <c r="A18" s="31">
        <v>3</v>
      </c>
      <c r="B18" s="14" t="s">
        <v>116</v>
      </c>
      <c r="C18" s="16" t="s">
        <v>85</v>
      </c>
      <c r="D18" s="14" t="s">
        <v>159</v>
      </c>
      <c r="E18" s="19">
        <v>373.7</v>
      </c>
      <c r="F18" s="13">
        <f>SUM(E18*24/100)</f>
        <v>89.687999999999988</v>
      </c>
      <c r="G18" s="13">
        <v>504.5</v>
      </c>
      <c r="H18" s="13">
        <f t="shared" si="0"/>
        <v>45.247595999999987</v>
      </c>
      <c r="I18" s="13">
        <f>F18/12*G18</f>
        <v>3770.6329999999998</v>
      </c>
      <c r="J18" s="24"/>
      <c r="K18" s="8"/>
      <c r="L18" s="8"/>
      <c r="M18" s="8"/>
    </row>
    <row r="19" spans="1:13" ht="15.75" hidden="1" customHeight="1">
      <c r="A19" s="31"/>
      <c r="B19" s="14" t="s">
        <v>92</v>
      </c>
      <c r="C19" s="16" t="s">
        <v>93</v>
      </c>
      <c r="D19" s="14" t="s">
        <v>94</v>
      </c>
      <c r="E19" s="19">
        <v>38.4</v>
      </c>
      <c r="F19" s="13">
        <f>SUM(E19/10)</f>
        <v>3.84</v>
      </c>
      <c r="G19" s="13">
        <v>170.16</v>
      </c>
      <c r="H19" s="13">
        <f t="shared" si="0"/>
        <v>0.65341439999999995</v>
      </c>
      <c r="I19" s="13">
        <v>0</v>
      </c>
      <c r="J19" s="24"/>
      <c r="K19" s="8"/>
      <c r="L19" s="8"/>
      <c r="M19" s="8"/>
    </row>
    <row r="20" spans="1:13" ht="15.75" customHeight="1">
      <c r="A20" s="31">
        <v>4</v>
      </c>
      <c r="B20" s="14" t="s">
        <v>95</v>
      </c>
      <c r="C20" s="16" t="s">
        <v>85</v>
      </c>
      <c r="D20" s="14" t="s">
        <v>117</v>
      </c>
      <c r="E20" s="19">
        <v>35.04</v>
      </c>
      <c r="F20" s="13">
        <f>SUM(E20*12/100)</f>
        <v>4.2048000000000005</v>
      </c>
      <c r="G20" s="13">
        <v>217.88</v>
      </c>
      <c r="H20" s="13">
        <f t="shared" si="0"/>
        <v>0.91614182399999999</v>
      </c>
      <c r="I20" s="13">
        <f>F20/12*G20</f>
        <v>76.345152000000013</v>
      </c>
      <c r="J20" s="24"/>
      <c r="K20" s="8"/>
      <c r="L20" s="8"/>
      <c r="M20" s="8"/>
    </row>
    <row r="21" spans="1:13" ht="15.75" customHeight="1">
      <c r="A21" s="31">
        <v>5</v>
      </c>
      <c r="B21" s="14" t="s">
        <v>96</v>
      </c>
      <c r="C21" s="16" t="s">
        <v>85</v>
      </c>
      <c r="D21" s="14" t="s">
        <v>30</v>
      </c>
      <c r="E21" s="19">
        <v>9.08</v>
      </c>
      <c r="F21" s="13">
        <f>SUM(E21*12/100)</f>
        <v>1.0896000000000001</v>
      </c>
      <c r="G21" s="13">
        <v>216.12</v>
      </c>
      <c r="H21" s="13">
        <f t="shared" si="0"/>
        <v>0.23548435200000004</v>
      </c>
      <c r="I21" s="13">
        <f>F21/12*G21</f>
        <v>19.623696000000002</v>
      </c>
      <c r="J21" s="24"/>
      <c r="K21" s="8"/>
      <c r="L21" s="8"/>
      <c r="M21" s="8"/>
    </row>
    <row r="22" spans="1:13" ht="15.75" hidden="1" customHeight="1">
      <c r="A22" s="31"/>
      <c r="B22" s="14" t="s">
        <v>97</v>
      </c>
      <c r="C22" s="16" t="s">
        <v>52</v>
      </c>
      <c r="D22" s="14" t="s">
        <v>94</v>
      </c>
      <c r="E22" s="19">
        <v>629</v>
      </c>
      <c r="F22" s="13">
        <f>SUM(E22/100)</f>
        <v>6.29</v>
      </c>
      <c r="G22" s="13">
        <v>269.26</v>
      </c>
      <c r="H22" s="13">
        <f t="shared" si="0"/>
        <v>1.6936453999999999</v>
      </c>
      <c r="I22" s="13">
        <v>0</v>
      </c>
      <c r="J22" s="24"/>
      <c r="K22" s="8"/>
      <c r="L22" s="8"/>
      <c r="M22" s="8"/>
    </row>
    <row r="23" spans="1:13" ht="15.75" hidden="1" customHeight="1">
      <c r="A23" s="31"/>
      <c r="B23" s="14" t="s">
        <v>98</v>
      </c>
      <c r="C23" s="16" t="s">
        <v>52</v>
      </c>
      <c r="D23" s="14" t="s">
        <v>94</v>
      </c>
      <c r="E23" s="19">
        <v>58</v>
      </c>
      <c r="F23" s="13">
        <f>SUM(E23/100)</f>
        <v>0.57999999999999996</v>
      </c>
      <c r="G23" s="13">
        <v>44.29</v>
      </c>
      <c r="H23" s="13">
        <f t="shared" si="0"/>
        <v>2.5688199999999998E-2</v>
      </c>
      <c r="I23" s="13">
        <v>0</v>
      </c>
      <c r="J23" s="24"/>
      <c r="K23" s="8"/>
      <c r="L23" s="8"/>
      <c r="M23" s="8"/>
    </row>
    <row r="24" spans="1:13" ht="15.75" customHeight="1">
      <c r="A24" s="31">
        <v>6</v>
      </c>
      <c r="B24" s="14" t="s">
        <v>99</v>
      </c>
      <c r="C24" s="16" t="s">
        <v>52</v>
      </c>
      <c r="D24" s="14" t="s">
        <v>30</v>
      </c>
      <c r="E24" s="19">
        <v>24</v>
      </c>
      <c r="F24" s="13">
        <f>E24*12/100</f>
        <v>2.88</v>
      </c>
      <c r="G24" s="13">
        <v>389.72</v>
      </c>
      <c r="H24" s="13">
        <f t="shared" si="0"/>
        <v>1.1223936000000001</v>
      </c>
      <c r="I24" s="13">
        <f>F24/12*G24</f>
        <v>93.532800000000009</v>
      </c>
      <c r="J24" s="24"/>
      <c r="K24" s="8"/>
      <c r="L24" s="8"/>
      <c r="M24" s="8"/>
    </row>
    <row r="25" spans="1:13" ht="15.75" hidden="1" customHeight="1">
      <c r="A25" s="31"/>
      <c r="B25" s="14" t="s">
        <v>100</v>
      </c>
      <c r="C25" s="16" t="s">
        <v>52</v>
      </c>
      <c r="D25" s="14" t="s">
        <v>53</v>
      </c>
      <c r="E25" s="19">
        <v>17</v>
      </c>
      <c r="F25" s="13">
        <f>SUM(E25/100)</f>
        <v>0.17</v>
      </c>
      <c r="G25" s="13">
        <v>520.79999999999995</v>
      </c>
      <c r="H25" s="13">
        <f t="shared" si="0"/>
        <v>8.8536000000000004E-2</v>
      </c>
      <c r="I25" s="13">
        <v>0</v>
      </c>
      <c r="J25" s="24"/>
      <c r="K25" s="8"/>
      <c r="L25" s="8"/>
      <c r="M25" s="8"/>
    </row>
    <row r="26" spans="1:13" ht="15.75" hidden="1" customHeight="1">
      <c r="A26" s="31"/>
      <c r="B26" s="14" t="s">
        <v>123</v>
      </c>
      <c r="C26" s="16" t="s">
        <v>52</v>
      </c>
      <c r="D26" s="14" t="s">
        <v>53</v>
      </c>
      <c r="E26" s="19">
        <v>24</v>
      </c>
      <c r="F26" s="13">
        <v>0.24</v>
      </c>
      <c r="G26" s="13">
        <v>216.12</v>
      </c>
      <c r="H26" s="13">
        <f>G26*F26/1000</f>
        <v>5.18688E-2</v>
      </c>
      <c r="I26" s="13">
        <v>0</v>
      </c>
      <c r="J26" s="24"/>
      <c r="K26" s="8"/>
      <c r="L26" s="8"/>
      <c r="M26" s="8"/>
    </row>
    <row r="27" spans="1:13" ht="15.75" customHeight="1">
      <c r="A27" s="31">
        <v>7</v>
      </c>
      <c r="B27" s="14" t="s">
        <v>63</v>
      </c>
      <c r="C27" s="16" t="s">
        <v>33</v>
      </c>
      <c r="D27" s="14" t="s">
        <v>160</v>
      </c>
      <c r="E27" s="19">
        <v>0.1</v>
      </c>
      <c r="F27" s="13">
        <f>SUM(E27*365)</f>
        <v>36.5</v>
      </c>
      <c r="G27" s="13">
        <v>147.03</v>
      </c>
      <c r="H27" s="13">
        <f>SUM(F27*G27/1000)</f>
        <v>5.3665950000000002</v>
      </c>
      <c r="I27" s="13">
        <f>F27/12*G27</f>
        <v>447.21625</v>
      </c>
      <c r="J27" s="25"/>
    </row>
    <row r="28" spans="1:13" ht="15.75" customHeight="1">
      <c r="A28" s="31">
        <v>8</v>
      </c>
      <c r="B28" s="44" t="s">
        <v>23</v>
      </c>
      <c r="C28" s="16" t="s">
        <v>24</v>
      </c>
      <c r="D28" s="14" t="s">
        <v>160</v>
      </c>
      <c r="E28" s="19">
        <v>5367.6</v>
      </c>
      <c r="F28" s="13">
        <f>SUM(E28*12)</f>
        <v>64411.200000000004</v>
      </c>
      <c r="G28" s="13">
        <v>3.18</v>
      </c>
      <c r="H28" s="13">
        <f>SUM(F28*G28/1000)</f>
        <v>204.82761600000003</v>
      </c>
      <c r="I28" s="13">
        <f>F28/12*G28</f>
        <v>17068.968000000001</v>
      </c>
      <c r="J28" s="25"/>
    </row>
    <row r="29" spans="1:13" ht="15.75" customHeight="1">
      <c r="A29" s="109" t="s">
        <v>82</v>
      </c>
      <c r="B29" s="109"/>
      <c r="C29" s="109"/>
      <c r="D29" s="109"/>
      <c r="E29" s="109"/>
      <c r="F29" s="109"/>
      <c r="G29" s="109"/>
      <c r="H29" s="109"/>
      <c r="I29" s="109"/>
      <c r="J29" s="24"/>
      <c r="K29" s="8"/>
      <c r="L29" s="8"/>
      <c r="M29" s="8"/>
    </row>
    <row r="30" spans="1:13" ht="15.75" customHeight="1">
      <c r="A30" s="31"/>
      <c r="B30" s="56" t="s">
        <v>28</v>
      </c>
      <c r="C30" s="16"/>
      <c r="D30" s="14"/>
      <c r="E30" s="19"/>
      <c r="F30" s="13"/>
      <c r="G30" s="13"/>
      <c r="H30" s="13"/>
      <c r="I30" s="13"/>
      <c r="J30" s="24"/>
      <c r="K30" s="8"/>
      <c r="L30" s="8"/>
      <c r="M30" s="8"/>
    </row>
    <row r="31" spans="1:13" ht="15.75" customHeight="1">
      <c r="A31" s="31">
        <v>9</v>
      </c>
      <c r="B31" s="14" t="s">
        <v>104</v>
      </c>
      <c r="C31" s="16" t="s">
        <v>87</v>
      </c>
      <c r="D31" s="14" t="s">
        <v>179</v>
      </c>
      <c r="E31" s="13">
        <v>748</v>
      </c>
      <c r="F31" s="13">
        <f>SUM(E31*52/1000)</f>
        <v>38.896000000000001</v>
      </c>
      <c r="G31" s="13">
        <v>155.88999999999999</v>
      </c>
      <c r="H31" s="13">
        <f t="shared" ref="H31:H38" si="1">SUM(F31*G31/1000)</f>
        <v>6.063497439999999</v>
      </c>
      <c r="I31" s="13">
        <f t="shared" ref="I31:I35" si="2">F31/6*G31</f>
        <v>1010.5829066666666</v>
      </c>
      <c r="J31" s="24"/>
      <c r="K31" s="8"/>
      <c r="L31" s="8"/>
      <c r="M31" s="8"/>
    </row>
    <row r="32" spans="1:13" ht="31.5" customHeight="1">
      <c r="A32" s="31">
        <v>10</v>
      </c>
      <c r="B32" s="14" t="s">
        <v>119</v>
      </c>
      <c r="C32" s="16" t="s">
        <v>87</v>
      </c>
      <c r="D32" s="14" t="s">
        <v>180</v>
      </c>
      <c r="E32" s="13">
        <v>374</v>
      </c>
      <c r="F32" s="13">
        <f>SUM(E32*78/1000)</f>
        <v>29.172000000000001</v>
      </c>
      <c r="G32" s="13">
        <v>258.63</v>
      </c>
      <c r="H32" s="13">
        <f t="shared" si="1"/>
        <v>7.5447543599999998</v>
      </c>
      <c r="I32" s="13">
        <f t="shared" si="2"/>
        <v>1257.4590599999999</v>
      </c>
      <c r="J32" s="24"/>
      <c r="K32" s="8"/>
      <c r="L32" s="8"/>
      <c r="M32" s="8"/>
    </row>
    <row r="33" spans="1:14" ht="15.75" hidden="1" customHeight="1">
      <c r="A33" s="31"/>
      <c r="B33" s="14" t="s">
        <v>27</v>
      </c>
      <c r="C33" s="16" t="s">
        <v>87</v>
      </c>
      <c r="D33" s="14" t="s">
        <v>53</v>
      </c>
      <c r="E33" s="13">
        <v>748</v>
      </c>
      <c r="F33" s="13">
        <f>SUM(E33/1000)</f>
        <v>0.748</v>
      </c>
      <c r="G33" s="13">
        <v>3020.33</v>
      </c>
      <c r="H33" s="13">
        <f t="shared" si="1"/>
        <v>2.25920684</v>
      </c>
      <c r="I33" s="13">
        <f>F33*G33</f>
        <v>2259.2068399999998</v>
      </c>
      <c r="J33" s="24"/>
      <c r="K33" s="8"/>
      <c r="L33" s="8"/>
      <c r="M33" s="8"/>
    </row>
    <row r="34" spans="1:14" ht="15.75" customHeight="1">
      <c r="A34" s="31">
        <v>11</v>
      </c>
      <c r="B34" s="14" t="s">
        <v>118</v>
      </c>
      <c r="C34" s="16" t="s">
        <v>40</v>
      </c>
      <c r="D34" s="14" t="s">
        <v>62</v>
      </c>
      <c r="E34" s="13">
        <v>1</v>
      </c>
      <c r="F34" s="13">
        <f>E34*155/100</f>
        <v>1.55</v>
      </c>
      <c r="G34" s="13">
        <v>1302.02</v>
      </c>
      <c r="H34" s="13">
        <f>G34*F34/1000</f>
        <v>2.0181309999999999</v>
      </c>
      <c r="I34" s="13">
        <f t="shared" si="2"/>
        <v>336.35516666666672</v>
      </c>
      <c r="J34" s="24"/>
      <c r="K34" s="8"/>
    </row>
    <row r="35" spans="1:14" ht="15.75" customHeight="1">
      <c r="A35" s="31">
        <v>12</v>
      </c>
      <c r="B35" s="14" t="s">
        <v>103</v>
      </c>
      <c r="C35" s="16" t="s">
        <v>31</v>
      </c>
      <c r="D35" s="14" t="s">
        <v>62</v>
      </c>
      <c r="E35" s="66">
        <v>0.33333333333333331</v>
      </c>
      <c r="F35" s="13">
        <f>155/3</f>
        <v>51.666666666666664</v>
      </c>
      <c r="G35" s="13">
        <v>56.69</v>
      </c>
      <c r="H35" s="13">
        <f>SUM(G35*155/3/1000)</f>
        <v>2.9289833333333331</v>
      </c>
      <c r="I35" s="13">
        <f t="shared" si="2"/>
        <v>488.16388888888883</v>
      </c>
      <c r="J35" s="25"/>
    </row>
    <row r="36" spans="1:14" ht="15.75" hidden="1" customHeight="1">
      <c r="A36" s="31"/>
      <c r="B36" s="14" t="s">
        <v>64</v>
      </c>
      <c r="C36" s="16" t="s">
        <v>33</v>
      </c>
      <c r="D36" s="14" t="s">
        <v>66</v>
      </c>
      <c r="E36" s="19"/>
      <c r="F36" s="13">
        <v>2</v>
      </c>
      <c r="G36" s="13">
        <v>191.32</v>
      </c>
      <c r="H36" s="13">
        <f t="shared" si="1"/>
        <v>0.38263999999999998</v>
      </c>
      <c r="I36" s="13">
        <v>0</v>
      </c>
      <c r="J36" s="25"/>
    </row>
    <row r="37" spans="1:14" ht="15.75" hidden="1" customHeight="1">
      <c r="A37" s="31"/>
      <c r="B37" s="14" t="s">
        <v>65</v>
      </c>
      <c r="C37" s="16" t="s">
        <v>32</v>
      </c>
      <c r="D37" s="14" t="s">
        <v>66</v>
      </c>
      <c r="E37" s="19"/>
      <c r="F37" s="13">
        <v>1</v>
      </c>
      <c r="G37" s="13">
        <v>1136.33</v>
      </c>
      <c r="H37" s="13">
        <f t="shared" si="1"/>
        <v>1.1363299999999998</v>
      </c>
      <c r="I37" s="13">
        <v>0</v>
      </c>
      <c r="J37" s="25"/>
    </row>
    <row r="38" spans="1:14" ht="15.75" hidden="1" customHeight="1">
      <c r="A38" s="31"/>
      <c r="B38" s="14" t="s">
        <v>125</v>
      </c>
      <c r="C38" s="16" t="s">
        <v>29</v>
      </c>
      <c r="D38" s="14"/>
      <c r="E38" s="19">
        <v>932.2</v>
      </c>
      <c r="F38" s="13">
        <v>0.93220000000000003</v>
      </c>
      <c r="G38" s="13">
        <v>1305.02</v>
      </c>
      <c r="H38" s="13">
        <f t="shared" si="1"/>
        <v>1.216539644</v>
      </c>
      <c r="I38" s="13">
        <v>0</v>
      </c>
      <c r="J38" s="25"/>
    </row>
    <row r="39" spans="1:14" ht="15.75" hidden="1" customHeight="1">
      <c r="A39" s="31"/>
      <c r="B39" s="56" t="s">
        <v>5</v>
      </c>
      <c r="C39" s="16"/>
      <c r="D39" s="14"/>
      <c r="E39" s="19"/>
      <c r="F39" s="13"/>
      <c r="G39" s="13"/>
      <c r="H39" s="13" t="s">
        <v>139</v>
      </c>
      <c r="I39" s="13"/>
      <c r="J39" s="25"/>
      <c r="L39" s="20"/>
      <c r="M39" s="21"/>
      <c r="N39" s="22"/>
    </row>
    <row r="40" spans="1:14" ht="15.75" hidden="1" customHeight="1">
      <c r="A40" s="31">
        <v>9</v>
      </c>
      <c r="B40" s="14" t="s">
        <v>26</v>
      </c>
      <c r="C40" s="16" t="s">
        <v>32</v>
      </c>
      <c r="D40" s="14"/>
      <c r="E40" s="19"/>
      <c r="F40" s="13">
        <v>6</v>
      </c>
      <c r="G40" s="13">
        <v>1527.22</v>
      </c>
      <c r="H40" s="13">
        <f t="shared" ref="H40:H45" si="3">SUM(F40*G40/1000)</f>
        <v>9.1633200000000006</v>
      </c>
      <c r="I40" s="13">
        <f t="shared" ref="I40:I45" si="4">F40/6*G40</f>
        <v>1527.22</v>
      </c>
      <c r="J40" s="25"/>
      <c r="L40" s="20"/>
      <c r="M40" s="21"/>
      <c r="N40" s="22"/>
    </row>
    <row r="41" spans="1:14" ht="15.75" hidden="1" customHeight="1">
      <c r="A41" s="31">
        <v>10</v>
      </c>
      <c r="B41" s="14" t="s">
        <v>105</v>
      </c>
      <c r="C41" s="16" t="s">
        <v>29</v>
      </c>
      <c r="D41" s="14" t="s">
        <v>126</v>
      </c>
      <c r="E41" s="19">
        <v>374</v>
      </c>
      <c r="F41" s="13">
        <f>E41*26/1000</f>
        <v>9.7240000000000002</v>
      </c>
      <c r="G41" s="13">
        <v>2102.71</v>
      </c>
      <c r="H41" s="13">
        <f>G41*F41/1000</f>
        <v>20.44675204</v>
      </c>
      <c r="I41" s="13">
        <f t="shared" si="4"/>
        <v>3407.792006666667</v>
      </c>
      <c r="J41" s="25"/>
      <c r="L41" s="20"/>
      <c r="M41" s="21"/>
      <c r="N41" s="22"/>
    </row>
    <row r="42" spans="1:14" ht="15.75" hidden="1" customHeight="1">
      <c r="A42" s="31">
        <v>11</v>
      </c>
      <c r="B42" s="14" t="s">
        <v>67</v>
      </c>
      <c r="C42" s="16" t="s">
        <v>29</v>
      </c>
      <c r="D42" s="14" t="s">
        <v>86</v>
      </c>
      <c r="E42" s="13">
        <v>160</v>
      </c>
      <c r="F42" s="13">
        <f>SUM(E42*155/1000)</f>
        <v>24.8</v>
      </c>
      <c r="G42" s="13">
        <v>350.75</v>
      </c>
      <c r="H42" s="13">
        <f t="shared" si="3"/>
        <v>8.6986000000000008</v>
      </c>
      <c r="I42" s="13">
        <f t="shared" si="4"/>
        <v>1449.7666666666669</v>
      </c>
      <c r="J42" s="25"/>
      <c r="L42" s="20"/>
      <c r="M42" s="21"/>
      <c r="N42" s="22"/>
    </row>
    <row r="43" spans="1:14" ht="47.25" hidden="1" customHeight="1">
      <c r="A43" s="31">
        <v>12</v>
      </c>
      <c r="B43" s="14" t="s">
        <v>81</v>
      </c>
      <c r="C43" s="16" t="s">
        <v>87</v>
      </c>
      <c r="D43" s="14" t="s">
        <v>127</v>
      </c>
      <c r="E43" s="13">
        <v>76</v>
      </c>
      <c r="F43" s="13">
        <f>SUM(E43*50/1000)</f>
        <v>3.8</v>
      </c>
      <c r="G43" s="13">
        <v>5803.28</v>
      </c>
      <c r="H43" s="13">
        <f t="shared" si="3"/>
        <v>22.052463999999997</v>
      </c>
      <c r="I43" s="13">
        <f t="shared" si="4"/>
        <v>3675.4106666666662</v>
      </c>
      <c r="J43" s="25"/>
      <c r="L43" s="20"/>
      <c r="M43" s="21"/>
      <c r="N43" s="22"/>
    </row>
    <row r="44" spans="1:14" ht="15.75" hidden="1" customHeight="1">
      <c r="A44" s="31">
        <v>13</v>
      </c>
      <c r="B44" s="14" t="s">
        <v>88</v>
      </c>
      <c r="C44" s="16" t="s">
        <v>87</v>
      </c>
      <c r="D44" s="14" t="s">
        <v>68</v>
      </c>
      <c r="E44" s="13">
        <v>76</v>
      </c>
      <c r="F44" s="13">
        <f>SUM(E44*45/1000)</f>
        <v>3.42</v>
      </c>
      <c r="G44" s="13">
        <v>428.7</v>
      </c>
      <c r="H44" s="13">
        <f t="shared" si="3"/>
        <v>1.466154</v>
      </c>
      <c r="I44" s="13">
        <f t="shared" si="4"/>
        <v>244.35899999999998</v>
      </c>
      <c r="J44" s="25"/>
      <c r="L44" s="20"/>
      <c r="M44" s="21"/>
      <c r="N44" s="22"/>
    </row>
    <row r="45" spans="1:14" ht="15.75" hidden="1" customHeight="1">
      <c r="A45" s="31">
        <v>14</v>
      </c>
      <c r="B45" s="14" t="s">
        <v>69</v>
      </c>
      <c r="C45" s="16" t="s">
        <v>33</v>
      </c>
      <c r="D45" s="14"/>
      <c r="E45" s="19"/>
      <c r="F45" s="13">
        <v>0.9</v>
      </c>
      <c r="G45" s="13">
        <v>798</v>
      </c>
      <c r="H45" s="13">
        <f t="shared" si="3"/>
        <v>0.71820000000000006</v>
      </c>
      <c r="I45" s="13">
        <f t="shared" si="4"/>
        <v>119.69999999999999</v>
      </c>
      <c r="J45" s="25"/>
      <c r="L45" s="20"/>
      <c r="M45" s="21"/>
      <c r="N45" s="22"/>
    </row>
    <row r="46" spans="1:14" ht="15" hidden="1" customHeight="1">
      <c r="A46" s="110" t="s">
        <v>135</v>
      </c>
      <c r="B46" s="111"/>
      <c r="C46" s="111"/>
      <c r="D46" s="111"/>
      <c r="E46" s="111"/>
      <c r="F46" s="111"/>
      <c r="G46" s="111"/>
      <c r="H46" s="111"/>
      <c r="I46" s="112"/>
      <c r="J46" s="25"/>
      <c r="L46" s="20"/>
      <c r="M46" s="21"/>
      <c r="N46" s="22"/>
    </row>
    <row r="47" spans="1:14" ht="15.75" hidden="1" customHeight="1">
      <c r="A47" s="31"/>
      <c r="B47" s="14" t="s">
        <v>140</v>
      </c>
      <c r="C47" s="16" t="s">
        <v>87</v>
      </c>
      <c r="D47" s="14" t="s">
        <v>42</v>
      </c>
      <c r="E47" s="19">
        <v>1099.7</v>
      </c>
      <c r="F47" s="13">
        <f>SUM(E47*2/1000)</f>
        <v>2.1994000000000002</v>
      </c>
      <c r="G47" s="13">
        <v>809.74</v>
      </c>
      <c r="H47" s="13">
        <f t="shared" ref="H47:H56" si="5">SUM(F47*G47/1000)</f>
        <v>1.7809421560000003</v>
      </c>
      <c r="I47" s="13">
        <v>0</v>
      </c>
      <c r="J47" s="25"/>
      <c r="L47" s="20"/>
      <c r="M47" s="21"/>
      <c r="N47" s="22"/>
    </row>
    <row r="48" spans="1:14" ht="15.75" hidden="1" customHeight="1">
      <c r="A48" s="31"/>
      <c r="B48" s="14" t="s">
        <v>35</v>
      </c>
      <c r="C48" s="16" t="s">
        <v>87</v>
      </c>
      <c r="D48" s="14" t="s">
        <v>42</v>
      </c>
      <c r="E48" s="19">
        <v>52</v>
      </c>
      <c r="F48" s="13">
        <f>E48*2/1000</f>
        <v>0.104</v>
      </c>
      <c r="G48" s="13">
        <v>579.48</v>
      </c>
      <c r="H48" s="13">
        <f t="shared" si="5"/>
        <v>6.0265920000000001E-2</v>
      </c>
      <c r="I48" s="13">
        <v>0</v>
      </c>
      <c r="J48" s="25"/>
      <c r="L48" s="20"/>
      <c r="M48" s="21"/>
      <c r="N48" s="22"/>
    </row>
    <row r="49" spans="1:22" ht="15.75" hidden="1" customHeight="1">
      <c r="A49" s="31"/>
      <c r="B49" s="14" t="s">
        <v>36</v>
      </c>
      <c r="C49" s="16" t="s">
        <v>87</v>
      </c>
      <c r="D49" s="14" t="s">
        <v>42</v>
      </c>
      <c r="E49" s="19">
        <v>917.78</v>
      </c>
      <c r="F49" s="13">
        <f>SUM(E49*2/1000)</f>
        <v>1.8355599999999999</v>
      </c>
      <c r="G49" s="13">
        <v>579.48</v>
      </c>
      <c r="H49" s="13">
        <f t="shared" si="5"/>
        <v>1.0636703087999999</v>
      </c>
      <c r="I49" s="13">
        <v>0</v>
      </c>
      <c r="J49" s="25"/>
      <c r="L49" s="20"/>
      <c r="M49" s="21"/>
      <c r="N49" s="22"/>
    </row>
    <row r="50" spans="1:22" ht="15.75" hidden="1" customHeight="1">
      <c r="A50" s="31"/>
      <c r="B50" s="14" t="s">
        <v>37</v>
      </c>
      <c r="C50" s="16" t="s">
        <v>87</v>
      </c>
      <c r="D50" s="14" t="s">
        <v>42</v>
      </c>
      <c r="E50" s="19">
        <v>3930</v>
      </c>
      <c r="F50" s="13">
        <f>SUM(E50*2/1000)</f>
        <v>7.86</v>
      </c>
      <c r="G50" s="13">
        <v>606.77</v>
      </c>
      <c r="H50" s="13">
        <f t="shared" si="5"/>
        <v>4.7692122000000001</v>
      </c>
      <c r="I50" s="13">
        <v>0</v>
      </c>
      <c r="J50" s="25"/>
      <c r="L50" s="20"/>
      <c r="M50" s="21"/>
      <c r="N50" s="22"/>
    </row>
    <row r="51" spans="1:22" ht="15.75" hidden="1" customHeight="1">
      <c r="A51" s="31"/>
      <c r="B51" s="14" t="s">
        <v>34</v>
      </c>
      <c r="C51" s="16" t="s">
        <v>52</v>
      </c>
      <c r="D51" s="14" t="s">
        <v>42</v>
      </c>
      <c r="E51" s="19">
        <v>142.38999999999999</v>
      </c>
      <c r="F51" s="13">
        <f>E51*2/100</f>
        <v>2.8477999999999999</v>
      </c>
      <c r="G51" s="13">
        <v>72.81</v>
      </c>
      <c r="H51" s="13">
        <f>F51*G51/1000</f>
        <v>0.207348318</v>
      </c>
      <c r="I51" s="13">
        <v>0</v>
      </c>
      <c r="J51" s="25"/>
      <c r="L51" s="20"/>
      <c r="M51" s="21"/>
      <c r="N51" s="22"/>
    </row>
    <row r="52" spans="1:22" ht="15.75" hidden="1" customHeight="1">
      <c r="A52" s="31">
        <v>15</v>
      </c>
      <c r="B52" s="14" t="s">
        <v>55</v>
      </c>
      <c r="C52" s="16" t="s">
        <v>87</v>
      </c>
      <c r="D52" s="14" t="s">
        <v>142</v>
      </c>
      <c r="E52" s="19">
        <v>1914</v>
      </c>
      <c r="F52" s="13">
        <f>SUM(E52*5/1000)</f>
        <v>9.57</v>
      </c>
      <c r="G52" s="13">
        <v>1213.55</v>
      </c>
      <c r="H52" s="13">
        <f t="shared" si="5"/>
        <v>11.613673500000001</v>
      </c>
      <c r="I52" s="13">
        <f>F52/5*G52</f>
        <v>2322.7347</v>
      </c>
      <c r="J52" s="25"/>
      <c r="L52" s="20"/>
      <c r="M52" s="21"/>
      <c r="N52" s="22"/>
    </row>
    <row r="53" spans="1:22" ht="31.5" hidden="1" customHeight="1">
      <c r="A53" s="31">
        <v>16</v>
      </c>
      <c r="B53" s="14" t="s">
        <v>89</v>
      </c>
      <c r="C53" s="16" t="s">
        <v>87</v>
      </c>
      <c r="D53" s="14" t="s">
        <v>42</v>
      </c>
      <c r="E53" s="19">
        <v>1914</v>
      </c>
      <c r="F53" s="13">
        <f>SUM(E53*2/1000)</f>
        <v>3.8279999999999998</v>
      </c>
      <c r="G53" s="13">
        <v>1213.55</v>
      </c>
      <c r="H53" s="13">
        <f t="shared" si="5"/>
        <v>4.6454693999999996</v>
      </c>
      <c r="I53" s="13">
        <f>F53/2*G53</f>
        <v>2322.7347</v>
      </c>
      <c r="J53" s="25"/>
      <c r="L53" s="20"/>
      <c r="M53" s="21"/>
      <c r="N53" s="22"/>
    </row>
    <row r="54" spans="1:22" ht="31.5" hidden="1" customHeight="1">
      <c r="A54" s="31">
        <v>17</v>
      </c>
      <c r="B54" s="14" t="s">
        <v>90</v>
      </c>
      <c r="C54" s="16" t="s">
        <v>38</v>
      </c>
      <c r="D54" s="14" t="s">
        <v>42</v>
      </c>
      <c r="E54" s="19">
        <v>20</v>
      </c>
      <c r="F54" s="13">
        <f>SUM(E54*2/100)</f>
        <v>0.4</v>
      </c>
      <c r="G54" s="13">
        <v>2730.49</v>
      </c>
      <c r="H54" s="13">
        <f>SUM(F54*G54/1000)</f>
        <v>1.0921959999999999</v>
      </c>
      <c r="I54" s="13">
        <f>F54/2*G54</f>
        <v>546.09799999999996</v>
      </c>
      <c r="J54" s="25"/>
      <c r="L54" s="20"/>
      <c r="M54" s="21"/>
      <c r="N54" s="22"/>
    </row>
    <row r="55" spans="1:22" ht="15.75" hidden="1" customHeight="1">
      <c r="A55" s="31">
        <v>18</v>
      </c>
      <c r="B55" s="14" t="s">
        <v>39</v>
      </c>
      <c r="C55" s="16" t="s">
        <v>40</v>
      </c>
      <c r="D55" s="14" t="s">
        <v>42</v>
      </c>
      <c r="E55" s="19">
        <v>1</v>
      </c>
      <c r="F55" s="13">
        <v>0.02</v>
      </c>
      <c r="G55" s="13">
        <v>5652.13</v>
      </c>
      <c r="H55" s="13">
        <f t="shared" si="5"/>
        <v>0.11304260000000001</v>
      </c>
      <c r="I55" s="13">
        <f>F55/2*G55</f>
        <v>56.521300000000004</v>
      </c>
      <c r="J55" s="25"/>
      <c r="L55" s="20"/>
      <c r="M55" s="21"/>
      <c r="N55" s="22"/>
    </row>
    <row r="56" spans="1:22" ht="15.75" hidden="1" customHeight="1">
      <c r="A56" s="31">
        <v>19</v>
      </c>
      <c r="B56" s="14" t="s">
        <v>41</v>
      </c>
      <c r="C56" s="16" t="s">
        <v>106</v>
      </c>
      <c r="D56" s="14" t="s">
        <v>70</v>
      </c>
      <c r="E56" s="19">
        <v>120</v>
      </c>
      <c r="F56" s="13">
        <f>SUM(E56)*3</f>
        <v>360</v>
      </c>
      <c r="G56" s="13">
        <v>65.67</v>
      </c>
      <c r="H56" s="13">
        <f t="shared" si="5"/>
        <v>23.641200000000001</v>
      </c>
      <c r="I56" s="13">
        <f>E56*G56</f>
        <v>7880.4000000000005</v>
      </c>
      <c r="J56" s="25"/>
      <c r="L56" s="20"/>
      <c r="M56" s="21"/>
      <c r="N56" s="22"/>
    </row>
    <row r="57" spans="1:22" ht="15.75" customHeight="1">
      <c r="A57" s="110" t="s">
        <v>133</v>
      </c>
      <c r="B57" s="111"/>
      <c r="C57" s="111"/>
      <c r="D57" s="111"/>
      <c r="E57" s="111"/>
      <c r="F57" s="111"/>
      <c r="G57" s="111"/>
      <c r="H57" s="111"/>
      <c r="I57" s="112"/>
      <c r="J57" s="25"/>
      <c r="L57" s="20"/>
      <c r="M57" s="21"/>
      <c r="N57" s="22"/>
    </row>
    <row r="58" spans="1:22" ht="15.75" hidden="1" customHeight="1">
      <c r="A58" s="31"/>
      <c r="B58" s="56" t="s">
        <v>43</v>
      </c>
      <c r="C58" s="16"/>
      <c r="D58" s="14"/>
      <c r="E58" s="19"/>
      <c r="F58" s="13"/>
      <c r="G58" s="13"/>
      <c r="H58" s="13"/>
      <c r="I58" s="13"/>
      <c r="J58" s="25"/>
      <c r="L58" s="20"/>
    </row>
    <row r="59" spans="1:22" ht="31.5" hidden="1" customHeight="1">
      <c r="A59" s="31">
        <v>20</v>
      </c>
      <c r="B59" s="14" t="s">
        <v>141</v>
      </c>
      <c r="C59" s="16" t="s">
        <v>85</v>
      </c>
      <c r="D59" s="14" t="s">
        <v>107</v>
      </c>
      <c r="E59" s="19">
        <v>66</v>
      </c>
      <c r="F59" s="13">
        <f>SUM(E59*6/100)</f>
        <v>3.96</v>
      </c>
      <c r="G59" s="13">
        <v>1547.28</v>
      </c>
      <c r="H59" s="13">
        <f>SUM(F59*G59/1000)</f>
        <v>6.1272288000000001</v>
      </c>
      <c r="I59" s="13">
        <f>F59/6*G59</f>
        <v>1021.2048</v>
      </c>
    </row>
    <row r="60" spans="1:22" ht="15.75" customHeight="1">
      <c r="A60" s="31"/>
      <c r="B60" s="56" t="s">
        <v>44</v>
      </c>
      <c r="C60" s="16"/>
      <c r="D60" s="14"/>
      <c r="E60" s="19"/>
      <c r="F60" s="13"/>
      <c r="G60" s="13"/>
      <c r="H60" s="13"/>
      <c r="I60" s="13"/>
    </row>
    <row r="61" spans="1:22" ht="15.75" hidden="1" customHeight="1">
      <c r="A61" s="31"/>
      <c r="B61" s="14" t="s">
        <v>120</v>
      </c>
      <c r="C61" s="16" t="s">
        <v>52</v>
      </c>
      <c r="D61" s="14" t="s">
        <v>53</v>
      </c>
      <c r="E61" s="19">
        <v>1387</v>
      </c>
      <c r="F61" s="13">
        <f>E61/100</f>
        <v>13.87</v>
      </c>
      <c r="G61" s="13">
        <v>793.61</v>
      </c>
      <c r="H61" s="13">
        <f>F61*G61/1000</f>
        <v>11.007370699999999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31">
        <v>13</v>
      </c>
      <c r="B62" s="14" t="s">
        <v>121</v>
      </c>
      <c r="C62" s="16" t="s">
        <v>25</v>
      </c>
      <c r="D62" s="14" t="s">
        <v>30</v>
      </c>
      <c r="E62" s="19">
        <v>286.8</v>
      </c>
      <c r="F62" s="13">
        <f>E62*12</f>
        <v>3441.6000000000004</v>
      </c>
      <c r="G62" s="13">
        <v>2.6</v>
      </c>
      <c r="H62" s="13">
        <f>F62*G62/1000</f>
        <v>8.9481600000000014</v>
      </c>
      <c r="I62" s="13">
        <f>F62/12*G62</f>
        <v>745.68000000000006</v>
      </c>
      <c r="J62" s="27"/>
      <c r="K62" s="27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31"/>
      <c r="B63" s="56" t="s">
        <v>128</v>
      </c>
      <c r="C63" s="16"/>
      <c r="D63" s="14"/>
      <c r="E63" s="19"/>
      <c r="F63" s="13"/>
      <c r="G63" s="13"/>
      <c r="H63" s="13"/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31"/>
      <c r="B64" s="14" t="s">
        <v>129</v>
      </c>
      <c r="C64" s="16" t="s">
        <v>106</v>
      </c>
      <c r="D64" s="14" t="s">
        <v>53</v>
      </c>
      <c r="E64" s="19">
        <v>4</v>
      </c>
      <c r="F64" s="13">
        <v>4</v>
      </c>
      <c r="G64" s="13">
        <v>237.75</v>
      </c>
      <c r="H64" s="13">
        <f t="shared" ref="H64" si="6">F64*G64/1000</f>
        <v>0.95099999999999996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94"/>
      <c r="S64" s="94"/>
      <c r="T64" s="94"/>
      <c r="U64" s="94"/>
    </row>
    <row r="65" spans="1:21" ht="15.75" hidden="1" customHeight="1">
      <c r="A65" s="31"/>
      <c r="B65" s="56" t="s">
        <v>45</v>
      </c>
      <c r="C65" s="16"/>
      <c r="D65" s="14"/>
      <c r="E65" s="19"/>
      <c r="F65" s="13"/>
      <c r="G65" s="13"/>
      <c r="H65" s="13" t="s">
        <v>139</v>
      </c>
      <c r="I65" s="1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hidden="1" customHeight="1">
      <c r="A66" s="31"/>
      <c r="B66" s="14" t="s">
        <v>46</v>
      </c>
      <c r="C66" s="16" t="s">
        <v>106</v>
      </c>
      <c r="D66" s="14" t="s">
        <v>66</v>
      </c>
      <c r="E66" s="19">
        <v>10</v>
      </c>
      <c r="F66" s="13">
        <v>10</v>
      </c>
      <c r="G66" s="13">
        <v>222.4</v>
      </c>
      <c r="H66" s="13">
        <f t="shared" ref="H66:H79" si="7">SUM(F66*G66/1000)</f>
        <v>2.2240000000000002</v>
      </c>
      <c r="I66" s="13">
        <f>0</f>
        <v>0</v>
      </c>
    </row>
    <row r="67" spans="1:21" ht="15.75" hidden="1" customHeight="1">
      <c r="A67" s="31"/>
      <c r="B67" s="14" t="s">
        <v>47</v>
      </c>
      <c r="C67" s="16" t="s">
        <v>106</v>
      </c>
      <c r="D67" s="14" t="s">
        <v>66</v>
      </c>
      <c r="E67" s="19">
        <v>5</v>
      </c>
      <c r="F67" s="13">
        <v>5</v>
      </c>
      <c r="G67" s="13">
        <v>76.25</v>
      </c>
      <c r="H67" s="13">
        <f t="shared" si="7"/>
        <v>0.38124999999999998</v>
      </c>
      <c r="I67" s="13">
        <v>0</v>
      </c>
    </row>
    <row r="68" spans="1:21" ht="15.75" hidden="1" customHeight="1">
      <c r="A68" s="31"/>
      <c r="B68" s="14" t="s">
        <v>48</v>
      </c>
      <c r="C68" s="16" t="s">
        <v>108</v>
      </c>
      <c r="D68" s="14" t="s">
        <v>53</v>
      </c>
      <c r="E68" s="19">
        <v>19138</v>
      </c>
      <c r="F68" s="13">
        <f>SUM(E68/100)</f>
        <v>191.38</v>
      </c>
      <c r="G68" s="13">
        <v>212.15</v>
      </c>
      <c r="H68" s="13">
        <f t="shared" si="7"/>
        <v>40.601267</v>
      </c>
      <c r="I68" s="13">
        <f>F68*G68</f>
        <v>40601.267</v>
      </c>
    </row>
    <row r="69" spans="1:21" ht="15.75" hidden="1" customHeight="1">
      <c r="A69" s="31"/>
      <c r="B69" s="14" t="s">
        <v>49</v>
      </c>
      <c r="C69" s="16" t="s">
        <v>109</v>
      </c>
      <c r="D69" s="14"/>
      <c r="E69" s="19">
        <v>19138</v>
      </c>
      <c r="F69" s="13">
        <f>SUM(E69/1000)</f>
        <v>19.138000000000002</v>
      </c>
      <c r="G69" s="13">
        <v>165.21</v>
      </c>
      <c r="H69" s="13">
        <f t="shared" si="7"/>
        <v>3.1617889800000003</v>
      </c>
      <c r="I69" s="13">
        <f t="shared" ref="I69:I73" si="8">F69*G69</f>
        <v>3161.7889800000003</v>
      </c>
    </row>
    <row r="70" spans="1:21" ht="15.75" hidden="1" customHeight="1">
      <c r="A70" s="31"/>
      <c r="B70" s="14" t="s">
        <v>50</v>
      </c>
      <c r="C70" s="16" t="s">
        <v>76</v>
      </c>
      <c r="D70" s="14" t="s">
        <v>53</v>
      </c>
      <c r="E70" s="19">
        <v>2730</v>
      </c>
      <c r="F70" s="13">
        <f>SUM(E70/100)</f>
        <v>27.3</v>
      </c>
      <c r="G70" s="13">
        <v>2074.63</v>
      </c>
      <c r="H70" s="13">
        <f t="shared" si="7"/>
        <v>56.637399000000002</v>
      </c>
      <c r="I70" s="13">
        <f t="shared" si="8"/>
        <v>56637.399000000005</v>
      </c>
    </row>
    <row r="71" spans="1:21" ht="15.75" hidden="1" customHeight="1">
      <c r="A71" s="31"/>
      <c r="B71" s="67" t="s">
        <v>110</v>
      </c>
      <c r="C71" s="16" t="s">
        <v>33</v>
      </c>
      <c r="D71" s="14"/>
      <c r="E71" s="19">
        <v>13</v>
      </c>
      <c r="F71" s="13">
        <f>SUM(E71)</f>
        <v>13</v>
      </c>
      <c r="G71" s="13">
        <v>45.32</v>
      </c>
      <c r="H71" s="13">
        <f t="shared" si="7"/>
        <v>0.58916000000000002</v>
      </c>
      <c r="I71" s="13">
        <f t="shared" si="8"/>
        <v>589.16</v>
      </c>
    </row>
    <row r="72" spans="1:21" ht="15.75" hidden="1" customHeight="1">
      <c r="A72" s="31"/>
      <c r="B72" s="67" t="s">
        <v>111</v>
      </c>
      <c r="C72" s="16" t="s">
        <v>33</v>
      </c>
      <c r="D72" s="14"/>
      <c r="E72" s="19">
        <v>13</v>
      </c>
      <c r="F72" s="13">
        <f>SUM(E72)</f>
        <v>13</v>
      </c>
      <c r="G72" s="13">
        <v>42.28</v>
      </c>
      <c r="H72" s="13">
        <f t="shared" si="7"/>
        <v>0.54964000000000002</v>
      </c>
      <c r="I72" s="13">
        <f t="shared" si="8"/>
        <v>549.64</v>
      </c>
    </row>
    <row r="73" spans="1:21" ht="15.75" hidden="1" customHeight="1">
      <c r="A73" s="31"/>
      <c r="B73" s="14" t="s">
        <v>56</v>
      </c>
      <c r="C73" s="16" t="s">
        <v>57</v>
      </c>
      <c r="D73" s="14" t="s">
        <v>53</v>
      </c>
      <c r="E73" s="19">
        <v>8</v>
      </c>
      <c r="F73" s="13">
        <v>8</v>
      </c>
      <c r="G73" s="13">
        <v>49.88</v>
      </c>
      <c r="H73" s="13">
        <f t="shared" si="7"/>
        <v>0.39904000000000001</v>
      </c>
      <c r="I73" s="13">
        <f t="shared" si="8"/>
        <v>399.04</v>
      </c>
    </row>
    <row r="74" spans="1:21" ht="15.75" hidden="1" customHeight="1">
      <c r="A74" s="31"/>
      <c r="B74" s="56" t="s">
        <v>71</v>
      </c>
      <c r="C74" s="16"/>
      <c r="D74" s="14"/>
      <c r="E74" s="19"/>
      <c r="F74" s="13"/>
      <c r="G74" s="13"/>
      <c r="H74" s="13" t="s">
        <v>139</v>
      </c>
      <c r="I74" s="13"/>
    </row>
    <row r="75" spans="1:21" ht="15.75" hidden="1" customHeight="1">
      <c r="A75" s="31">
        <v>22</v>
      </c>
      <c r="B75" s="14" t="s">
        <v>72</v>
      </c>
      <c r="C75" s="16" t="s">
        <v>74</v>
      </c>
      <c r="D75" s="14"/>
      <c r="E75" s="19">
        <v>4</v>
      </c>
      <c r="F75" s="13">
        <v>0.4</v>
      </c>
      <c r="G75" s="13">
        <v>501.62</v>
      </c>
      <c r="H75" s="13">
        <f t="shared" si="7"/>
        <v>0.20064800000000002</v>
      </c>
      <c r="I75" s="13">
        <f>G75*0.6</f>
        <v>300.97199999999998</v>
      </c>
    </row>
    <row r="76" spans="1:21" ht="15.75" hidden="1" customHeight="1">
      <c r="A76" s="31"/>
      <c r="B76" s="14" t="s">
        <v>73</v>
      </c>
      <c r="C76" s="16" t="s">
        <v>31</v>
      </c>
      <c r="D76" s="14"/>
      <c r="E76" s="19">
        <v>1</v>
      </c>
      <c r="F76" s="13">
        <v>1</v>
      </c>
      <c r="G76" s="13">
        <v>852.99</v>
      </c>
      <c r="H76" s="13">
        <f>F76*G76/1000</f>
        <v>0.85299000000000003</v>
      </c>
      <c r="I76" s="13">
        <v>0</v>
      </c>
    </row>
    <row r="77" spans="1:21" ht="15.75" hidden="1" customHeight="1">
      <c r="A77" s="31"/>
      <c r="B77" s="14" t="s">
        <v>113</v>
      </c>
      <c r="C77" s="16" t="s">
        <v>31</v>
      </c>
      <c r="D77" s="14"/>
      <c r="E77" s="19">
        <v>1</v>
      </c>
      <c r="F77" s="13">
        <v>1</v>
      </c>
      <c r="G77" s="13">
        <v>358.51</v>
      </c>
      <c r="H77" s="13">
        <f>G77*F77/1000</f>
        <v>0.35851</v>
      </c>
      <c r="I77" s="13">
        <v>0</v>
      </c>
    </row>
    <row r="78" spans="1:21" ht="15.75" hidden="1" customHeight="1">
      <c r="A78" s="31"/>
      <c r="B78" s="64" t="s">
        <v>75</v>
      </c>
      <c r="C78" s="16"/>
      <c r="D78" s="14"/>
      <c r="E78" s="19"/>
      <c r="F78" s="13"/>
      <c r="G78" s="13" t="s">
        <v>139</v>
      </c>
      <c r="H78" s="13" t="s">
        <v>139</v>
      </c>
      <c r="I78" s="13"/>
    </row>
    <row r="79" spans="1:21" ht="15.75" hidden="1" customHeight="1">
      <c r="A79" s="31"/>
      <c r="B79" s="44" t="s">
        <v>124</v>
      </c>
      <c r="C79" s="16" t="s">
        <v>76</v>
      </c>
      <c r="D79" s="14"/>
      <c r="E79" s="19"/>
      <c r="F79" s="13">
        <v>0.1</v>
      </c>
      <c r="G79" s="13">
        <v>2759.44</v>
      </c>
      <c r="H79" s="13">
        <f t="shared" si="7"/>
        <v>0.27594400000000002</v>
      </c>
      <c r="I79" s="13">
        <v>0</v>
      </c>
    </row>
    <row r="80" spans="1:21" ht="15.75" hidden="1" customHeight="1">
      <c r="A80" s="31"/>
      <c r="B80" s="56" t="s">
        <v>91</v>
      </c>
      <c r="C80" s="70"/>
      <c r="D80" s="70"/>
      <c r="E80" s="70"/>
      <c r="F80" s="70"/>
      <c r="G80" s="65"/>
      <c r="H80" s="65">
        <f>SUM(H59:H79)</f>
        <v>133.26539648000002</v>
      </c>
      <c r="I80" s="65"/>
    </row>
    <row r="81" spans="1:9" ht="15.75" hidden="1" customHeight="1">
      <c r="A81" s="31"/>
      <c r="B81" s="14" t="s">
        <v>112</v>
      </c>
      <c r="C81" s="16"/>
      <c r="D81" s="14"/>
      <c r="E81" s="19"/>
      <c r="F81" s="13">
        <v>1</v>
      </c>
      <c r="G81" s="13">
        <v>13441.4</v>
      </c>
      <c r="H81" s="13">
        <f>G81*F81/1000</f>
        <v>13.4414</v>
      </c>
      <c r="I81" s="13">
        <v>0</v>
      </c>
    </row>
    <row r="82" spans="1:9" ht="15.75" customHeight="1">
      <c r="A82" s="95" t="s">
        <v>134</v>
      </c>
      <c r="B82" s="96"/>
      <c r="C82" s="96"/>
      <c r="D82" s="96"/>
      <c r="E82" s="96"/>
      <c r="F82" s="96"/>
      <c r="G82" s="96"/>
      <c r="H82" s="96"/>
      <c r="I82" s="97"/>
    </row>
    <row r="83" spans="1:9" ht="15.75" customHeight="1">
      <c r="A83" s="31">
        <v>14</v>
      </c>
      <c r="B83" s="14" t="s">
        <v>114</v>
      </c>
      <c r="C83" s="16" t="s">
        <v>54</v>
      </c>
      <c r="D83" s="59" t="s">
        <v>152</v>
      </c>
      <c r="E83" s="13">
        <v>5367.6</v>
      </c>
      <c r="F83" s="13">
        <f>SUM(E83*12)</f>
        <v>64411.200000000004</v>
      </c>
      <c r="G83" s="13">
        <v>2.1</v>
      </c>
      <c r="H83" s="13">
        <f>SUM(F83*G83/1000)</f>
        <v>135.26352000000003</v>
      </c>
      <c r="I83" s="13">
        <f>F83/12*G83</f>
        <v>11271.960000000001</v>
      </c>
    </row>
    <row r="84" spans="1:9" ht="31.5" customHeight="1">
      <c r="A84" s="31">
        <v>15</v>
      </c>
      <c r="B84" s="14" t="s">
        <v>77</v>
      </c>
      <c r="C84" s="16"/>
      <c r="D84" s="59" t="s">
        <v>152</v>
      </c>
      <c r="E84" s="19">
        <f>E83</f>
        <v>5367.6</v>
      </c>
      <c r="F84" s="13">
        <f>E84*12</f>
        <v>64411.200000000004</v>
      </c>
      <c r="G84" s="13">
        <v>1.63</v>
      </c>
      <c r="H84" s="13">
        <f>F84*G84/1000</f>
        <v>104.99025599999999</v>
      </c>
      <c r="I84" s="13">
        <f>F84/12*G84</f>
        <v>8749.1880000000001</v>
      </c>
    </row>
    <row r="85" spans="1:9" ht="15.75" customHeight="1">
      <c r="A85" s="31"/>
      <c r="B85" s="36" t="s">
        <v>79</v>
      </c>
      <c r="C85" s="64"/>
      <c r="D85" s="68"/>
      <c r="E85" s="65"/>
      <c r="F85" s="65"/>
      <c r="G85" s="65"/>
      <c r="H85" s="65">
        <f>H84</f>
        <v>104.99025599999999</v>
      </c>
      <c r="I85" s="65">
        <f>I16+I17+I18+I20+I21+I24+I27+I28+I31+I32+I34+I35+I62+I83+I84</f>
        <v>51489.113984222226</v>
      </c>
    </row>
    <row r="86" spans="1:9" ht="15.75" customHeight="1">
      <c r="A86" s="106" t="s">
        <v>59</v>
      </c>
      <c r="B86" s="107"/>
      <c r="C86" s="107"/>
      <c r="D86" s="107"/>
      <c r="E86" s="107"/>
      <c r="F86" s="107"/>
      <c r="G86" s="107"/>
      <c r="H86" s="107"/>
      <c r="I86" s="108"/>
    </row>
    <row r="87" spans="1:9" ht="15.75" customHeight="1">
      <c r="A87" s="31">
        <v>16</v>
      </c>
      <c r="B87" s="47" t="s">
        <v>122</v>
      </c>
      <c r="C87" s="63" t="s">
        <v>106</v>
      </c>
      <c r="D87" s="44"/>
      <c r="E87" s="13"/>
      <c r="F87" s="13">
        <v>732</v>
      </c>
      <c r="G87" s="13">
        <v>53.42</v>
      </c>
      <c r="H87" s="13">
        <f t="shared" ref="H87" si="9">G87*F87/1000</f>
        <v>39.103439999999999</v>
      </c>
      <c r="I87" s="13">
        <f>G87*61</f>
        <v>3258.62</v>
      </c>
    </row>
    <row r="88" spans="1:9" ht="15.75" customHeight="1">
      <c r="A88" s="31">
        <v>17</v>
      </c>
      <c r="B88" s="47" t="s">
        <v>80</v>
      </c>
      <c r="C88" s="63" t="s">
        <v>106</v>
      </c>
      <c r="D88" s="44"/>
      <c r="E88" s="13"/>
      <c r="F88" s="13">
        <v>3</v>
      </c>
      <c r="G88" s="13">
        <v>189.88</v>
      </c>
      <c r="H88" s="69">
        <f>G88*F88/1000</f>
        <v>0.56964000000000004</v>
      </c>
      <c r="I88" s="13">
        <f>G88</f>
        <v>189.88</v>
      </c>
    </row>
    <row r="89" spans="1:9" ht="15.75" customHeight="1">
      <c r="A89" s="31">
        <v>18</v>
      </c>
      <c r="B89" s="47" t="s">
        <v>218</v>
      </c>
      <c r="C89" s="63" t="s">
        <v>33</v>
      </c>
      <c r="D89" s="90"/>
      <c r="E89" s="18"/>
      <c r="F89" s="35">
        <f>((32.11+33.48)-(7.47*6))+(((39.73-(7.47*6))*44.31)/42.61)</f>
        <v>15.476925604318236</v>
      </c>
      <c r="G89" s="35">
        <v>42.61</v>
      </c>
      <c r="H89" s="69">
        <f t="shared" ref="H89" si="10">G89*F89/1000</f>
        <v>0.65947180000000005</v>
      </c>
      <c r="I89" s="13">
        <f>G89*F89</f>
        <v>659.47180000000003</v>
      </c>
    </row>
    <row r="90" spans="1:9" ht="15.75" customHeight="1">
      <c r="A90" s="31"/>
      <c r="B90" s="42" t="s">
        <v>51</v>
      </c>
      <c r="C90" s="38"/>
      <c r="D90" s="45"/>
      <c r="E90" s="38">
        <v>1</v>
      </c>
      <c r="F90" s="38"/>
      <c r="G90" s="38"/>
      <c r="H90" s="38"/>
      <c r="I90" s="33">
        <f>SUM(I87:I89)</f>
        <v>4107.9718000000003</v>
      </c>
    </row>
    <row r="91" spans="1:9" ht="15.75" customHeight="1">
      <c r="A91" s="31"/>
      <c r="B91" s="44" t="s">
        <v>78</v>
      </c>
      <c r="C91" s="15"/>
      <c r="D91" s="15"/>
      <c r="E91" s="39"/>
      <c r="F91" s="39"/>
      <c r="G91" s="40"/>
      <c r="H91" s="40"/>
      <c r="I91" s="18">
        <v>0</v>
      </c>
    </row>
    <row r="92" spans="1:9" ht="15.75" customHeight="1">
      <c r="A92" s="46"/>
      <c r="B92" s="43" t="s">
        <v>161</v>
      </c>
      <c r="C92" s="34"/>
      <c r="D92" s="34"/>
      <c r="E92" s="34"/>
      <c r="F92" s="34"/>
      <c r="G92" s="34"/>
      <c r="H92" s="34"/>
      <c r="I92" s="41">
        <f>I85+I90</f>
        <v>55597.085784222225</v>
      </c>
    </row>
    <row r="93" spans="1:9" ht="15.75" customHeight="1">
      <c r="A93" s="98" t="s">
        <v>219</v>
      </c>
      <c r="B93" s="98"/>
      <c r="C93" s="98"/>
      <c r="D93" s="98"/>
      <c r="E93" s="98"/>
      <c r="F93" s="98"/>
      <c r="G93" s="98"/>
      <c r="H93" s="98"/>
      <c r="I93" s="98"/>
    </row>
    <row r="94" spans="1:9" ht="15.75">
      <c r="A94" s="58"/>
      <c r="B94" s="99" t="s">
        <v>220</v>
      </c>
      <c r="C94" s="99"/>
      <c r="D94" s="99"/>
      <c r="E94" s="99"/>
      <c r="F94" s="99"/>
      <c r="G94" s="99"/>
      <c r="H94" s="62"/>
      <c r="I94" s="3"/>
    </row>
    <row r="95" spans="1:9" ht="15.75" customHeight="1">
      <c r="A95" s="54"/>
      <c r="B95" s="100" t="s">
        <v>6</v>
      </c>
      <c r="C95" s="100"/>
      <c r="D95" s="100"/>
      <c r="E95" s="100"/>
      <c r="F95" s="100"/>
      <c r="G95" s="100"/>
      <c r="H95" s="26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01" t="s">
        <v>7</v>
      </c>
      <c r="B97" s="101"/>
      <c r="C97" s="101"/>
      <c r="D97" s="101"/>
      <c r="E97" s="101"/>
      <c r="F97" s="101"/>
      <c r="G97" s="101"/>
      <c r="H97" s="101"/>
      <c r="I97" s="101"/>
    </row>
    <row r="98" spans="1:9" ht="15.75" customHeight="1">
      <c r="A98" s="101" t="s">
        <v>8</v>
      </c>
      <c r="B98" s="101"/>
      <c r="C98" s="101"/>
      <c r="D98" s="101"/>
      <c r="E98" s="101"/>
      <c r="F98" s="101"/>
      <c r="G98" s="101"/>
      <c r="H98" s="101"/>
      <c r="I98" s="101"/>
    </row>
    <row r="99" spans="1:9" ht="15.75">
      <c r="A99" s="102" t="s">
        <v>60</v>
      </c>
      <c r="B99" s="102"/>
      <c r="C99" s="102"/>
      <c r="D99" s="102"/>
      <c r="E99" s="102"/>
      <c r="F99" s="102"/>
      <c r="G99" s="102"/>
      <c r="H99" s="102"/>
      <c r="I99" s="102"/>
    </row>
    <row r="100" spans="1:9" ht="15.75" customHeight="1">
      <c r="A100" s="11"/>
    </row>
    <row r="101" spans="1:9" ht="15.75" customHeight="1">
      <c r="A101" s="103" t="s">
        <v>9</v>
      </c>
      <c r="B101" s="103"/>
      <c r="C101" s="103"/>
      <c r="D101" s="103"/>
      <c r="E101" s="103"/>
      <c r="F101" s="103"/>
      <c r="G101" s="103"/>
      <c r="H101" s="103"/>
      <c r="I101" s="103"/>
    </row>
    <row r="102" spans="1:9" ht="15.75" customHeight="1">
      <c r="A102" s="4"/>
    </row>
    <row r="103" spans="1:9" ht="15.75">
      <c r="B103" s="55" t="s">
        <v>10</v>
      </c>
      <c r="C103" s="104" t="s">
        <v>132</v>
      </c>
      <c r="D103" s="104"/>
      <c r="E103" s="104"/>
      <c r="F103" s="60"/>
      <c r="I103" s="53"/>
    </row>
    <row r="104" spans="1:9" ht="15.75" customHeight="1">
      <c r="A104" s="54"/>
      <c r="C104" s="100" t="s">
        <v>11</v>
      </c>
      <c r="D104" s="100"/>
      <c r="E104" s="100"/>
      <c r="F104" s="26"/>
      <c r="I104" s="52" t="s">
        <v>12</v>
      </c>
    </row>
    <row r="105" spans="1:9" ht="15.75" customHeight="1">
      <c r="A105" s="27"/>
      <c r="C105" s="12"/>
      <c r="D105" s="12"/>
      <c r="G105" s="12"/>
      <c r="H105" s="12"/>
    </row>
    <row r="106" spans="1:9" ht="15.75" customHeight="1">
      <c r="B106" s="55" t="s">
        <v>13</v>
      </c>
      <c r="C106" s="105"/>
      <c r="D106" s="105"/>
      <c r="E106" s="105"/>
      <c r="F106" s="61"/>
      <c r="I106" s="53"/>
    </row>
    <row r="107" spans="1:9" ht="15.75" customHeight="1">
      <c r="A107" s="54"/>
      <c r="C107" s="94" t="s">
        <v>11</v>
      </c>
      <c r="D107" s="94"/>
      <c r="E107" s="94"/>
      <c r="F107" s="54"/>
      <c r="I107" s="52" t="s">
        <v>12</v>
      </c>
    </row>
    <row r="108" spans="1:9" ht="15.75">
      <c r="A108" s="4" t="s">
        <v>14</v>
      </c>
    </row>
    <row r="109" spans="1:9" ht="15.75" customHeight="1">
      <c r="A109" s="92" t="s">
        <v>15</v>
      </c>
      <c r="B109" s="92"/>
      <c r="C109" s="92"/>
      <c r="D109" s="92"/>
      <c r="E109" s="92"/>
      <c r="F109" s="92"/>
      <c r="G109" s="92"/>
      <c r="H109" s="92"/>
      <c r="I109" s="92"/>
    </row>
    <row r="110" spans="1:9" ht="45" customHeight="1">
      <c r="A110" s="93" t="s">
        <v>16</v>
      </c>
      <c r="B110" s="93"/>
      <c r="C110" s="93"/>
      <c r="D110" s="93"/>
      <c r="E110" s="93"/>
      <c r="F110" s="93"/>
      <c r="G110" s="93"/>
      <c r="H110" s="93"/>
      <c r="I110" s="93"/>
    </row>
    <row r="111" spans="1:9" ht="30" customHeight="1">
      <c r="A111" s="93" t="s">
        <v>17</v>
      </c>
      <c r="B111" s="93"/>
      <c r="C111" s="93"/>
      <c r="D111" s="93"/>
      <c r="E111" s="93"/>
      <c r="F111" s="93"/>
      <c r="G111" s="93"/>
      <c r="H111" s="93"/>
      <c r="I111" s="93"/>
    </row>
    <row r="112" spans="1:9" ht="30" customHeight="1">
      <c r="A112" s="93" t="s">
        <v>21</v>
      </c>
      <c r="B112" s="93"/>
      <c r="C112" s="93"/>
      <c r="D112" s="93"/>
      <c r="E112" s="93"/>
      <c r="F112" s="93"/>
      <c r="G112" s="93"/>
      <c r="H112" s="93"/>
      <c r="I112" s="93"/>
    </row>
    <row r="113" spans="1:9" ht="15" customHeight="1">
      <c r="A113" s="93" t="s">
        <v>20</v>
      </c>
      <c r="B113" s="93"/>
      <c r="C113" s="93"/>
      <c r="D113" s="93"/>
      <c r="E113" s="93"/>
      <c r="F113" s="93"/>
      <c r="G113" s="93"/>
      <c r="H113" s="93"/>
      <c r="I113" s="93"/>
    </row>
  </sheetData>
  <autoFilter ref="I12:I59"/>
  <mergeCells count="29">
    <mergeCell ref="R64:U64"/>
    <mergeCell ref="A82:I82"/>
    <mergeCell ref="A3:I3"/>
    <mergeCell ref="A4:I4"/>
    <mergeCell ref="A5:I5"/>
    <mergeCell ref="A8:I8"/>
    <mergeCell ref="A10:I10"/>
    <mergeCell ref="A14:I14"/>
    <mergeCell ref="A99:I99"/>
    <mergeCell ref="A15:I15"/>
    <mergeCell ref="A29:I29"/>
    <mergeCell ref="A46:I46"/>
    <mergeCell ref="A57:I57"/>
    <mergeCell ref="A93:I93"/>
    <mergeCell ref="B94:G94"/>
    <mergeCell ref="B95:G95"/>
    <mergeCell ref="A97:I97"/>
    <mergeCell ref="A98:I98"/>
    <mergeCell ref="A86:I86"/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83</v>
      </c>
      <c r="I1" s="28"/>
      <c r="J1" s="1"/>
      <c r="K1" s="1"/>
      <c r="L1" s="1"/>
      <c r="M1" s="1"/>
    </row>
    <row r="2" spans="1:13" ht="15.75">
      <c r="A2" s="30" t="s">
        <v>61</v>
      </c>
      <c r="J2" s="2"/>
      <c r="K2" s="2"/>
      <c r="L2" s="2"/>
      <c r="M2" s="2"/>
    </row>
    <row r="3" spans="1:13" ht="15.75" customHeight="1">
      <c r="A3" s="114" t="s">
        <v>148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212</v>
      </c>
      <c r="B4" s="115"/>
      <c r="C4" s="115"/>
      <c r="D4" s="115"/>
      <c r="E4" s="115"/>
      <c r="F4" s="115"/>
      <c r="G4" s="115"/>
      <c r="H4" s="115"/>
      <c r="I4" s="115"/>
    </row>
    <row r="5" spans="1:13" ht="15.75">
      <c r="A5" s="114" t="s">
        <v>185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>
      <c r="A6" s="2"/>
      <c r="B6" s="57"/>
      <c r="C6" s="57"/>
      <c r="D6" s="57"/>
      <c r="E6" s="57"/>
      <c r="F6" s="57"/>
      <c r="G6" s="57"/>
      <c r="H6" s="57"/>
      <c r="I6" s="32">
        <v>42947</v>
      </c>
      <c r="J6" s="2"/>
      <c r="K6" s="2"/>
      <c r="L6" s="2"/>
      <c r="M6" s="2"/>
    </row>
    <row r="7" spans="1:13" ht="15.75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7" t="s">
        <v>154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18" t="s">
        <v>155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3" t="s">
        <v>58</v>
      </c>
      <c r="B14" s="113"/>
      <c r="C14" s="113"/>
      <c r="D14" s="113"/>
      <c r="E14" s="113"/>
      <c r="F14" s="113"/>
      <c r="G14" s="113"/>
      <c r="H14" s="113"/>
      <c r="I14" s="113"/>
      <c r="J14" s="8"/>
      <c r="K14" s="8"/>
      <c r="L14" s="8"/>
      <c r="M14" s="8"/>
    </row>
    <row r="15" spans="1:13" ht="15.75" customHeight="1">
      <c r="A15" s="109" t="s">
        <v>4</v>
      </c>
      <c r="B15" s="109"/>
      <c r="C15" s="109"/>
      <c r="D15" s="109"/>
      <c r="E15" s="109"/>
      <c r="F15" s="109"/>
      <c r="G15" s="109"/>
      <c r="H15" s="109"/>
      <c r="I15" s="109"/>
      <c r="J15" s="8"/>
      <c r="K15" s="8"/>
      <c r="L15" s="8"/>
      <c r="M15" s="8"/>
    </row>
    <row r="16" spans="1:13" ht="15.75" customHeight="1">
      <c r="A16" s="31">
        <v>1</v>
      </c>
      <c r="B16" s="14" t="s">
        <v>84</v>
      </c>
      <c r="C16" s="16" t="s">
        <v>85</v>
      </c>
      <c r="D16" s="14" t="s">
        <v>157</v>
      </c>
      <c r="E16" s="19">
        <v>62.28</v>
      </c>
      <c r="F16" s="13">
        <f>SUM(E16*156/100)</f>
        <v>97.156800000000004</v>
      </c>
      <c r="G16" s="13">
        <v>175.38</v>
      </c>
      <c r="H16" s="13">
        <f t="shared" ref="H16:H25" si="0">SUM(F16*G16/1000)</f>
        <v>17.039359584000003</v>
      </c>
      <c r="I16" s="13">
        <f>F16/12*G16</f>
        <v>1419.9466320000001</v>
      </c>
      <c r="J16" s="23"/>
      <c r="K16" s="8"/>
      <c r="L16" s="8"/>
      <c r="M16" s="8"/>
    </row>
    <row r="17" spans="1:13" ht="15.75" customHeight="1">
      <c r="A17" s="31">
        <v>2</v>
      </c>
      <c r="B17" s="14" t="s">
        <v>115</v>
      </c>
      <c r="C17" s="16" t="s">
        <v>85</v>
      </c>
      <c r="D17" s="14" t="s">
        <v>158</v>
      </c>
      <c r="E17" s="19">
        <v>311.42</v>
      </c>
      <c r="F17" s="13">
        <f>SUM(E17*104/100)</f>
        <v>323.8768</v>
      </c>
      <c r="G17" s="13">
        <v>175.38</v>
      </c>
      <c r="H17" s="13">
        <f t="shared" si="0"/>
        <v>56.801513183999994</v>
      </c>
      <c r="I17" s="13">
        <f>F17/12*G17</f>
        <v>4733.4594319999997</v>
      </c>
      <c r="J17" s="24"/>
      <c r="K17" s="8"/>
      <c r="L17" s="8"/>
      <c r="M17" s="8"/>
    </row>
    <row r="18" spans="1:13" ht="15.75" customHeight="1">
      <c r="A18" s="31">
        <v>3</v>
      </c>
      <c r="B18" s="14" t="s">
        <v>116</v>
      </c>
      <c r="C18" s="16" t="s">
        <v>85</v>
      </c>
      <c r="D18" s="14" t="s">
        <v>159</v>
      </c>
      <c r="E18" s="19">
        <v>373.7</v>
      </c>
      <c r="F18" s="13">
        <f>SUM(E18*24/100)</f>
        <v>89.687999999999988</v>
      </c>
      <c r="G18" s="13">
        <v>504.5</v>
      </c>
      <c r="H18" s="13">
        <f t="shared" si="0"/>
        <v>45.247595999999987</v>
      </c>
      <c r="I18" s="13">
        <f>F18/12*G18</f>
        <v>3770.6329999999998</v>
      </c>
      <c r="J18" s="24"/>
      <c r="K18" s="8"/>
      <c r="L18" s="8"/>
      <c r="M18" s="8"/>
    </row>
    <row r="19" spans="1:13" ht="15.75" hidden="1" customHeight="1">
      <c r="A19" s="31"/>
      <c r="B19" s="14" t="s">
        <v>92</v>
      </c>
      <c r="C19" s="16" t="s">
        <v>93</v>
      </c>
      <c r="D19" s="14" t="s">
        <v>94</v>
      </c>
      <c r="E19" s="19">
        <v>38.4</v>
      </c>
      <c r="F19" s="13">
        <f>SUM(E19/10)</f>
        <v>3.84</v>
      </c>
      <c r="G19" s="13">
        <v>170.16</v>
      </c>
      <c r="H19" s="13">
        <f t="shared" si="0"/>
        <v>0.65341439999999995</v>
      </c>
      <c r="I19" s="13">
        <v>0</v>
      </c>
      <c r="J19" s="24"/>
      <c r="K19" s="8"/>
      <c r="L19" s="8"/>
      <c r="M19" s="8"/>
    </row>
    <row r="20" spans="1:13" ht="15.75" customHeight="1">
      <c r="A20" s="31">
        <v>4</v>
      </c>
      <c r="B20" s="14" t="s">
        <v>95</v>
      </c>
      <c r="C20" s="16" t="s">
        <v>85</v>
      </c>
      <c r="D20" s="14" t="s">
        <v>117</v>
      </c>
      <c r="E20" s="19">
        <v>35.04</v>
      </c>
      <c r="F20" s="13">
        <f>SUM(E20*12/100)</f>
        <v>4.2048000000000005</v>
      </c>
      <c r="G20" s="13">
        <v>217.88</v>
      </c>
      <c r="H20" s="13">
        <f t="shared" si="0"/>
        <v>0.91614182399999999</v>
      </c>
      <c r="I20" s="13">
        <f>F20/12*G20</f>
        <v>76.345152000000013</v>
      </c>
      <c r="J20" s="24"/>
      <c r="K20" s="8"/>
      <c r="L20" s="8"/>
      <c r="M20" s="8"/>
    </row>
    <row r="21" spans="1:13" ht="15.75" customHeight="1">
      <c r="A21" s="31">
        <v>5</v>
      </c>
      <c r="B21" s="14" t="s">
        <v>96</v>
      </c>
      <c r="C21" s="16" t="s">
        <v>85</v>
      </c>
      <c r="D21" s="14" t="s">
        <v>30</v>
      </c>
      <c r="E21" s="19">
        <v>9.08</v>
      </c>
      <c r="F21" s="13">
        <f>SUM(E21*12/100)</f>
        <v>1.0896000000000001</v>
      </c>
      <c r="G21" s="13">
        <v>216.12</v>
      </c>
      <c r="H21" s="13">
        <f t="shared" si="0"/>
        <v>0.23548435200000004</v>
      </c>
      <c r="I21" s="13">
        <f>F21/12*G21</f>
        <v>19.623696000000002</v>
      </c>
      <c r="J21" s="24"/>
      <c r="K21" s="8"/>
      <c r="L21" s="8"/>
      <c r="M21" s="8"/>
    </row>
    <row r="22" spans="1:13" ht="15.75" hidden="1" customHeight="1">
      <c r="A22" s="31"/>
      <c r="B22" s="14" t="s">
        <v>97</v>
      </c>
      <c r="C22" s="16" t="s">
        <v>52</v>
      </c>
      <c r="D22" s="14" t="s">
        <v>94</v>
      </c>
      <c r="E22" s="19">
        <v>629</v>
      </c>
      <c r="F22" s="13">
        <f>SUM(E22/100)</f>
        <v>6.29</v>
      </c>
      <c r="G22" s="13">
        <v>269.26</v>
      </c>
      <c r="H22" s="13">
        <f t="shared" si="0"/>
        <v>1.6936453999999999</v>
      </c>
      <c r="I22" s="13">
        <v>0</v>
      </c>
      <c r="J22" s="24"/>
      <c r="K22" s="8"/>
      <c r="L22" s="8"/>
      <c r="M22" s="8"/>
    </row>
    <row r="23" spans="1:13" ht="15.75" hidden="1" customHeight="1">
      <c r="A23" s="31"/>
      <c r="B23" s="14" t="s">
        <v>98</v>
      </c>
      <c r="C23" s="16" t="s">
        <v>52</v>
      </c>
      <c r="D23" s="14" t="s">
        <v>94</v>
      </c>
      <c r="E23" s="19">
        <v>58</v>
      </c>
      <c r="F23" s="13">
        <f>SUM(E23/100)</f>
        <v>0.57999999999999996</v>
      </c>
      <c r="G23" s="13">
        <v>44.29</v>
      </c>
      <c r="H23" s="13">
        <f t="shared" si="0"/>
        <v>2.5688199999999998E-2</v>
      </c>
      <c r="I23" s="13">
        <v>0</v>
      </c>
      <c r="J23" s="24"/>
      <c r="K23" s="8"/>
      <c r="L23" s="8"/>
      <c r="M23" s="8"/>
    </row>
    <row r="24" spans="1:13" ht="15.75" customHeight="1">
      <c r="A24" s="31">
        <v>6</v>
      </c>
      <c r="B24" s="14" t="s">
        <v>99</v>
      </c>
      <c r="C24" s="16" t="s">
        <v>52</v>
      </c>
      <c r="D24" s="14" t="s">
        <v>30</v>
      </c>
      <c r="E24" s="19">
        <v>24</v>
      </c>
      <c r="F24" s="13">
        <f>E24*12/100</f>
        <v>2.88</v>
      </c>
      <c r="G24" s="13">
        <v>389.72</v>
      </c>
      <c r="H24" s="13">
        <f t="shared" si="0"/>
        <v>1.1223936000000001</v>
      </c>
      <c r="I24" s="13">
        <f>F24/12*G24</f>
        <v>93.532800000000009</v>
      </c>
      <c r="J24" s="24"/>
      <c r="K24" s="8"/>
      <c r="L24" s="8"/>
      <c r="M24" s="8"/>
    </row>
    <row r="25" spans="1:13" ht="15.75" hidden="1" customHeight="1">
      <c r="A25" s="31"/>
      <c r="B25" s="14" t="s">
        <v>100</v>
      </c>
      <c r="C25" s="16" t="s">
        <v>52</v>
      </c>
      <c r="D25" s="14" t="s">
        <v>53</v>
      </c>
      <c r="E25" s="19">
        <v>17</v>
      </c>
      <c r="F25" s="13">
        <f>SUM(E25/100)</f>
        <v>0.17</v>
      </c>
      <c r="G25" s="13">
        <v>520.79999999999995</v>
      </c>
      <c r="H25" s="13">
        <f t="shared" si="0"/>
        <v>8.8536000000000004E-2</v>
      </c>
      <c r="I25" s="13">
        <v>0</v>
      </c>
      <c r="J25" s="24"/>
      <c r="K25" s="8"/>
      <c r="L25" s="8"/>
      <c r="M25" s="8"/>
    </row>
    <row r="26" spans="1:13" ht="15.75" hidden="1" customHeight="1">
      <c r="A26" s="31"/>
      <c r="B26" s="14" t="s">
        <v>123</v>
      </c>
      <c r="C26" s="16" t="s">
        <v>52</v>
      </c>
      <c r="D26" s="14" t="s">
        <v>53</v>
      </c>
      <c r="E26" s="19">
        <v>24</v>
      </c>
      <c r="F26" s="13">
        <v>0.24</v>
      </c>
      <c r="G26" s="13">
        <v>216.12</v>
      </c>
      <c r="H26" s="13">
        <f>G26*F26/1000</f>
        <v>5.18688E-2</v>
      </c>
      <c r="I26" s="13">
        <v>0</v>
      </c>
      <c r="J26" s="24"/>
      <c r="K26" s="8"/>
      <c r="L26" s="8"/>
      <c r="M26" s="8"/>
    </row>
    <row r="27" spans="1:13" ht="15.75" customHeight="1">
      <c r="A27" s="31">
        <v>7</v>
      </c>
      <c r="B27" s="14" t="s">
        <v>63</v>
      </c>
      <c r="C27" s="16" t="s">
        <v>33</v>
      </c>
      <c r="D27" s="14" t="s">
        <v>160</v>
      </c>
      <c r="E27" s="19">
        <v>0.1</v>
      </c>
      <c r="F27" s="13">
        <f>SUM(E27*365)</f>
        <v>36.5</v>
      </c>
      <c r="G27" s="13">
        <v>147.03</v>
      </c>
      <c r="H27" s="13">
        <f>SUM(F27*G27/1000)</f>
        <v>5.3665950000000002</v>
      </c>
      <c r="I27" s="13">
        <f>F27/12*G27</f>
        <v>447.21625</v>
      </c>
      <c r="J27" s="25"/>
    </row>
    <row r="28" spans="1:13" ht="15.75" customHeight="1">
      <c r="A28" s="31">
        <v>8</v>
      </c>
      <c r="B28" s="44" t="s">
        <v>23</v>
      </c>
      <c r="C28" s="16" t="s">
        <v>24</v>
      </c>
      <c r="D28" s="14" t="s">
        <v>160</v>
      </c>
      <c r="E28" s="19">
        <v>5367.6</v>
      </c>
      <c r="F28" s="13">
        <f>SUM(E28*12)</f>
        <v>64411.200000000004</v>
      </c>
      <c r="G28" s="13">
        <v>3.18</v>
      </c>
      <c r="H28" s="13">
        <f>SUM(F28*G28/1000)</f>
        <v>204.82761600000003</v>
      </c>
      <c r="I28" s="13">
        <f>F28/12*G28</f>
        <v>17068.968000000001</v>
      </c>
      <c r="J28" s="25"/>
    </row>
    <row r="29" spans="1:13" ht="15.75" customHeight="1">
      <c r="A29" s="109" t="s">
        <v>82</v>
      </c>
      <c r="B29" s="109"/>
      <c r="C29" s="109"/>
      <c r="D29" s="109"/>
      <c r="E29" s="109"/>
      <c r="F29" s="109"/>
      <c r="G29" s="109"/>
      <c r="H29" s="109"/>
      <c r="I29" s="109"/>
      <c r="J29" s="24"/>
      <c r="K29" s="8"/>
      <c r="L29" s="8"/>
      <c r="M29" s="8"/>
    </row>
    <row r="30" spans="1:13" ht="15.75" customHeight="1">
      <c r="A30" s="31"/>
      <c r="B30" s="56" t="s">
        <v>28</v>
      </c>
      <c r="C30" s="16"/>
      <c r="D30" s="14"/>
      <c r="E30" s="19"/>
      <c r="F30" s="13"/>
      <c r="G30" s="13"/>
      <c r="H30" s="13"/>
      <c r="I30" s="13"/>
      <c r="J30" s="24"/>
      <c r="K30" s="8"/>
      <c r="L30" s="8"/>
      <c r="M30" s="8"/>
    </row>
    <row r="31" spans="1:13" ht="15.75" customHeight="1">
      <c r="A31" s="31">
        <v>9</v>
      </c>
      <c r="B31" s="14" t="s">
        <v>104</v>
      </c>
      <c r="C31" s="16" t="s">
        <v>87</v>
      </c>
      <c r="D31" s="14" t="s">
        <v>179</v>
      </c>
      <c r="E31" s="13">
        <v>748</v>
      </c>
      <c r="F31" s="13">
        <f>SUM(E31*52/1000)</f>
        <v>38.896000000000001</v>
      </c>
      <c r="G31" s="13">
        <v>155.88999999999999</v>
      </c>
      <c r="H31" s="13">
        <f t="shared" ref="H31:H38" si="1">SUM(F31*G31/1000)</f>
        <v>6.063497439999999</v>
      </c>
      <c r="I31" s="13">
        <f t="shared" ref="I31:I35" si="2">F31/6*G31</f>
        <v>1010.5829066666666</v>
      </c>
      <c r="J31" s="24"/>
      <c r="K31" s="8"/>
      <c r="L31" s="8"/>
      <c r="M31" s="8"/>
    </row>
    <row r="32" spans="1:13" ht="31.5" customHeight="1">
      <c r="A32" s="31">
        <v>10</v>
      </c>
      <c r="B32" s="14" t="s">
        <v>119</v>
      </c>
      <c r="C32" s="16" t="s">
        <v>87</v>
      </c>
      <c r="D32" s="14" t="s">
        <v>180</v>
      </c>
      <c r="E32" s="13">
        <v>374</v>
      </c>
      <c r="F32" s="13">
        <f>SUM(E32*78/1000)</f>
        <v>29.172000000000001</v>
      </c>
      <c r="G32" s="13">
        <v>258.63</v>
      </c>
      <c r="H32" s="13">
        <f t="shared" si="1"/>
        <v>7.5447543599999998</v>
      </c>
      <c r="I32" s="13">
        <f t="shared" si="2"/>
        <v>1257.4590599999999</v>
      </c>
      <c r="J32" s="24"/>
      <c r="K32" s="8"/>
      <c r="L32" s="8"/>
      <c r="M32" s="8"/>
    </row>
    <row r="33" spans="1:14" ht="15.75" hidden="1" customHeight="1">
      <c r="A33" s="31"/>
      <c r="B33" s="14" t="s">
        <v>27</v>
      </c>
      <c r="C33" s="16" t="s">
        <v>87</v>
      </c>
      <c r="D33" s="14" t="s">
        <v>53</v>
      </c>
      <c r="E33" s="13">
        <v>748</v>
      </c>
      <c r="F33" s="13">
        <f>SUM(E33/1000)</f>
        <v>0.748</v>
      </c>
      <c r="G33" s="13">
        <v>3020.33</v>
      </c>
      <c r="H33" s="13">
        <f t="shared" si="1"/>
        <v>2.25920684</v>
      </c>
      <c r="I33" s="13">
        <f>F33*G33</f>
        <v>2259.2068399999998</v>
      </c>
      <c r="J33" s="24"/>
      <c r="K33" s="8"/>
      <c r="L33" s="8"/>
      <c r="M33" s="8"/>
    </row>
    <row r="34" spans="1:14" ht="15.75" customHeight="1">
      <c r="A34" s="31">
        <v>11</v>
      </c>
      <c r="B34" s="14" t="s">
        <v>118</v>
      </c>
      <c r="C34" s="16" t="s">
        <v>40</v>
      </c>
      <c r="D34" s="14" t="s">
        <v>62</v>
      </c>
      <c r="E34" s="13">
        <v>1</v>
      </c>
      <c r="F34" s="13">
        <f>E34*155/100</f>
        <v>1.55</v>
      </c>
      <c r="G34" s="13">
        <v>1302.02</v>
      </c>
      <c r="H34" s="13">
        <f>G34*F34/1000</f>
        <v>2.0181309999999999</v>
      </c>
      <c r="I34" s="13">
        <f t="shared" si="2"/>
        <v>336.35516666666672</v>
      </c>
      <c r="J34" s="24"/>
      <c r="K34" s="8"/>
    </row>
    <row r="35" spans="1:14" ht="15.75" customHeight="1">
      <c r="A35" s="31">
        <v>12</v>
      </c>
      <c r="B35" s="14" t="s">
        <v>103</v>
      </c>
      <c r="C35" s="16" t="s">
        <v>31</v>
      </c>
      <c r="D35" s="14" t="s">
        <v>62</v>
      </c>
      <c r="E35" s="66">
        <v>0.33333333333333331</v>
      </c>
      <c r="F35" s="13">
        <f>155/3</f>
        <v>51.666666666666664</v>
      </c>
      <c r="G35" s="13">
        <v>56.69</v>
      </c>
      <c r="H35" s="13">
        <f>SUM(G35*155/3/1000)</f>
        <v>2.9289833333333331</v>
      </c>
      <c r="I35" s="13">
        <f t="shared" si="2"/>
        <v>488.16388888888883</v>
      </c>
      <c r="J35" s="25"/>
    </row>
    <row r="36" spans="1:14" ht="15.75" hidden="1" customHeight="1">
      <c r="A36" s="31"/>
      <c r="B36" s="14" t="s">
        <v>64</v>
      </c>
      <c r="C36" s="16" t="s">
        <v>33</v>
      </c>
      <c r="D36" s="14" t="s">
        <v>66</v>
      </c>
      <c r="E36" s="19"/>
      <c r="F36" s="13">
        <v>2</v>
      </c>
      <c r="G36" s="13">
        <v>191.32</v>
      </c>
      <c r="H36" s="13">
        <f t="shared" si="1"/>
        <v>0.38263999999999998</v>
      </c>
      <c r="I36" s="13">
        <v>0</v>
      </c>
      <c r="J36" s="25"/>
    </row>
    <row r="37" spans="1:14" ht="15.75" hidden="1" customHeight="1">
      <c r="A37" s="31"/>
      <c r="B37" s="14" t="s">
        <v>65</v>
      </c>
      <c r="C37" s="16" t="s">
        <v>32</v>
      </c>
      <c r="D37" s="14" t="s">
        <v>66</v>
      </c>
      <c r="E37" s="19"/>
      <c r="F37" s="13">
        <v>1</v>
      </c>
      <c r="G37" s="13">
        <v>1136.33</v>
      </c>
      <c r="H37" s="13">
        <f t="shared" si="1"/>
        <v>1.1363299999999998</v>
      </c>
      <c r="I37" s="13">
        <v>0</v>
      </c>
      <c r="J37" s="25"/>
    </row>
    <row r="38" spans="1:14" ht="15.75" hidden="1" customHeight="1">
      <c r="A38" s="31"/>
      <c r="B38" s="14" t="s">
        <v>125</v>
      </c>
      <c r="C38" s="16" t="s">
        <v>29</v>
      </c>
      <c r="D38" s="14"/>
      <c r="E38" s="19">
        <v>932.2</v>
      </c>
      <c r="F38" s="13">
        <v>0.93220000000000003</v>
      </c>
      <c r="G38" s="13">
        <v>1305.02</v>
      </c>
      <c r="H38" s="13">
        <f t="shared" si="1"/>
        <v>1.216539644</v>
      </c>
      <c r="I38" s="13">
        <v>0</v>
      </c>
      <c r="J38" s="25"/>
    </row>
    <row r="39" spans="1:14" ht="15.75" hidden="1" customHeight="1">
      <c r="A39" s="31"/>
      <c r="B39" s="56" t="s">
        <v>5</v>
      </c>
      <c r="C39" s="16"/>
      <c r="D39" s="14"/>
      <c r="E39" s="19"/>
      <c r="F39" s="13"/>
      <c r="G39" s="13"/>
      <c r="H39" s="13" t="s">
        <v>139</v>
      </c>
      <c r="I39" s="13"/>
      <c r="J39" s="25"/>
      <c r="L39" s="20"/>
      <c r="M39" s="21"/>
      <c r="N39" s="22"/>
    </row>
    <row r="40" spans="1:14" ht="15.75" hidden="1" customHeight="1">
      <c r="A40" s="31">
        <v>9</v>
      </c>
      <c r="B40" s="14" t="s">
        <v>26</v>
      </c>
      <c r="C40" s="16" t="s">
        <v>32</v>
      </c>
      <c r="D40" s="14"/>
      <c r="E40" s="19"/>
      <c r="F40" s="13">
        <v>6</v>
      </c>
      <c r="G40" s="13">
        <v>1527.22</v>
      </c>
      <c r="H40" s="13">
        <f t="shared" ref="H40:H45" si="3">SUM(F40*G40/1000)</f>
        <v>9.1633200000000006</v>
      </c>
      <c r="I40" s="13">
        <f t="shared" ref="I40:I45" si="4">F40/6*G40</f>
        <v>1527.22</v>
      </c>
      <c r="J40" s="25"/>
      <c r="L40" s="20"/>
      <c r="M40" s="21"/>
      <c r="N40" s="22"/>
    </row>
    <row r="41" spans="1:14" ht="15.75" hidden="1" customHeight="1">
      <c r="A41" s="31">
        <v>10</v>
      </c>
      <c r="B41" s="14" t="s">
        <v>105</v>
      </c>
      <c r="C41" s="16" t="s">
        <v>29</v>
      </c>
      <c r="D41" s="14" t="s">
        <v>126</v>
      </c>
      <c r="E41" s="19">
        <v>374</v>
      </c>
      <c r="F41" s="13">
        <f>E41*26/1000</f>
        <v>9.7240000000000002</v>
      </c>
      <c r="G41" s="13">
        <v>2102.71</v>
      </c>
      <c r="H41" s="13">
        <f>G41*F41/1000</f>
        <v>20.44675204</v>
      </c>
      <c r="I41" s="13">
        <f t="shared" si="4"/>
        <v>3407.792006666667</v>
      </c>
      <c r="J41" s="25"/>
      <c r="L41" s="20"/>
      <c r="M41" s="21"/>
      <c r="N41" s="22"/>
    </row>
    <row r="42" spans="1:14" ht="15.75" hidden="1" customHeight="1">
      <c r="A42" s="31">
        <v>11</v>
      </c>
      <c r="B42" s="14" t="s">
        <v>67</v>
      </c>
      <c r="C42" s="16" t="s">
        <v>29</v>
      </c>
      <c r="D42" s="14" t="s">
        <v>86</v>
      </c>
      <c r="E42" s="13">
        <v>160</v>
      </c>
      <c r="F42" s="13">
        <f>SUM(E42*155/1000)</f>
        <v>24.8</v>
      </c>
      <c r="G42" s="13">
        <v>350.75</v>
      </c>
      <c r="H42" s="13">
        <f t="shared" si="3"/>
        <v>8.6986000000000008</v>
      </c>
      <c r="I42" s="13">
        <f t="shared" si="4"/>
        <v>1449.7666666666669</v>
      </c>
      <c r="J42" s="25"/>
      <c r="L42" s="20"/>
      <c r="M42" s="21"/>
      <c r="N42" s="22"/>
    </row>
    <row r="43" spans="1:14" ht="47.25" hidden="1" customHeight="1">
      <c r="A43" s="31">
        <v>12</v>
      </c>
      <c r="B43" s="14" t="s">
        <v>81</v>
      </c>
      <c r="C43" s="16" t="s">
        <v>87</v>
      </c>
      <c r="D43" s="14" t="s">
        <v>127</v>
      </c>
      <c r="E43" s="13">
        <v>76</v>
      </c>
      <c r="F43" s="13">
        <f>SUM(E43*50/1000)</f>
        <v>3.8</v>
      </c>
      <c r="G43" s="13">
        <v>5803.28</v>
      </c>
      <c r="H43" s="13">
        <f t="shared" si="3"/>
        <v>22.052463999999997</v>
      </c>
      <c r="I43" s="13">
        <f t="shared" si="4"/>
        <v>3675.4106666666662</v>
      </c>
      <c r="J43" s="25"/>
      <c r="L43" s="20"/>
      <c r="M43" s="21"/>
      <c r="N43" s="22"/>
    </row>
    <row r="44" spans="1:14" ht="15.75" hidden="1" customHeight="1">
      <c r="A44" s="31">
        <v>13</v>
      </c>
      <c r="B44" s="14" t="s">
        <v>88</v>
      </c>
      <c r="C44" s="16" t="s">
        <v>87</v>
      </c>
      <c r="D44" s="14" t="s">
        <v>68</v>
      </c>
      <c r="E44" s="13">
        <v>76</v>
      </c>
      <c r="F44" s="13">
        <f>SUM(E44*45/1000)</f>
        <v>3.42</v>
      </c>
      <c r="G44" s="13">
        <v>428.7</v>
      </c>
      <c r="H44" s="13">
        <f t="shared" si="3"/>
        <v>1.466154</v>
      </c>
      <c r="I44" s="13">
        <f t="shared" si="4"/>
        <v>244.35899999999998</v>
      </c>
      <c r="J44" s="25"/>
      <c r="L44" s="20"/>
      <c r="M44" s="21"/>
      <c r="N44" s="22"/>
    </row>
    <row r="45" spans="1:14" ht="15.75" hidden="1" customHeight="1">
      <c r="A45" s="31">
        <v>14</v>
      </c>
      <c r="B45" s="14" t="s">
        <v>69</v>
      </c>
      <c r="C45" s="16" t="s">
        <v>33</v>
      </c>
      <c r="D45" s="14"/>
      <c r="E45" s="19"/>
      <c r="F45" s="13">
        <v>0.9</v>
      </c>
      <c r="G45" s="13">
        <v>798</v>
      </c>
      <c r="H45" s="13">
        <f t="shared" si="3"/>
        <v>0.71820000000000006</v>
      </c>
      <c r="I45" s="13">
        <f t="shared" si="4"/>
        <v>119.69999999999999</v>
      </c>
      <c r="J45" s="25"/>
      <c r="L45" s="20"/>
      <c r="M45" s="21"/>
      <c r="N45" s="22"/>
    </row>
    <row r="46" spans="1:14" ht="15" customHeight="1">
      <c r="A46" s="110" t="s">
        <v>135</v>
      </c>
      <c r="B46" s="111"/>
      <c r="C46" s="111"/>
      <c r="D46" s="111"/>
      <c r="E46" s="111"/>
      <c r="F46" s="111"/>
      <c r="G46" s="111"/>
      <c r="H46" s="111"/>
      <c r="I46" s="112"/>
      <c r="J46" s="25"/>
      <c r="L46" s="20"/>
      <c r="M46" s="21"/>
      <c r="N46" s="22"/>
    </row>
    <row r="47" spans="1:14" ht="15.75" hidden="1" customHeight="1">
      <c r="A47" s="31"/>
      <c r="B47" s="14" t="s">
        <v>140</v>
      </c>
      <c r="C47" s="16" t="s">
        <v>87</v>
      </c>
      <c r="D47" s="14" t="s">
        <v>42</v>
      </c>
      <c r="E47" s="19">
        <v>1099.7</v>
      </c>
      <c r="F47" s="13">
        <f>SUM(E47*2/1000)</f>
        <v>2.1994000000000002</v>
      </c>
      <c r="G47" s="13">
        <v>809.74</v>
      </c>
      <c r="H47" s="13">
        <f t="shared" ref="H47:H56" si="5">SUM(F47*G47/1000)</f>
        <v>1.7809421560000003</v>
      </c>
      <c r="I47" s="13">
        <v>0</v>
      </c>
      <c r="J47" s="25"/>
      <c r="L47" s="20"/>
      <c r="M47" s="21"/>
      <c r="N47" s="22"/>
    </row>
    <row r="48" spans="1:14" ht="15.75" hidden="1" customHeight="1">
      <c r="A48" s="31"/>
      <c r="B48" s="14" t="s">
        <v>35</v>
      </c>
      <c r="C48" s="16" t="s">
        <v>87</v>
      </c>
      <c r="D48" s="14" t="s">
        <v>42</v>
      </c>
      <c r="E48" s="19">
        <v>52</v>
      </c>
      <c r="F48" s="13">
        <f>E48*2/1000</f>
        <v>0.104</v>
      </c>
      <c r="G48" s="13">
        <v>579.48</v>
      </c>
      <c r="H48" s="13">
        <f t="shared" si="5"/>
        <v>6.0265920000000001E-2</v>
      </c>
      <c r="I48" s="13">
        <v>0</v>
      </c>
      <c r="J48" s="25"/>
      <c r="L48" s="20"/>
      <c r="M48" s="21"/>
      <c r="N48" s="22"/>
    </row>
    <row r="49" spans="1:22" ht="15.75" hidden="1" customHeight="1">
      <c r="A49" s="31"/>
      <c r="B49" s="14" t="s">
        <v>36</v>
      </c>
      <c r="C49" s="16" t="s">
        <v>87</v>
      </c>
      <c r="D49" s="14" t="s">
        <v>42</v>
      </c>
      <c r="E49" s="19">
        <v>917.78</v>
      </c>
      <c r="F49" s="13">
        <f>SUM(E49*2/1000)</f>
        <v>1.8355599999999999</v>
      </c>
      <c r="G49" s="13">
        <v>579.48</v>
      </c>
      <c r="H49" s="13">
        <f t="shared" si="5"/>
        <v>1.0636703087999999</v>
      </c>
      <c r="I49" s="13">
        <v>0</v>
      </c>
      <c r="J49" s="25"/>
      <c r="L49" s="20"/>
      <c r="M49" s="21"/>
      <c r="N49" s="22"/>
    </row>
    <row r="50" spans="1:22" ht="15.75" hidden="1" customHeight="1">
      <c r="A50" s="31"/>
      <c r="B50" s="14" t="s">
        <v>37</v>
      </c>
      <c r="C50" s="16" t="s">
        <v>87</v>
      </c>
      <c r="D50" s="14" t="s">
        <v>42</v>
      </c>
      <c r="E50" s="19">
        <v>3930</v>
      </c>
      <c r="F50" s="13">
        <f>SUM(E50*2/1000)</f>
        <v>7.86</v>
      </c>
      <c r="G50" s="13">
        <v>606.77</v>
      </c>
      <c r="H50" s="13">
        <f t="shared" si="5"/>
        <v>4.7692122000000001</v>
      </c>
      <c r="I50" s="13">
        <v>0</v>
      </c>
      <c r="J50" s="25"/>
      <c r="L50" s="20"/>
      <c r="M50" s="21"/>
      <c r="N50" s="22"/>
    </row>
    <row r="51" spans="1:22" ht="15.75" hidden="1" customHeight="1">
      <c r="A51" s="31"/>
      <c r="B51" s="14" t="s">
        <v>34</v>
      </c>
      <c r="C51" s="16" t="s">
        <v>52</v>
      </c>
      <c r="D51" s="14" t="s">
        <v>42</v>
      </c>
      <c r="E51" s="19">
        <v>142.38999999999999</v>
      </c>
      <c r="F51" s="13">
        <f>E51*2/100</f>
        <v>2.8477999999999999</v>
      </c>
      <c r="G51" s="13">
        <v>72.81</v>
      </c>
      <c r="H51" s="13">
        <f>F51*G51/1000</f>
        <v>0.207348318</v>
      </c>
      <c r="I51" s="13">
        <v>0</v>
      </c>
      <c r="J51" s="25"/>
      <c r="L51" s="20"/>
      <c r="M51" s="21"/>
      <c r="N51" s="22"/>
    </row>
    <row r="52" spans="1:22" ht="15.75" hidden="1" customHeight="1">
      <c r="A52" s="31">
        <v>15</v>
      </c>
      <c r="B52" s="14" t="s">
        <v>55</v>
      </c>
      <c r="C52" s="16" t="s">
        <v>87</v>
      </c>
      <c r="D52" s="14" t="s">
        <v>142</v>
      </c>
      <c r="E52" s="19">
        <v>1914</v>
      </c>
      <c r="F52" s="13">
        <f>SUM(E52*5/1000)</f>
        <v>9.57</v>
      </c>
      <c r="G52" s="13">
        <v>1213.55</v>
      </c>
      <c r="H52" s="13">
        <f t="shared" si="5"/>
        <v>11.613673500000001</v>
      </c>
      <c r="I52" s="13">
        <f>F52/5*G52</f>
        <v>2322.7347</v>
      </c>
      <c r="J52" s="25"/>
      <c r="L52" s="20"/>
      <c r="M52" s="21"/>
      <c r="N52" s="22"/>
    </row>
    <row r="53" spans="1:22" ht="31.5" customHeight="1">
      <c r="A53" s="31">
        <v>13</v>
      </c>
      <c r="B53" s="14" t="s">
        <v>89</v>
      </c>
      <c r="C53" s="16" t="s">
        <v>87</v>
      </c>
      <c r="D53" s="14" t="s">
        <v>42</v>
      </c>
      <c r="E53" s="19">
        <v>1914</v>
      </c>
      <c r="F53" s="13">
        <f>SUM(E53*2/1000)</f>
        <v>3.8279999999999998</v>
      </c>
      <c r="G53" s="13">
        <v>1213.55</v>
      </c>
      <c r="H53" s="13">
        <f t="shared" si="5"/>
        <v>4.6454693999999996</v>
      </c>
      <c r="I53" s="13">
        <f>F53/2*G53</f>
        <v>2322.7347</v>
      </c>
      <c r="J53" s="25"/>
      <c r="L53" s="20"/>
      <c r="M53" s="21"/>
      <c r="N53" s="22"/>
    </row>
    <row r="54" spans="1:22" ht="31.5" customHeight="1">
      <c r="A54" s="31">
        <v>14</v>
      </c>
      <c r="B54" s="14" t="s">
        <v>90</v>
      </c>
      <c r="C54" s="16" t="s">
        <v>38</v>
      </c>
      <c r="D54" s="14" t="s">
        <v>42</v>
      </c>
      <c r="E54" s="19">
        <v>20</v>
      </c>
      <c r="F54" s="13">
        <f>SUM(E54*2/100)</f>
        <v>0.4</v>
      </c>
      <c r="G54" s="13">
        <v>2730.49</v>
      </c>
      <c r="H54" s="13">
        <f>SUM(F54*G54/1000)</f>
        <v>1.0921959999999999</v>
      </c>
      <c r="I54" s="13">
        <f>F54/2*G54</f>
        <v>546.09799999999996</v>
      </c>
      <c r="J54" s="25"/>
      <c r="L54" s="20"/>
      <c r="M54" s="21"/>
      <c r="N54" s="22"/>
    </row>
    <row r="55" spans="1:22" ht="15.75" hidden="1" customHeight="1">
      <c r="A55" s="31">
        <v>15</v>
      </c>
      <c r="B55" s="14" t="s">
        <v>39</v>
      </c>
      <c r="C55" s="16" t="s">
        <v>40</v>
      </c>
      <c r="D55" s="14" t="s">
        <v>42</v>
      </c>
      <c r="E55" s="19">
        <v>1</v>
      </c>
      <c r="F55" s="13">
        <v>0.02</v>
      </c>
      <c r="G55" s="13">
        <v>5652.13</v>
      </c>
      <c r="H55" s="13">
        <f t="shared" si="5"/>
        <v>0.11304260000000001</v>
      </c>
      <c r="I55" s="13">
        <f>F55/2*G55</f>
        <v>56.521300000000004</v>
      </c>
      <c r="J55" s="25"/>
      <c r="L55" s="20"/>
      <c r="M55" s="21"/>
      <c r="N55" s="22"/>
    </row>
    <row r="56" spans="1:22" ht="15.75" hidden="1" customHeight="1">
      <c r="A56" s="31">
        <v>19</v>
      </c>
      <c r="B56" s="14" t="s">
        <v>41</v>
      </c>
      <c r="C56" s="16" t="s">
        <v>106</v>
      </c>
      <c r="D56" s="14" t="s">
        <v>70</v>
      </c>
      <c r="E56" s="19">
        <v>120</v>
      </c>
      <c r="F56" s="13">
        <f>SUM(E56)*3</f>
        <v>360</v>
      </c>
      <c r="G56" s="13">
        <v>65.67</v>
      </c>
      <c r="H56" s="13">
        <f t="shared" si="5"/>
        <v>23.641200000000001</v>
      </c>
      <c r="I56" s="13">
        <f>E56*G56</f>
        <v>7880.4000000000005</v>
      </c>
      <c r="J56" s="25"/>
      <c r="L56" s="20"/>
      <c r="M56" s="21"/>
      <c r="N56" s="22"/>
    </row>
    <row r="57" spans="1:22" ht="15.75" customHeight="1">
      <c r="A57" s="110" t="s">
        <v>136</v>
      </c>
      <c r="B57" s="111"/>
      <c r="C57" s="111"/>
      <c r="D57" s="111"/>
      <c r="E57" s="111"/>
      <c r="F57" s="111"/>
      <c r="G57" s="111"/>
      <c r="H57" s="111"/>
      <c r="I57" s="112"/>
      <c r="J57" s="25"/>
      <c r="L57" s="20"/>
      <c r="M57" s="21"/>
      <c r="N57" s="22"/>
    </row>
    <row r="58" spans="1:22" ht="15.75" hidden="1" customHeight="1">
      <c r="A58" s="31"/>
      <c r="B58" s="56" t="s">
        <v>43</v>
      </c>
      <c r="C58" s="16"/>
      <c r="D58" s="14"/>
      <c r="E58" s="19"/>
      <c r="F58" s="13"/>
      <c r="G58" s="13"/>
      <c r="H58" s="13"/>
      <c r="I58" s="13"/>
      <c r="J58" s="25"/>
      <c r="L58" s="20"/>
    </row>
    <row r="59" spans="1:22" ht="31.5" hidden="1" customHeight="1">
      <c r="A59" s="31">
        <v>20</v>
      </c>
      <c r="B59" s="14" t="s">
        <v>141</v>
      </c>
      <c r="C59" s="16" t="s">
        <v>85</v>
      </c>
      <c r="D59" s="14" t="s">
        <v>107</v>
      </c>
      <c r="E59" s="19">
        <v>66</v>
      </c>
      <c r="F59" s="13">
        <f>SUM(E59*6/100)</f>
        <v>3.96</v>
      </c>
      <c r="G59" s="13">
        <v>1547.28</v>
      </c>
      <c r="H59" s="13">
        <f>SUM(F59*G59/1000)</f>
        <v>6.1272288000000001</v>
      </c>
      <c r="I59" s="13">
        <f>F59/6*G59</f>
        <v>1021.2048</v>
      </c>
    </row>
    <row r="60" spans="1:22" ht="15.75" customHeight="1">
      <c r="A60" s="31"/>
      <c r="B60" s="56" t="s">
        <v>44</v>
      </c>
      <c r="C60" s="16"/>
      <c r="D60" s="14"/>
      <c r="E60" s="19"/>
      <c r="F60" s="13"/>
      <c r="G60" s="13"/>
      <c r="H60" s="13"/>
      <c r="I60" s="13"/>
    </row>
    <row r="61" spans="1:22" ht="15.75" hidden="1" customHeight="1">
      <c r="A61" s="31"/>
      <c r="B61" s="14" t="s">
        <v>120</v>
      </c>
      <c r="C61" s="16" t="s">
        <v>52</v>
      </c>
      <c r="D61" s="14" t="s">
        <v>53</v>
      </c>
      <c r="E61" s="19">
        <v>1387</v>
      </c>
      <c r="F61" s="13">
        <f>E61/100</f>
        <v>13.87</v>
      </c>
      <c r="G61" s="13">
        <v>793.61</v>
      </c>
      <c r="H61" s="13">
        <f>F61*G61/1000</f>
        <v>11.007370699999999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31">
        <v>15</v>
      </c>
      <c r="B62" s="14" t="s">
        <v>121</v>
      </c>
      <c r="C62" s="16" t="s">
        <v>25</v>
      </c>
      <c r="D62" s="14" t="s">
        <v>30</v>
      </c>
      <c r="E62" s="19">
        <v>286.8</v>
      </c>
      <c r="F62" s="13">
        <f>E62*12</f>
        <v>3441.6000000000004</v>
      </c>
      <c r="G62" s="13">
        <v>2.6</v>
      </c>
      <c r="H62" s="13">
        <f>F62*G62/1000</f>
        <v>8.9481600000000014</v>
      </c>
      <c r="I62" s="13">
        <f>F62/12*G62</f>
        <v>745.68000000000006</v>
      </c>
      <c r="J62" s="27"/>
      <c r="K62" s="27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31"/>
      <c r="B63" s="56" t="s">
        <v>128</v>
      </c>
      <c r="C63" s="16"/>
      <c r="D63" s="14"/>
      <c r="E63" s="19"/>
      <c r="F63" s="13"/>
      <c r="G63" s="13"/>
      <c r="H63" s="13"/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31"/>
      <c r="B64" s="14" t="s">
        <v>129</v>
      </c>
      <c r="C64" s="16" t="s">
        <v>106</v>
      </c>
      <c r="D64" s="14" t="s">
        <v>53</v>
      </c>
      <c r="E64" s="19">
        <v>4</v>
      </c>
      <c r="F64" s="13">
        <v>4</v>
      </c>
      <c r="G64" s="13">
        <v>237.75</v>
      </c>
      <c r="H64" s="13">
        <f t="shared" ref="H64" si="6">F64*G64/1000</f>
        <v>0.95099999999999996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94"/>
      <c r="S64" s="94"/>
      <c r="T64" s="94"/>
      <c r="U64" s="94"/>
    </row>
    <row r="65" spans="1:21" ht="15.75" customHeight="1">
      <c r="A65" s="31"/>
      <c r="B65" s="56" t="s">
        <v>45</v>
      </c>
      <c r="C65" s="16"/>
      <c r="D65" s="14"/>
      <c r="E65" s="19"/>
      <c r="F65" s="13"/>
      <c r="G65" s="13"/>
      <c r="H65" s="13" t="s">
        <v>139</v>
      </c>
      <c r="I65" s="1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customHeight="1">
      <c r="A66" s="31">
        <v>16</v>
      </c>
      <c r="B66" s="14" t="s">
        <v>46</v>
      </c>
      <c r="C66" s="16" t="s">
        <v>106</v>
      </c>
      <c r="D66" s="14" t="s">
        <v>66</v>
      </c>
      <c r="E66" s="19">
        <v>10</v>
      </c>
      <c r="F66" s="13">
        <v>10</v>
      </c>
      <c r="G66" s="13">
        <v>222.4</v>
      </c>
      <c r="H66" s="13">
        <f t="shared" ref="H66:H79" si="7">SUM(F66*G66/1000)</f>
        <v>2.2240000000000002</v>
      </c>
      <c r="I66" s="13">
        <f>G66*10</f>
        <v>2224</v>
      </c>
    </row>
    <row r="67" spans="1:21" ht="15.75" hidden="1" customHeight="1">
      <c r="A67" s="31"/>
      <c r="B67" s="14" t="s">
        <v>47</v>
      </c>
      <c r="C67" s="16" t="s">
        <v>106</v>
      </c>
      <c r="D67" s="14" t="s">
        <v>66</v>
      </c>
      <c r="E67" s="19">
        <v>5</v>
      </c>
      <c r="F67" s="13">
        <v>5</v>
      </c>
      <c r="G67" s="13">
        <v>76.25</v>
      </c>
      <c r="H67" s="13">
        <f t="shared" si="7"/>
        <v>0.38124999999999998</v>
      </c>
      <c r="I67" s="13">
        <v>0</v>
      </c>
    </row>
    <row r="68" spans="1:21" ht="15.75" hidden="1" customHeight="1">
      <c r="A68" s="31"/>
      <c r="B68" s="14" t="s">
        <v>48</v>
      </c>
      <c r="C68" s="16" t="s">
        <v>108</v>
      </c>
      <c r="D68" s="14" t="s">
        <v>53</v>
      </c>
      <c r="E68" s="19">
        <v>19138</v>
      </c>
      <c r="F68" s="13">
        <f>SUM(E68/100)</f>
        <v>191.38</v>
      </c>
      <c r="G68" s="13">
        <v>212.15</v>
      </c>
      <c r="H68" s="13">
        <f t="shared" si="7"/>
        <v>40.601267</v>
      </c>
      <c r="I68" s="13">
        <f>F68*G68</f>
        <v>40601.267</v>
      </c>
    </row>
    <row r="69" spans="1:21" ht="15.75" hidden="1" customHeight="1">
      <c r="A69" s="31"/>
      <c r="B69" s="14" t="s">
        <v>49</v>
      </c>
      <c r="C69" s="16" t="s">
        <v>109</v>
      </c>
      <c r="D69" s="14"/>
      <c r="E69" s="19">
        <v>19138</v>
      </c>
      <c r="F69" s="13">
        <f>SUM(E69/1000)</f>
        <v>19.138000000000002</v>
      </c>
      <c r="G69" s="13">
        <v>165.21</v>
      </c>
      <c r="H69" s="13">
        <f t="shared" si="7"/>
        <v>3.1617889800000003</v>
      </c>
      <c r="I69" s="13">
        <f t="shared" ref="I69:I73" si="8">F69*G69</f>
        <v>3161.7889800000003</v>
      </c>
    </row>
    <row r="70" spans="1:21" ht="15.75" hidden="1" customHeight="1">
      <c r="A70" s="31"/>
      <c r="B70" s="14" t="s">
        <v>50</v>
      </c>
      <c r="C70" s="16" t="s">
        <v>76</v>
      </c>
      <c r="D70" s="14" t="s">
        <v>53</v>
      </c>
      <c r="E70" s="19">
        <v>2730</v>
      </c>
      <c r="F70" s="13">
        <f>SUM(E70/100)</f>
        <v>27.3</v>
      </c>
      <c r="G70" s="13">
        <v>2074.63</v>
      </c>
      <c r="H70" s="13">
        <f t="shared" si="7"/>
        <v>56.637399000000002</v>
      </c>
      <c r="I70" s="13">
        <f t="shared" si="8"/>
        <v>56637.399000000005</v>
      </c>
    </row>
    <row r="71" spans="1:21" ht="15.75" hidden="1" customHeight="1">
      <c r="A71" s="31"/>
      <c r="B71" s="67" t="s">
        <v>110</v>
      </c>
      <c r="C71" s="16" t="s">
        <v>33</v>
      </c>
      <c r="D71" s="14"/>
      <c r="E71" s="19">
        <v>13</v>
      </c>
      <c r="F71" s="13">
        <f>SUM(E71)</f>
        <v>13</v>
      </c>
      <c r="G71" s="13">
        <v>45.32</v>
      </c>
      <c r="H71" s="13">
        <f t="shared" si="7"/>
        <v>0.58916000000000002</v>
      </c>
      <c r="I71" s="13">
        <f t="shared" si="8"/>
        <v>589.16</v>
      </c>
    </row>
    <row r="72" spans="1:21" ht="15.75" hidden="1" customHeight="1">
      <c r="A72" s="31"/>
      <c r="B72" s="67" t="s">
        <v>111</v>
      </c>
      <c r="C72" s="16" t="s">
        <v>33</v>
      </c>
      <c r="D72" s="14"/>
      <c r="E72" s="19">
        <v>13</v>
      </c>
      <c r="F72" s="13">
        <f>SUM(E72)</f>
        <v>13</v>
      </c>
      <c r="G72" s="13">
        <v>42.28</v>
      </c>
      <c r="H72" s="13">
        <f t="shared" si="7"/>
        <v>0.54964000000000002</v>
      </c>
      <c r="I72" s="13">
        <f t="shared" si="8"/>
        <v>549.64</v>
      </c>
    </row>
    <row r="73" spans="1:21" ht="15.75" hidden="1" customHeight="1">
      <c r="A73" s="31"/>
      <c r="B73" s="14" t="s">
        <v>56</v>
      </c>
      <c r="C73" s="16" t="s">
        <v>57</v>
      </c>
      <c r="D73" s="14" t="s">
        <v>53</v>
      </c>
      <c r="E73" s="19">
        <v>8</v>
      </c>
      <c r="F73" s="13">
        <v>8</v>
      </c>
      <c r="G73" s="13">
        <v>49.88</v>
      </c>
      <c r="H73" s="13">
        <f t="shared" si="7"/>
        <v>0.39904000000000001</v>
      </c>
      <c r="I73" s="13">
        <f t="shared" si="8"/>
        <v>399.04</v>
      </c>
    </row>
    <row r="74" spans="1:21" ht="15.75" hidden="1" customHeight="1">
      <c r="A74" s="31"/>
      <c r="B74" s="56" t="s">
        <v>71</v>
      </c>
      <c r="C74" s="16"/>
      <c r="D74" s="14"/>
      <c r="E74" s="19"/>
      <c r="F74" s="13"/>
      <c r="G74" s="13"/>
      <c r="H74" s="13" t="s">
        <v>139</v>
      </c>
      <c r="I74" s="13"/>
    </row>
    <row r="75" spans="1:21" ht="15.75" hidden="1" customHeight="1">
      <c r="A75" s="31">
        <v>22</v>
      </c>
      <c r="B75" s="14" t="s">
        <v>72</v>
      </c>
      <c r="C75" s="16" t="s">
        <v>74</v>
      </c>
      <c r="D75" s="14"/>
      <c r="E75" s="19">
        <v>4</v>
      </c>
      <c r="F75" s="13">
        <v>0.4</v>
      </c>
      <c r="G75" s="13">
        <v>501.62</v>
      </c>
      <c r="H75" s="13">
        <f t="shared" si="7"/>
        <v>0.20064800000000002</v>
      </c>
      <c r="I75" s="13">
        <f>G75*0.6</f>
        <v>300.97199999999998</v>
      </c>
    </row>
    <row r="76" spans="1:21" ht="15.75" hidden="1" customHeight="1">
      <c r="A76" s="31"/>
      <c r="B76" s="14" t="s">
        <v>73</v>
      </c>
      <c r="C76" s="16" t="s">
        <v>31</v>
      </c>
      <c r="D76" s="14"/>
      <c r="E76" s="19">
        <v>1</v>
      </c>
      <c r="F76" s="13">
        <v>1</v>
      </c>
      <c r="G76" s="13">
        <v>852.99</v>
      </c>
      <c r="H76" s="13">
        <f>F76*G76/1000</f>
        <v>0.85299000000000003</v>
      </c>
      <c r="I76" s="13">
        <v>0</v>
      </c>
    </row>
    <row r="77" spans="1:21" ht="15.75" hidden="1" customHeight="1">
      <c r="A77" s="31"/>
      <c r="B77" s="14" t="s">
        <v>113</v>
      </c>
      <c r="C77" s="16" t="s">
        <v>31</v>
      </c>
      <c r="D77" s="14"/>
      <c r="E77" s="19">
        <v>1</v>
      </c>
      <c r="F77" s="13">
        <v>1</v>
      </c>
      <c r="G77" s="13">
        <v>358.51</v>
      </c>
      <c r="H77" s="13">
        <f>G77*F77/1000</f>
        <v>0.35851</v>
      </c>
      <c r="I77" s="13">
        <v>0</v>
      </c>
    </row>
    <row r="78" spans="1:21" ht="15.75" hidden="1" customHeight="1">
      <c r="A78" s="31"/>
      <c r="B78" s="64" t="s">
        <v>75</v>
      </c>
      <c r="C78" s="16"/>
      <c r="D78" s="14"/>
      <c r="E78" s="19"/>
      <c r="F78" s="13"/>
      <c r="G78" s="13" t="s">
        <v>139</v>
      </c>
      <c r="H78" s="13" t="s">
        <v>139</v>
      </c>
      <c r="I78" s="13"/>
    </row>
    <row r="79" spans="1:21" ht="15.75" hidden="1" customHeight="1">
      <c r="A79" s="31"/>
      <c r="B79" s="44" t="s">
        <v>124</v>
      </c>
      <c r="C79" s="16" t="s">
        <v>76</v>
      </c>
      <c r="D79" s="14"/>
      <c r="E79" s="19"/>
      <c r="F79" s="13">
        <v>0.1</v>
      </c>
      <c r="G79" s="13">
        <v>2759.44</v>
      </c>
      <c r="H79" s="13">
        <f t="shared" si="7"/>
        <v>0.27594400000000002</v>
      </c>
      <c r="I79" s="13">
        <v>0</v>
      </c>
    </row>
    <row r="80" spans="1:21" ht="15.75" hidden="1" customHeight="1">
      <c r="A80" s="31"/>
      <c r="B80" s="56" t="s">
        <v>91</v>
      </c>
      <c r="C80" s="70"/>
      <c r="D80" s="70"/>
      <c r="E80" s="70"/>
      <c r="F80" s="70"/>
      <c r="G80" s="65"/>
      <c r="H80" s="65">
        <f>SUM(H59:H79)</f>
        <v>133.26539648000002</v>
      </c>
      <c r="I80" s="65"/>
    </row>
    <row r="81" spans="1:9" ht="15.75" hidden="1" customHeight="1">
      <c r="A81" s="31"/>
      <c r="B81" s="14" t="s">
        <v>112</v>
      </c>
      <c r="C81" s="16"/>
      <c r="D81" s="14"/>
      <c r="E81" s="19"/>
      <c r="F81" s="13">
        <v>1</v>
      </c>
      <c r="G81" s="13">
        <v>13441.4</v>
      </c>
      <c r="H81" s="13">
        <f>G81*F81/1000</f>
        <v>13.4414</v>
      </c>
      <c r="I81" s="13">
        <v>0</v>
      </c>
    </row>
    <row r="82" spans="1:9" ht="15.75" customHeight="1">
      <c r="A82" s="95" t="s">
        <v>137</v>
      </c>
      <c r="B82" s="96"/>
      <c r="C82" s="96"/>
      <c r="D82" s="96"/>
      <c r="E82" s="96"/>
      <c r="F82" s="96"/>
      <c r="G82" s="96"/>
      <c r="H82" s="96"/>
      <c r="I82" s="97"/>
    </row>
    <row r="83" spans="1:9" ht="15.75" customHeight="1">
      <c r="A83" s="31">
        <v>17</v>
      </c>
      <c r="B83" s="14" t="s">
        <v>114</v>
      </c>
      <c r="C83" s="16" t="s">
        <v>54</v>
      </c>
      <c r="D83" s="59" t="s">
        <v>152</v>
      </c>
      <c r="E83" s="13">
        <v>5367.6</v>
      </c>
      <c r="F83" s="13">
        <f>SUM(E83*12)</f>
        <v>64411.200000000004</v>
      </c>
      <c r="G83" s="13">
        <v>2.1</v>
      </c>
      <c r="H83" s="13">
        <f>SUM(F83*G83/1000)</f>
        <v>135.26352000000003</v>
      </c>
      <c r="I83" s="13">
        <f>F83/12*G83</f>
        <v>11271.960000000001</v>
      </c>
    </row>
    <row r="84" spans="1:9" ht="31.5" customHeight="1">
      <c r="A84" s="31">
        <v>18</v>
      </c>
      <c r="B84" s="14" t="s">
        <v>77</v>
      </c>
      <c r="C84" s="16"/>
      <c r="D84" s="59" t="s">
        <v>152</v>
      </c>
      <c r="E84" s="19">
        <f>E83</f>
        <v>5367.6</v>
      </c>
      <c r="F84" s="13">
        <f>E84*12</f>
        <v>64411.200000000004</v>
      </c>
      <c r="G84" s="13">
        <v>1.63</v>
      </c>
      <c r="H84" s="13">
        <f>F84*G84/1000</f>
        <v>104.99025599999999</v>
      </c>
      <c r="I84" s="13">
        <f>F84/12*G84</f>
        <v>8749.1880000000001</v>
      </c>
    </row>
    <row r="85" spans="1:9" ht="15.75" customHeight="1">
      <c r="A85" s="31"/>
      <c r="B85" s="36" t="s">
        <v>79</v>
      </c>
      <c r="C85" s="64"/>
      <c r="D85" s="68"/>
      <c r="E85" s="65"/>
      <c r="F85" s="65"/>
      <c r="G85" s="65"/>
      <c r="H85" s="65">
        <f>H84</f>
        <v>104.99025599999999</v>
      </c>
      <c r="I85" s="65">
        <f>I16+I17+I18+I20+I21+I24+I27+I28+I31+I32+I34+I35+I53+I54+I62+I66+I83+I84</f>
        <v>56581.946684222225</v>
      </c>
    </row>
    <row r="86" spans="1:9" ht="15.75" customHeight="1">
      <c r="A86" s="119" t="s">
        <v>59</v>
      </c>
      <c r="B86" s="120"/>
      <c r="C86" s="120"/>
      <c r="D86" s="120"/>
      <c r="E86" s="120"/>
      <c r="F86" s="120"/>
      <c r="G86" s="120"/>
      <c r="H86" s="120"/>
      <c r="I86" s="121"/>
    </row>
    <row r="87" spans="1:9" ht="15.75" customHeight="1">
      <c r="A87" s="31">
        <v>19</v>
      </c>
      <c r="B87" s="47" t="s">
        <v>122</v>
      </c>
      <c r="C87" s="63" t="s">
        <v>106</v>
      </c>
      <c r="D87" s="44"/>
      <c r="E87" s="13"/>
      <c r="F87" s="13">
        <v>732</v>
      </c>
      <c r="G87" s="13">
        <v>53.42</v>
      </c>
      <c r="H87" s="13">
        <f t="shared" ref="H87:H88" si="9">G87*F87/1000</f>
        <v>39.103439999999999</v>
      </c>
      <c r="I87" s="13">
        <f>G87*61</f>
        <v>3258.62</v>
      </c>
    </row>
    <row r="88" spans="1:9" ht="15.75" customHeight="1">
      <c r="A88" s="31">
        <v>20</v>
      </c>
      <c r="B88" s="78" t="s">
        <v>164</v>
      </c>
      <c r="C88" s="79" t="s">
        <v>106</v>
      </c>
      <c r="D88" s="78"/>
      <c r="E88" s="80"/>
      <c r="F88" s="81">
        <v>2</v>
      </c>
      <c r="G88" s="82">
        <v>86.15</v>
      </c>
      <c r="H88" s="69">
        <f t="shared" si="9"/>
        <v>0.17230000000000001</v>
      </c>
      <c r="I88" s="13">
        <f>G88</f>
        <v>86.15</v>
      </c>
    </row>
    <row r="89" spans="1:9" ht="15.75" customHeight="1">
      <c r="A89" s="31">
        <v>21</v>
      </c>
      <c r="B89" s="50" t="s">
        <v>186</v>
      </c>
      <c r="C89" s="51" t="s">
        <v>131</v>
      </c>
      <c r="D89" s="83"/>
      <c r="E89" s="35"/>
      <c r="F89" s="35">
        <f>30/3</f>
        <v>10</v>
      </c>
      <c r="G89" s="35">
        <v>1120.8900000000001</v>
      </c>
      <c r="H89" s="84">
        <f>G89*F89/1000</f>
        <v>11.208900000000002</v>
      </c>
      <c r="I89" s="13">
        <f>G89*(20/3)</f>
        <v>7472.6000000000013</v>
      </c>
    </row>
    <row r="90" spans="1:9" ht="15.75" customHeight="1">
      <c r="A90" s="31"/>
      <c r="B90" s="42" t="s">
        <v>51</v>
      </c>
      <c r="C90" s="38"/>
      <c r="D90" s="45"/>
      <c r="E90" s="38">
        <v>1</v>
      </c>
      <c r="F90" s="38"/>
      <c r="G90" s="38"/>
      <c r="H90" s="38"/>
      <c r="I90" s="33">
        <f>SUM(I87:I89)</f>
        <v>10817.37</v>
      </c>
    </row>
    <row r="91" spans="1:9" ht="15.75" customHeight="1">
      <c r="A91" s="31"/>
      <c r="B91" s="44" t="s">
        <v>78</v>
      </c>
      <c r="C91" s="15"/>
      <c r="D91" s="15"/>
      <c r="E91" s="39"/>
      <c r="F91" s="39"/>
      <c r="G91" s="40"/>
      <c r="H91" s="40"/>
      <c r="I91" s="18">
        <v>0</v>
      </c>
    </row>
    <row r="92" spans="1:9" ht="15.75" customHeight="1">
      <c r="A92" s="46"/>
      <c r="B92" s="43" t="s">
        <v>161</v>
      </c>
      <c r="C92" s="34"/>
      <c r="D92" s="34"/>
      <c r="E92" s="34"/>
      <c r="F92" s="34"/>
      <c r="G92" s="34"/>
      <c r="H92" s="34"/>
      <c r="I92" s="41">
        <f>I85+I90</f>
        <v>67399.316684222227</v>
      </c>
    </row>
    <row r="93" spans="1:9" ht="15.75" customHeight="1">
      <c r="A93" s="98" t="s">
        <v>187</v>
      </c>
      <c r="B93" s="98"/>
      <c r="C93" s="98"/>
      <c r="D93" s="98"/>
      <c r="E93" s="98"/>
      <c r="F93" s="98"/>
      <c r="G93" s="98"/>
      <c r="H93" s="98"/>
      <c r="I93" s="98"/>
    </row>
    <row r="94" spans="1:9" ht="15.75">
      <c r="A94" s="58"/>
      <c r="B94" s="99" t="s">
        <v>188</v>
      </c>
      <c r="C94" s="99"/>
      <c r="D94" s="99"/>
      <c r="E94" s="99"/>
      <c r="F94" s="99"/>
      <c r="G94" s="99"/>
      <c r="H94" s="62"/>
      <c r="I94" s="3"/>
    </row>
    <row r="95" spans="1:9" ht="15.75" customHeight="1">
      <c r="A95" s="54"/>
      <c r="B95" s="100" t="s">
        <v>6</v>
      </c>
      <c r="C95" s="100"/>
      <c r="D95" s="100"/>
      <c r="E95" s="100"/>
      <c r="F95" s="100"/>
      <c r="G95" s="100"/>
      <c r="H95" s="26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01" t="s">
        <v>7</v>
      </c>
      <c r="B97" s="101"/>
      <c r="C97" s="101"/>
      <c r="D97" s="101"/>
      <c r="E97" s="101"/>
      <c r="F97" s="101"/>
      <c r="G97" s="101"/>
      <c r="H97" s="101"/>
      <c r="I97" s="101"/>
    </row>
    <row r="98" spans="1:9" ht="15.75" customHeight="1">
      <c r="A98" s="101" t="s">
        <v>8</v>
      </c>
      <c r="B98" s="101"/>
      <c r="C98" s="101"/>
      <c r="D98" s="101"/>
      <c r="E98" s="101"/>
      <c r="F98" s="101"/>
      <c r="G98" s="101"/>
      <c r="H98" s="101"/>
      <c r="I98" s="101"/>
    </row>
    <row r="99" spans="1:9" ht="15.75">
      <c r="A99" s="102" t="s">
        <v>60</v>
      </c>
      <c r="B99" s="102"/>
      <c r="C99" s="102"/>
      <c r="D99" s="102"/>
      <c r="E99" s="102"/>
      <c r="F99" s="102"/>
      <c r="G99" s="102"/>
      <c r="H99" s="102"/>
      <c r="I99" s="102"/>
    </row>
    <row r="100" spans="1:9" ht="15.75" customHeight="1">
      <c r="A100" s="11"/>
    </row>
    <row r="101" spans="1:9" ht="15.75" customHeight="1">
      <c r="A101" s="103" t="s">
        <v>9</v>
      </c>
      <c r="B101" s="103"/>
      <c r="C101" s="103"/>
      <c r="D101" s="103"/>
      <c r="E101" s="103"/>
      <c r="F101" s="103"/>
      <c r="G101" s="103"/>
      <c r="H101" s="103"/>
      <c r="I101" s="103"/>
    </row>
    <row r="102" spans="1:9" ht="15.75" customHeight="1">
      <c r="A102" s="4"/>
    </row>
    <row r="103" spans="1:9" ht="15.75">
      <c r="B103" s="55" t="s">
        <v>10</v>
      </c>
      <c r="C103" s="104" t="s">
        <v>132</v>
      </c>
      <c r="D103" s="104"/>
      <c r="E103" s="104"/>
      <c r="F103" s="60"/>
      <c r="I103" s="53"/>
    </row>
    <row r="104" spans="1:9" ht="15.75" customHeight="1">
      <c r="A104" s="54"/>
      <c r="C104" s="100" t="s">
        <v>11</v>
      </c>
      <c r="D104" s="100"/>
      <c r="E104" s="100"/>
      <c r="F104" s="26"/>
      <c r="I104" s="52" t="s">
        <v>12</v>
      </c>
    </row>
    <row r="105" spans="1:9" ht="15.75" customHeight="1">
      <c r="A105" s="27"/>
      <c r="C105" s="12"/>
      <c r="D105" s="12"/>
      <c r="G105" s="12"/>
      <c r="H105" s="12"/>
    </row>
    <row r="106" spans="1:9" ht="15.75" customHeight="1">
      <c r="B106" s="55" t="s">
        <v>13</v>
      </c>
      <c r="C106" s="105"/>
      <c r="D106" s="105"/>
      <c r="E106" s="105"/>
      <c r="F106" s="61"/>
      <c r="I106" s="53"/>
    </row>
    <row r="107" spans="1:9" ht="15.75" customHeight="1">
      <c r="A107" s="54"/>
      <c r="C107" s="94" t="s">
        <v>11</v>
      </c>
      <c r="D107" s="94"/>
      <c r="E107" s="94"/>
      <c r="F107" s="54"/>
      <c r="I107" s="52" t="s">
        <v>12</v>
      </c>
    </row>
    <row r="108" spans="1:9" ht="15.75">
      <c r="A108" s="4" t="s">
        <v>14</v>
      </c>
    </row>
    <row r="109" spans="1:9" ht="15.75" customHeight="1">
      <c r="A109" s="92" t="s">
        <v>15</v>
      </c>
      <c r="B109" s="92"/>
      <c r="C109" s="92"/>
      <c r="D109" s="92"/>
      <c r="E109" s="92"/>
      <c r="F109" s="92"/>
      <c r="G109" s="92"/>
      <c r="H109" s="92"/>
      <c r="I109" s="92"/>
    </row>
    <row r="110" spans="1:9" ht="45" customHeight="1">
      <c r="A110" s="93" t="s">
        <v>16</v>
      </c>
      <c r="B110" s="93"/>
      <c r="C110" s="93"/>
      <c r="D110" s="93"/>
      <c r="E110" s="93"/>
      <c r="F110" s="93"/>
      <c r="G110" s="93"/>
      <c r="H110" s="93"/>
      <c r="I110" s="93"/>
    </row>
    <row r="111" spans="1:9" ht="30" customHeight="1">
      <c r="A111" s="93" t="s">
        <v>17</v>
      </c>
      <c r="B111" s="93"/>
      <c r="C111" s="93"/>
      <c r="D111" s="93"/>
      <c r="E111" s="93"/>
      <c r="F111" s="93"/>
      <c r="G111" s="93"/>
      <c r="H111" s="93"/>
      <c r="I111" s="93"/>
    </row>
    <row r="112" spans="1:9" ht="30" customHeight="1">
      <c r="A112" s="93" t="s">
        <v>21</v>
      </c>
      <c r="B112" s="93"/>
      <c r="C112" s="93"/>
      <c r="D112" s="93"/>
      <c r="E112" s="93"/>
      <c r="F112" s="93"/>
      <c r="G112" s="93"/>
      <c r="H112" s="93"/>
      <c r="I112" s="93"/>
    </row>
    <row r="113" spans="1:9" ht="15" customHeight="1">
      <c r="A113" s="93" t="s">
        <v>20</v>
      </c>
      <c r="B113" s="93"/>
      <c r="C113" s="93"/>
      <c r="D113" s="93"/>
      <c r="E113" s="93"/>
      <c r="F113" s="93"/>
      <c r="G113" s="93"/>
      <c r="H113" s="93"/>
      <c r="I113" s="93"/>
    </row>
  </sheetData>
  <autoFilter ref="I12:I59"/>
  <mergeCells count="29">
    <mergeCell ref="R64:U64"/>
    <mergeCell ref="A82:I82"/>
    <mergeCell ref="A3:I3"/>
    <mergeCell ref="A4:I4"/>
    <mergeCell ref="A5:I5"/>
    <mergeCell ref="A8:I8"/>
    <mergeCell ref="A10:I10"/>
    <mergeCell ref="A14:I14"/>
    <mergeCell ref="A99:I99"/>
    <mergeCell ref="A15:I15"/>
    <mergeCell ref="A29:I29"/>
    <mergeCell ref="A46:I46"/>
    <mergeCell ref="A57:I57"/>
    <mergeCell ref="A93:I93"/>
    <mergeCell ref="B94:G94"/>
    <mergeCell ref="B95:G95"/>
    <mergeCell ref="A97:I97"/>
    <mergeCell ref="A98:I98"/>
    <mergeCell ref="A86:I86"/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83</v>
      </c>
      <c r="I1" s="28"/>
      <c r="J1" s="1"/>
      <c r="K1" s="1"/>
      <c r="L1" s="1"/>
      <c r="M1" s="1"/>
    </row>
    <row r="2" spans="1:13" ht="15.75">
      <c r="A2" s="30" t="s">
        <v>61</v>
      </c>
      <c r="J2" s="2"/>
      <c r="K2" s="2"/>
      <c r="L2" s="2"/>
      <c r="M2" s="2"/>
    </row>
    <row r="3" spans="1:13" ht="15.75" customHeight="1">
      <c r="A3" s="114" t="s">
        <v>149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212</v>
      </c>
      <c r="B4" s="115"/>
      <c r="C4" s="115"/>
      <c r="D4" s="115"/>
      <c r="E4" s="115"/>
      <c r="F4" s="115"/>
      <c r="G4" s="115"/>
      <c r="H4" s="115"/>
      <c r="I4" s="115"/>
    </row>
    <row r="5" spans="1:13" ht="15.75">
      <c r="A5" s="114" t="s">
        <v>189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>
      <c r="A6" s="2"/>
      <c r="B6" s="57"/>
      <c r="C6" s="57"/>
      <c r="D6" s="57"/>
      <c r="E6" s="57"/>
      <c r="F6" s="57"/>
      <c r="G6" s="57"/>
      <c r="H6" s="57"/>
      <c r="I6" s="32">
        <v>42978</v>
      </c>
      <c r="J6" s="2"/>
      <c r="K6" s="2"/>
      <c r="L6" s="2"/>
      <c r="M6" s="2"/>
    </row>
    <row r="7" spans="1:13" ht="15.75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7" t="s">
        <v>154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18" t="s">
        <v>155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3" t="s">
        <v>58</v>
      </c>
      <c r="B14" s="113"/>
      <c r="C14" s="113"/>
      <c r="D14" s="113"/>
      <c r="E14" s="113"/>
      <c r="F14" s="113"/>
      <c r="G14" s="113"/>
      <c r="H14" s="113"/>
      <c r="I14" s="113"/>
      <c r="J14" s="8"/>
      <c r="K14" s="8"/>
      <c r="L14" s="8"/>
      <c r="M14" s="8"/>
    </row>
    <row r="15" spans="1:13" ht="15.75" customHeight="1">
      <c r="A15" s="109" t="s">
        <v>4</v>
      </c>
      <c r="B15" s="109"/>
      <c r="C15" s="109"/>
      <c r="D15" s="109"/>
      <c r="E15" s="109"/>
      <c r="F15" s="109"/>
      <c r="G15" s="109"/>
      <c r="H15" s="109"/>
      <c r="I15" s="109"/>
      <c r="J15" s="8"/>
      <c r="K15" s="8"/>
      <c r="L15" s="8"/>
      <c r="M15" s="8"/>
    </row>
    <row r="16" spans="1:13" ht="15.75" customHeight="1">
      <c r="A16" s="31">
        <v>1</v>
      </c>
      <c r="B16" s="14" t="s">
        <v>84</v>
      </c>
      <c r="C16" s="16" t="s">
        <v>85</v>
      </c>
      <c r="D16" s="14" t="s">
        <v>157</v>
      </c>
      <c r="E16" s="19">
        <v>62.28</v>
      </c>
      <c r="F16" s="13">
        <f>SUM(E16*156/100)</f>
        <v>97.156800000000004</v>
      </c>
      <c r="G16" s="13">
        <v>175.38</v>
      </c>
      <c r="H16" s="13">
        <f t="shared" ref="H16:H25" si="0">SUM(F16*G16/1000)</f>
        <v>17.039359584000003</v>
      </c>
      <c r="I16" s="13">
        <f>F16/12*G16</f>
        <v>1419.9466320000001</v>
      </c>
      <c r="J16" s="23"/>
      <c r="K16" s="8"/>
      <c r="L16" s="8"/>
      <c r="M16" s="8"/>
    </row>
    <row r="17" spans="1:13" ht="15.75" customHeight="1">
      <c r="A17" s="31">
        <v>2</v>
      </c>
      <c r="B17" s="14" t="s">
        <v>115</v>
      </c>
      <c r="C17" s="16" t="s">
        <v>85</v>
      </c>
      <c r="D17" s="14" t="s">
        <v>158</v>
      </c>
      <c r="E17" s="19">
        <v>311.42</v>
      </c>
      <c r="F17" s="13">
        <f>SUM(E17*104/100)</f>
        <v>323.8768</v>
      </c>
      <c r="G17" s="13">
        <v>175.38</v>
      </c>
      <c r="H17" s="13">
        <f t="shared" si="0"/>
        <v>56.801513183999994</v>
      </c>
      <c r="I17" s="13">
        <f>F17/12*G17</f>
        <v>4733.4594319999997</v>
      </c>
      <c r="J17" s="24"/>
      <c r="K17" s="8"/>
      <c r="L17" s="8"/>
      <c r="M17" s="8"/>
    </row>
    <row r="18" spans="1:13" ht="15.75" customHeight="1">
      <c r="A18" s="31">
        <v>3</v>
      </c>
      <c r="B18" s="14" t="s">
        <v>116</v>
      </c>
      <c r="C18" s="16" t="s">
        <v>85</v>
      </c>
      <c r="D18" s="14" t="s">
        <v>159</v>
      </c>
      <c r="E18" s="19">
        <v>373.7</v>
      </c>
      <c r="F18" s="13">
        <f>SUM(E18*24/100)</f>
        <v>89.687999999999988</v>
      </c>
      <c r="G18" s="13">
        <v>504.5</v>
      </c>
      <c r="H18" s="13">
        <f t="shared" si="0"/>
        <v>45.247595999999987</v>
      </c>
      <c r="I18" s="13">
        <f>F18/12*G18</f>
        <v>3770.6329999999998</v>
      </c>
      <c r="J18" s="24"/>
      <c r="K18" s="8"/>
      <c r="L18" s="8"/>
      <c r="M18" s="8"/>
    </row>
    <row r="19" spans="1:13" ht="15.75" hidden="1" customHeight="1">
      <c r="A19" s="31"/>
      <c r="B19" s="14" t="s">
        <v>92</v>
      </c>
      <c r="C19" s="16" t="s">
        <v>93</v>
      </c>
      <c r="D19" s="14" t="s">
        <v>94</v>
      </c>
      <c r="E19" s="19">
        <v>38.4</v>
      </c>
      <c r="F19" s="13">
        <f>SUM(E19/10)</f>
        <v>3.84</v>
      </c>
      <c r="G19" s="13">
        <v>170.16</v>
      </c>
      <c r="H19" s="13">
        <f t="shared" si="0"/>
        <v>0.65341439999999995</v>
      </c>
      <c r="I19" s="13">
        <v>0</v>
      </c>
      <c r="J19" s="24"/>
      <c r="K19" s="8"/>
      <c r="L19" s="8"/>
      <c r="M19" s="8"/>
    </row>
    <row r="20" spans="1:13" ht="15.75" customHeight="1">
      <c r="A20" s="31">
        <v>4</v>
      </c>
      <c r="B20" s="14" t="s">
        <v>95</v>
      </c>
      <c r="C20" s="16" t="s">
        <v>85</v>
      </c>
      <c r="D20" s="14" t="s">
        <v>117</v>
      </c>
      <c r="E20" s="19">
        <v>35.04</v>
      </c>
      <c r="F20" s="13">
        <f>SUM(E20*12/100)</f>
        <v>4.2048000000000005</v>
      </c>
      <c r="G20" s="13">
        <v>217.88</v>
      </c>
      <c r="H20" s="13">
        <f t="shared" si="0"/>
        <v>0.91614182399999999</v>
      </c>
      <c r="I20" s="13">
        <f>F20/12*G20</f>
        <v>76.345152000000013</v>
      </c>
      <c r="J20" s="24"/>
      <c r="K20" s="8"/>
      <c r="L20" s="8"/>
      <c r="M20" s="8"/>
    </row>
    <row r="21" spans="1:13" ht="15.75" customHeight="1">
      <c r="A21" s="31">
        <v>5</v>
      </c>
      <c r="B21" s="14" t="s">
        <v>96</v>
      </c>
      <c r="C21" s="16" t="s">
        <v>85</v>
      </c>
      <c r="D21" s="14" t="s">
        <v>30</v>
      </c>
      <c r="E21" s="19">
        <v>9.08</v>
      </c>
      <c r="F21" s="13">
        <f>SUM(E21*12/100)</f>
        <v>1.0896000000000001</v>
      </c>
      <c r="G21" s="13">
        <v>216.12</v>
      </c>
      <c r="H21" s="13">
        <f t="shared" si="0"/>
        <v>0.23548435200000004</v>
      </c>
      <c r="I21" s="13">
        <f>F21/12*G21</f>
        <v>19.623696000000002</v>
      </c>
      <c r="J21" s="24"/>
      <c r="K21" s="8"/>
      <c r="L21" s="8"/>
      <c r="M21" s="8"/>
    </row>
    <row r="22" spans="1:13" ht="15.75" hidden="1" customHeight="1">
      <c r="A22" s="31"/>
      <c r="B22" s="14" t="s">
        <v>97</v>
      </c>
      <c r="C22" s="16" t="s">
        <v>52</v>
      </c>
      <c r="D22" s="14" t="s">
        <v>94</v>
      </c>
      <c r="E22" s="19">
        <v>629</v>
      </c>
      <c r="F22" s="13">
        <f>SUM(E22/100)</f>
        <v>6.29</v>
      </c>
      <c r="G22" s="13">
        <v>269.26</v>
      </c>
      <c r="H22" s="13">
        <f t="shared" si="0"/>
        <v>1.6936453999999999</v>
      </c>
      <c r="I22" s="13">
        <v>0</v>
      </c>
      <c r="J22" s="24"/>
      <c r="K22" s="8"/>
      <c r="L22" s="8"/>
      <c r="M22" s="8"/>
    </row>
    <row r="23" spans="1:13" ht="15.75" hidden="1" customHeight="1">
      <c r="A23" s="31"/>
      <c r="B23" s="14" t="s">
        <v>98</v>
      </c>
      <c r="C23" s="16" t="s">
        <v>52</v>
      </c>
      <c r="D23" s="14" t="s">
        <v>94</v>
      </c>
      <c r="E23" s="19">
        <v>58</v>
      </c>
      <c r="F23" s="13">
        <f>SUM(E23/100)</f>
        <v>0.57999999999999996</v>
      </c>
      <c r="G23" s="13">
        <v>44.29</v>
      </c>
      <c r="H23" s="13">
        <f t="shared" si="0"/>
        <v>2.5688199999999998E-2</v>
      </c>
      <c r="I23" s="13">
        <v>0</v>
      </c>
      <c r="J23" s="24"/>
      <c r="K23" s="8"/>
      <c r="L23" s="8"/>
      <c r="M23" s="8"/>
    </row>
    <row r="24" spans="1:13" ht="15.75" customHeight="1">
      <c r="A24" s="31">
        <v>6</v>
      </c>
      <c r="B24" s="14" t="s">
        <v>99</v>
      </c>
      <c r="C24" s="16" t="s">
        <v>52</v>
      </c>
      <c r="D24" s="14" t="s">
        <v>30</v>
      </c>
      <c r="E24" s="19">
        <v>24</v>
      </c>
      <c r="F24" s="13">
        <f>E24*12/100</f>
        <v>2.88</v>
      </c>
      <c r="G24" s="13">
        <v>389.72</v>
      </c>
      <c r="H24" s="13">
        <f t="shared" si="0"/>
        <v>1.1223936000000001</v>
      </c>
      <c r="I24" s="13">
        <f>F24/12*G24</f>
        <v>93.532800000000009</v>
      </c>
      <c r="J24" s="24"/>
      <c r="K24" s="8"/>
      <c r="L24" s="8"/>
      <c r="M24" s="8"/>
    </row>
    <row r="25" spans="1:13" ht="15.75" hidden="1" customHeight="1">
      <c r="A25" s="31"/>
      <c r="B25" s="14" t="s">
        <v>100</v>
      </c>
      <c r="C25" s="16" t="s">
        <v>52</v>
      </c>
      <c r="D25" s="14" t="s">
        <v>53</v>
      </c>
      <c r="E25" s="19">
        <v>17</v>
      </c>
      <c r="F25" s="13">
        <f>SUM(E25/100)</f>
        <v>0.17</v>
      </c>
      <c r="G25" s="13">
        <v>520.79999999999995</v>
      </c>
      <c r="H25" s="13">
        <f t="shared" si="0"/>
        <v>8.8536000000000004E-2</v>
      </c>
      <c r="I25" s="13">
        <v>0</v>
      </c>
      <c r="J25" s="24"/>
      <c r="K25" s="8"/>
      <c r="L25" s="8"/>
      <c r="M25" s="8"/>
    </row>
    <row r="26" spans="1:13" ht="15.75" hidden="1" customHeight="1">
      <c r="A26" s="31"/>
      <c r="B26" s="14" t="s">
        <v>123</v>
      </c>
      <c r="C26" s="16" t="s">
        <v>52</v>
      </c>
      <c r="D26" s="14" t="s">
        <v>53</v>
      </c>
      <c r="E26" s="19">
        <v>24</v>
      </c>
      <c r="F26" s="13">
        <v>0.24</v>
      </c>
      <c r="G26" s="13">
        <v>216.12</v>
      </c>
      <c r="H26" s="13">
        <f>G26*F26/1000</f>
        <v>5.18688E-2</v>
      </c>
      <c r="I26" s="13">
        <v>0</v>
      </c>
      <c r="J26" s="24"/>
      <c r="K26" s="8"/>
      <c r="L26" s="8"/>
      <c r="M26" s="8"/>
    </row>
    <row r="27" spans="1:13" ht="15.75" customHeight="1">
      <c r="A27" s="31">
        <v>7</v>
      </c>
      <c r="B27" s="14" t="s">
        <v>63</v>
      </c>
      <c r="C27" s="16" t="s">
        <v>33</v>
      </c>
      <c r="D27" s="14" t="s">
        <v>160</v>
      </c>
      <c r="E27" s="19">
        <v>0.1</v>
      </c>
      <c r="F27" s="13">
        <f>SUM(E27*365)</f>
        <v>36.5</v>
      </c>
      <c r="G27" s="13">
        <v>147.03</v>
      </c>
      <c r="H27" s="13">
        <f>SUM(F27*G27/1000)</f>
        <v>5.3665950000000002</v>
      </c>
      <c r="I27" s="13">
        <f>F27/12*G27</f>
        <v>447.21625</v>
      </c>
      <c r="J27" s="25"/>
    </row>
    <row r="28" spans="1:13" ht="15.75" customHeight="1">
      <c r="A28" s="31">
        <v>8</v>
      </c>
      <c r="B28" s="44" t="s">
        <v>23</v>
      </c>
      <c r="C28" s="16" t="s">
        <v>24</v>
      </c>
      <c r="D28" s="14" t="s">
        <v>160</v>
      </c>
      <c r="E28" s="19">
        <v>5367.6</v>
      </c>
      <c r="F28" s="13">
        <f>SUM(E28*12)</f>
        <v>64411.200000000004</v>
      </c>
      <c r="G28" s="13">
        <v>3.18</v>
      </c>
      <c r="H28" s="13">
        <f>SUM(F28*G28/1000)</f>
        <v>204.82761600000003</v>
      </c>
      <c r="I28" s="13">
        <f>F28/12*G28</f>
        <v>17068.968000000001</v>
      </c>
      <c r="J28" s="25"/>
    </row>
    <row r="29" spans="1:13" ht="15.75" customHeight="1">
      <c r="A29" s="109" t="s">
        <v>82</v>
      </c>
      <c r="B29" s="109"/>
      <c r="C29" s="109"/>
      <c r="D29" s="109"/>
      <c r="E29" s="109"/>
      <c r="F29" s="109"/>
      <c r="G29" s="109"/>
      <c r="H29" s="109"/>
      <c r="I29" s="109"/>
      <c r="J29" s="24"/>
      <c r="K29" s="8"/>
      <c r="L29" s="8"/>
      <c r="M29" s="8"/>
    </row>
    <row r="30" spans="1:13" ht="15.75" customHeight="1">
      <c r="A30" s="31"/>
      <c r="B30" s="56" t="s">
        <v>28</v>
      </c>
      <c r="C30" s="16"/>
      <c r="D30" s="14"/>
      <c r="E30" s="19"/>
      <c r="F30" s="13"/>
      <c r="G30" s="13"/>
      <c r="H30" s="13"/>
      <c r="I30" s="13"/>
      <c r="J30" s="24"/>
      <c r="K30" s="8"/>
      <c r="L30" s="8"/>
      <c r="M30" s="8"/>
    </row>
    <row r="31" spans="1:13" ht="15.75" customHeight="1">
      <c r="A31" s="31">
        <v>9</v>
      </c>
      <c r="B31" s="14" t="s">
        <v>104</v>
      </c>
      <c r="C31" s="16" t="s">
        <v>87</v>
      </c>
      <c r="D31" s="14" t="s">
        <v>179</v>
      </c>
      <c r="E31" s="13">
        <v>748</v>
      </c>
      <c r="F31" s="13">
        <f>SUM(E31*52/1000)</f>
        <v>38.896000000000001</v>
      </c>
      <c r="G31" s="13">
        <v>155.88999999999999</v>
      </c>
      <c r="H31" s="13">
        <f t="shared" ref="H31:H38" si="1">SUM(F31*G31/1000)</f>
        <v>6.063497439999999</v>
      </c>
      <c r="I31" s="13">
        <f t="shared" ref="I31:I35" si="2">F31/6*G31</f>
        <v>1010.5829066666666</v>
      </c>
      <c r="J31" s="24"/>
      <c r="K31" s="8"/>
      <c r="L31" s="8"/>
      <c r="M31" s="8"/>
    </row>
    <row r="32" spans="1:13" ht="31.5" customHeight="1">
      <c r="A32" s="31">
        <v>10</v>
      </c>
      <c r="B32" s="14" t="s">
        <v>119</v>
      </c>
      <c r="C32" s="16" t="s">
        <v>87</v>
      </c>
      <c r="D32" s="14" t="s">
        <v>180</v>
      </c>
      <c r="E32" s="13">
        <v>374</v>
      </c>
      <c r="F32" s="13">
        <f>SUM(E32*78/1000)</f>
        <v>29.172000000000001</v>
      </c>
      <c r="G32" s="13">
        <v>258.63</v>
      </c>
      <c r="H32" s="13">
        <f t="shared" si="1"/>
        <v>7.5447543599999998</v>
      </c>
      <c r="I32" s="13">
        <f t="shared" si="2"/>
        <v>1257.4590599999999</v>
      </c>
      <c r="J32" s="24"/>
      <c r="K32" s="8"/>
      <c r="L32" s="8"/>
      <c r="M32" s="8"/>
    </row>
    <row r="33" spans="1:14" ht="15.75" hidden="1" customHeight="1">
      <c r="A33" s="31"/>
      <c r="B33" s="14" t="s">
        <v>27</v>
      </c>
      <c r="C33" s="16" t="s">
        <v>87</v>
      </c>
      <c r="D33" s="14" t="s">
        <v>53</v>
      </c>
      <c r="E33" s="13">
        <v>748</v>
      </c>
      <c r="F33" s="13">
        <f>SUM(E33/1000)</f>
        <v>0.748</v>
      </c>
      <c r="G33" s="13">
        <v>3020.33</v>
      </c>
      <c r="H33" s="13">
        <f t="shared" si="1"/>
        <v>2.25920684</v>
      </c>
      <c r="I33" s="13">
        <f>F33*G33</f>
        <v>2259.2068399999998</v>
      </c>
      <c r="J33" s="24"/>
      <c r="K33" s="8"/>
      <c r="L33" s="8"/>
      <c r="M33" s="8"/>
    </row>
    <row r="34" spans="1:14" ht="15.75" customHeight="1">
      <c r="A34" s="31">
        <v>11</v>
      </c>
      <c r="B34" s="14" t="s">
        <v>118</v>
      </c>
      <c r="C34" s="16" t="s">
        <v>40</v>
      </c>
      <c r="D34" s="14" t="s">
        <v>62</v>
      </c>
      <c r="E34" s="13">
        <v>1</v>
      </c>
      <c r="F34" s="13">
        <f>E34*155/100</f>
        <v>1.55</v>
      </c>
      <c r="G34" s="13">
        <v>1302.02</v>
      </c>
      <c r="H34" s="13">
        <f>G34*F34/1000</f>
        <v>2.0181309999999999</v>
      </c>
      <c r="I34" s="13">
        <f t="shared" si="2"/>
        <v>336.35516666666672</v>
      </c>
      <c r="J34" s="24"/>
      <c r="K34" s="8"/>
    </row>
    <row r="35" spans="1:14" ht="15.75" customHeight="1">
      <c r="A35" s="31">
        <v>12</v>
      </c>
      <c r="B35" s="14" t="s">
        <v>103</v>
      </c>
      <c r="C35" s="16" t="s">
        <v>31</v>
      </c>
      <c r="D35" s="14" t="s">
        <v>62</v>
      </c>
      <c r="E35" s="66">
        <v>0.33333333333333331</v>
      </c>
      <c r="F35" s="13">
        <f>155/3</f>
        <v>51.666666666666664</v>
      </c>
      <c r="G35" s="13">
        <v>56.69</v>
      </c>
      <c r="H35" s="13">
        <f>SUM(G35*155/3/1000)</f>
        <v>2.9289833333333331</v>
      </c>
      <c r="I35" s="13">
        <f t="shared" si="2"/>
        <v>488.16388888888883</v>
      </c>
      <c r="J35" s="25"/>
    </row>
    <row r="36" spans="1:14" ht="15.75" hidden="1" customHeight="1">
      <c r="A36" s="31"/>
      <c r="B36" s="14" t="s">
        <v>64</v>
      </c>
      <c r="C36" s="16" t="s">
        <v>33</v>
      </c>
      <c r="D36" s="14" t="s">
        <v>66</v>
      </c>
      <c r="E36" s="19"/>
      <c r="F36" s="13">
        <v>2</v>
      </c>
      <c r="G36" s="13">
        <v>191.32</v>
      </c>
      <c r="H36" s="13">
        <f t="shared" si="1"/>
        <v>0.38263999999999998</v>
      </c>
      <c r="I36" s="13">
        <v>0</v>
      </c>
      <c r="J36" s="25"/>
    </row>
    <row r="37" spans="1:14" ht="15.75" hidden="1" customHeight="1">
      <c r="A37" s="31"/>
      <c r="B37" s="14" t="s">
        <v>65</v>
      </c>
      <c r="C37" s="16" t="s">
        <v>32</v>
      </c>
      <c r="D37" s="14" t="s">
        <v>66</v>
      </c>
      <c r="E37" s="19"/>
      <c r="F37" s="13">
        <v>1</v>
      </c>
      <c r="G37" s="13">
        <v>1136.33</v>
      </c>
      <c r="H37" s="13">
        <f t="shared" si="1"/>
        <v>1.1363299999999998</v>
      </c>
      <c r="I37" s="13">
        <v>0</v>
      </c>
      <c r="J37" s="25"/>
    </row>
    <row r="38" spans="1:14" ht="15.75" hidden="1" customHeight="1">
      <c r="A38" s="31"/>
      <c r="B38" s="14" t="s">
        <v>125</v>
      </c>
      <c r="C38" s="16" t="s">
        <v>29</v>
      </c>
      <c r="D38" s="14"/>
      <c r="E38" s="19">
        <v>932.2</v>
      </c>
      <c r="F38" s="13">
        <v>0.93220000000000003</v>
      </c>
      <c r="G38" s="13">
        <v>1305.02</v>
      </c>
      <c r="H38" s="13">
        <f t="shared" si="1"/>
        <v>1.216539644</v>
      </c>
      <c r="I38" s="13">
        <v>0</v>
      </c>
      <c r="J38" s="25"/>
    </row>
    <row r="39" spans="1:14" ht="15.75" hidden="1" customHeight="1">
      <c r="A39" s="31"/>
      <c r="B39" s="56" t="s">
        <v>5</v>
      </c>
      <c r="C39" s="16"/>
      <c r="D39" s="14"/>
      <c r="E39" s="19"/>
      <c r="F39" s="13"/>
      <c r="G39" s="13"/>
      <c r="H39" s="13" t="s">
        <v>139</v>
      </c>
      <c r="I39" s="13"/>
      <c r="J39" s="25"/>
      <c r="L39" s="20"/>
      <c r="M39" s="21"/>
      <c r="N39" s="22"/>
    </row>
    <row r="40" spans="1:14" ht="15.75" hidden="1" customHeight="1">
      <c r="A40" s="31">
        <v>9</v>
      </c>
      <c r="B40" s="14" t="s">
        <v>26</v>
      </c>
      <c r="C40" s="16" t="s">
        <v>32</v>
      </c>
      <c r="D40" s="14"/>
      <c r="E40" s="19"/>
      <c r="F40" s="13">
        <v>6</v>
      </c>
      <c r="G40" s="13">
        <v>1527.22</v>
      </c>
      <c r="H40" s="13">
        <f t="shared" ref="H40:H45" si="3">SUM(F40*G40/1000)</f>
        <v>9.1633200000000006</v>
      </c>
      <c r="I40" s="13">
        <f t="shared" ref="I40:I45" si="4">F40/6*G40</f>
        <v>1527.22</v>
      </c>
      <c r="J40" s="25"/>
      <c r="L40" s="20"/>
      <c r="M40" s="21"/>
      <c r="N40" s="22"/>
    </row>
    <row r="41" spans="1:14" ht="15.75" hidden="1" customHeight="1">
      <c r="A41" s="31">
        <v>10</v>
      </c>
      <c r="B41" s="14" t="s">
        <v>105</v>
      </c>
      <c r="C41" s="16" t="s">
        <v>29</v>
      </c>
      <c r="D41" s="14" t="s">
        <v>126</v>
      </c>
      <c r="E41" s="19">
        <v>374</v>
      </c>
      <c r="F41" s="13">
        <f>E41*26/1000</f>
        <v>9.7240000000000002</v>
      </c>
      <c r="G41" s="13">
        <v>2102.71</v>
      </c>
      <c r="H41" s="13">
        <f>G41*F41/1000</f>
        <v>20.44675204</v>
      </c>
      <c r="I41" s="13">
        <f t="shared" si="4"/>
        <v>3407.792006666667</v>
      </c>
      <c r="J41" s="25"/>
      <c r="L41" s="20"/>
      <c r="M41" s="21"/>
      <c r="N41" s="22"/>
    </row>
    <row r="42" spans="1:14" ht="15.75" hidden="1" customHeight="1">
      <c r="A42" s="31">
        <v>11</v>
      </c>
      <c r="B42" s="14" t="s">
        <v>67</v>
      </c>
      <c r="C42" s="16" t="s">
        <v>29</v>
      </c>
      <c r="D42" s="14" t="s">
        <v>86</v>
      </c>
      <c r="E42" s="13">
        <v>160</v>
      </c>
      <c r="F42" s="13">
        <f>SUM(E42*155/1000)</f>
        <v>24.8</v>
      </c>
      <c r="G42" s="13">
        <v>350.75</v>
      </c>
      <c r="H42" s="13">
        <f t="shared" si="3"/>
        <v>8.6986000000000008</v>
      </c>
      <c r="I42" s="13">
        <f t="shared" si="4"/>
        <v>1449.7666666666669</v>
      </c>
      <c r="J42" s="25"/>
      <c r="L42" s="20"/>
      <c r="M42" s="21"/>
      <c r="N42" s="22"/>
    </row>
    <row r="43" spans="1:14" ht="47.25" hidden="1" customHeight="1">
      <c r="A43" s="31">
        <v>12</v>
      </c>
      <c r="B43" s="14" t="s">
        <v>81</v>
      </c>
      <c r="C43" s="16" t="s">
        <v>87</v>
      </c>
      <c r="D43" s="14" t="s">
        <v>127</v>
      </c>
      <c r="E43" s="13">
        <v>76</v>
      </c>
      <c r="F43" s="13">
        <f>SUM(E43*50/1000)</f>
        <v>3.8</v>
      </c>
      <c r="G43" s="13">
        <v>5803.28</v>
      </c>
      <c r="H43" s="13">
        <f t="shared" si="3"/>
        <v>22.052463999999997</v>
      </c>
      <c r="I43" s="13">
        <f t="shared" si="4"/>
        <v>3675.4106666666662</v>
      </c>
      <c r="J43" s="25"/>
      <c r="L43" s="20"/>
      <c r="M43" s="21"/>
      <c r="N43" s="22"/>
    </row>
    <row r="44" spans="1:14" ht="15.75" hidden="1" customHeight="1">
      <c r="A44" s="31">
        <v>13</v>
      </c>
      <c r="B44" s="14" t="s">
        <v>88</v>
      </c>
      <c r="C44" s="16" t="s">
        <v>87</v>
      </c>
      <c r="D44" s="14" t="s">
        <v>68</v>
      </c>
      <c r="E44" s="13">
        <v>76</v>
      </c>
      <c r="F44" s="13">
        <f>SUM(E44*45/1000)</f>
        <v>3.42</v>
      </c>
      <c r="G44" s="13">
        <v>428.7</v>
      </c>
      <c r="H44" s="13">
        <f t="shared" si="3"/>
        <v>1.466154</v>
      </c>
      <c r="I44" s="13">
        <f t="shared" si="4"/>
        <v>244.35899999999998</v>
      </c>
      <c r="J44" s="25"/>
      <c r="L44" s="20"/>
      <c r="M44" s="21"/>
      <c r="N44" s="22"/>
    </row>
    <row r="45" spans="1:14" ht="15.75" hidden="1" customHeight="1">
      <c r="A45" s="31">
        <v>14</v>
      </c>
      <c r="B45" s="14" t="s">
        <v>69</v>
      </c>
      <c r="C45" s="16" t="s">
        <v>33</v>
      </c>
      <c r="D45" s="14"/>
      <c r="E45" s="19"/>
      <c r="F45" s="13">
        <v>0.9</v>
      </c>
      <c r="G45" s="13">
        <v>798</v>
      </c>
      <c r="H45" s="13">
        <f t="shared" si="3"/>
        <v>0.71820000000000006</v>
      </c>
      <c r="I45" s="13">
        <f t="shared" si="4"/>
        <v>119.69999999999999</v>
      </c>
      <c r="J45" s="25"/>
      <c r="L45" s="20"/>
      <c r="M45" s="21"/>
      <c r="N45" s="22"/>
    </row>
    <row r="46" spans="1:14" ht="15" customHeight="1">
      <c r="A46" s="110" t="s">
        <v>135</v>
      </c>
      <c r="B46" s="111"/>
      <c r="C46" s="111"/>
      <c r="D46" s="111"/>
      <c r="E46" s="111"/>
      <c r="F46" s="111"/>
      <c r="G46" s="111"/>
      <c r="H46" s="111"/>
      <c r="I46" s="112"/>
      <c r="J46" s="25"/>
      <c r="L46" s="20"/>
      <c r="M46" s="21"/>
      <c r="N46" s="22"/>
    </row>
    <row r="47" spans="1:14" ht="15.75" hidden="1" customHeight="1">
      <c r="A47" s="31"/>
      <c r="B47" s="14" t="s">
        <v>140</v>
      </c>
      <c r="C47" s="16" t="s">
        <v>87</v>
      </c>
      <c r="D47" s="14" t="s">
        <v>42</v>
      </c>
      <c r="E47" s="19">
        <v>1099.7</v>
      </c>
      <c r="F47" s="13">
        <f>SUM(E47*2/1000)</f>
        <v>2.1994000000000002</v>
      </c>
      <c r="G47" s="13">
        <v>809.74</v>
      </c>
      <c r="H47" s="13">
        <f t="shared" ref="H47:H56" si="5">SUM(F47*G47/1000)</f>
        <v>1.7809421560000003</v>
      </c>
      <c r="I47" s="13">
        <v>0</v>
      </c>
      <c r="J47" s="25"/>
      <c r="L47" s="20"/>
      <c r="M47" s="21"/>
      <c r="N47" s="22"/>
    </row>
    <row r="48" spans="1:14" ht="15.75" hidden="1" customHeight="1">
      <c r="A48" s="31"/>
      <c r="B48" s="14" t="s">
        <v>35</v>
      </c>
      <c r="C48" s="16" t="s">
        <v>87</v>
      </c>
      <c r="D48" s="14" t="s">
        <v>42</v>
      </c>
      <c r="E48" s="19">
        <v>52</v>
      </c>
      <c r="F48" s="13">
        <f>E48*2/1000</f>
        <v>0.104</v>
      </c>
      <c r="G48" s="13">
        <v>579.48</v>
      </c>
      <c r="H48" s="13">
        <f t="shared" si="5"/>
        <v>6.0265920000000001E-2</v>
      </c>
      <c r="I48" s="13">
        <v>0</v>
      </c>
      <c r="J48" s="25"/>
      <c r="L48" s="20"/>
      <c r="M48" s="21"/>
      <c r="N48" s="22"/>
    </row>
    <row r="49" spans="1:22" ht="15.75" hidden="1" customHeight="1">
      <c r="A49" s="31"/>
      <c r="B49" s="14" t="s">
        <v>36</v>
      </c>
      <c r="C49" s="16" t="s">
        <v>87</v>
      </c>
      <c r="D49" s="14" t="s">
        <v>42</v>
      </c>
      <c r="E49" s="19">
        <v>917.78</v>
      </c>
      <c r="F49" s="13">
        <f>SUM(E49*2/1000)</f>
        <v>1.8355599999999999</v>
      </c>
      <c r="G49" s="13">
        <v>579.48</v>
      </c>
      <c r="H49" s="13">
        <f t="shared" si="5"/>
        <v>1.0636703087999999</v>
      </c>
      <c r="I49" s="13">
        <v>0</v>
      </c>
      <c r="J49" s="25"/>
      <c r="L49" s="20"/>
      <c r="M49" s="21"/>
      <c r="N49" s="22"/>
    </row>
    <row r="50" spans="1:22" ht="15.75" hidden="1" customHeight="1">
      <c r="A50" s="31"/>
      <c r="B50" s="14" t="s">
        <v>37</v>
      </c>
      <c r="C50" s="16" t="s">
        <v>87</v>
      </c>
      <c r="D50" s="14" t="s">
        <v>42</v>
      </c>
      <c r="E50" s="19">
        <v>3930</v>
      </c>
      <c r="F50" s="13">
        <f>SUM(E50*2/1000)</f>
        <v>7.86</v>
      </c>
      <c r="G50" s="13">
        <v>606.77</v>
      </c>
      <c r="H50" s="13">
        <f t="shared" si="5"/>
        <v>4.7692122000000001</v>
      </c>
      <c r="I50" s="13">
        <v>0</v>
      </c>
      <c r="J50" s="25"/>
      <c r="L50" s="20"/>
      <c r="M50" s="21"/>
      <c r="N50" s="22"/>
    </row>
    <row r="51" spans="1:22" ht="15.75" hidden="1" customHeight="1">
      <c r="A51" s="31"/>
      <c r="B51" s="14" t="s">
        <v>34</v>
      </c>
      <c r="C51" s="16" t="s">
        <v>52</v>
      </c>
      <c r="D51" s="14" t="s">
        <v>42</v>
      </c>
      <c r="E51" s="19">
        <v>142.38999999999999</v>
      </c>
      <c r="F51" s="13">
        <f>E51*2/100</f>
        <v>2.8477999999999999</v>
      </c>
      <c r="G51" s="13">
        <v>72.81</v>
      </c>
      <c r="H51" s="13">
        <f>F51*G51/1000</f>
        <v>0.207348318</v>
      </c>
      <c r="I51" s="13">
        <v>0</v>
      </c>
      <c r="J51" s="25"/>
      <c r="L51" s="20"/>
      <c r="M51" s="21"/>
      <c r="N51" s="22"/>
    </row>
    <row r="52" spans="1:22" ht="15.75" hidden="1" customHeight="1">
      <c r="A52" s="31">
        <v>15</v>
      </c>
      <c r="B52" s="14" t="s">
        <v>55</v>
      </c>
      <c r="C52" s="16" t="s">
        <v>87</v>
      </c>
      <c r="D52" s="14" t="s">
        <v>142</v>
      </c>
      <c r="E52" s="19">
        <v>1914</v>
      </c>
      <c r="F52" s="13">
        <f>SUM(E52*5/1000)</f>
        <v>9.57</v>
      </c>
      <c r="G52" s="13">
        <v>1213.55</v>
      </c>
      <c r="H52" s="13">
        <f t="shared" si="5"/>
        <v>11.613673500000001</v>
      </c>
      <c r="I52" s="13">
        <f>F52/5*G52</f>
        <v>2322.7347</v>
      </c>
      <c r="J52" s="25"/>
      <c r="L52" s="20"/>
      <c r="M52" s="21"/>
      <c r="N52" s="22"/>
    </row>
    <row r="53" spans="1:22" ht="31.5" hidden="1" customHeight="1">
      <c r="A53" s="31">
        <v>16</v>
      </c>
      <c r="B53" s="14" t="s">
        <v>89</v>
      </c>
      <c r="C53" s="16" t="s">
        <v>87</v>
      </c>
      <c r="D53" s="14" t="s">
        <v>42</v>
      </c>
      <c r="E53" s="19">
        <v>1914</v>
      </c>
      <c r="F53" s="13">
        <f>SUM(E53*2/1000)</f>
        <v>3.8279999999999998</v>
      </c>
      <c r="G53" s="13">
        <v>1213.55</v>
      </c>
      <c r="H53" s="13">
        <f t="shared" si="5"/>
        <v>4.6454693999999996</v>
      </c>
      <c r="I53" s="13">
        <f>F53/2*G53</f>
        <v>2322.7347</v>
      </c>
      <c r="J53" s="25"/>
      <c r="L53" s="20"/>
      <c r="M53" s="21"/>
      <c r="N53" s="22"/>
    </row>
    <row r="54" spans="1:22" ht="31.5" hidden="1" customHeight="1">
      <c r="A54" s="31">
        <v>17</v>
      </c>
      <c r="B54" s="14" t="s">
        <v>90</v>
      </c>
      <c r="C54" s="16" t="s">
        <v>38</v>
      </c>
      <c r="D54" s="14" t="s">
        <v>42</v>
      </c>
      <c r="E54" s="19">
        <v>20</v>
      </c>
      <c r="F54" s="13">
        <f>SUM(E54*2/100)</f>
        <v>0.4</v>
      </c>
      <c r="G54" s="13">
        <v>2730.49</v>
      </c>
      <c r="H54" s="13">
        <f>SUM(F54*G54/1000)</f>
        <v>1.0921959999999999</v>
      </c>
      <c r="I54" s="13">
        <f>F54/2*G54</f>
        <v>546.09799999999996</v>
      </c>
      <c r="J54" s="25"/>
      <c r="L54" s="20"/>
      <c r="M54" s="21"/>
      <c r="N54" s="22"/>
    </row>
    <row r="55" spans="1:22" ht="15.75" hidden="1" customHeight="1">
      <c r="A55" s="31">
        <v>18</v>
      </c>
      <c r="B55" s="14" t="s">
        <v>39</v>
      </c>
      <c r="C55" s="16" t="s">
        <v>40</v>
      </c>
      <c r="D55" s="14" t="s">
        <v>42</v>
      </c>
      <c r="E55" s="19">
        <v>1</v>
      </c>
      <c r="F55" s="13">
        <v>0.02</v>
      </c>
      <c r="G55" s="13">
        <v>5652.13</v>
      </c>
      <c r="H55" s="13">
        <f t="shared" si="5"/>
        <v>0.11304260000000001</v>
      </c>
      <c r="I55" s="13">
        <f>F55/2*G55</f>
        <v>56.521300000000004</v>
      </c>
      <c r="J55" s="25"/>
      <c r="L55" s="20"/>
      <c r="M55" s="21"/>
      <c r="N55" s="22"/>
    </row>
    <row r="56" spans="1:22" ht="15.75" customHeight="1">
      <c r="A56" s="31">
        <v>13</v>
      </c>
      <c r="B56" s="14" t="s">
        <v>41</v>
      </c>
      <c r="C56" s="16" t="s">
        <v>106</v>
      </c>
      <c r="D56" s="14" t="s">
        <v>70</v>
      </c>
      <c r="E56" s="19">
        <v>120</v>
      </c>
      <c r="F56" s="13">
        <f>SUM(E56)*3</f>
        <v>360</v>
      </c>
      <c r="G56" s="13">
        <v>65.67</v>
      </c>
      <c r="H56" s="13">
        <f t="shared" si="5"/>
        <v>23.641200000000001</v>
      </c>
      <c r="I56" s="13">
        <f>E56*G56</f>
        <v>7880.4000000000005</v>
      </c>
      <c r="J56" s="25"/>
      <c r="L56" s="20"/>
      <c r="M56" s="21"/>
      <c r="N56" s="22"/>
    </row>
    <row r="57" spans="1:22" ht="15.75" customHeight="1">
      <c r="A57" s="110" t="s">
        <v>136</v>
      </c>
      <c r="B57" s="111"/>
      <c r="C57" s="111"/>
      <c r="D57" s="111"/>
      <c r="E57" s="111"/>
      <c r="F57" s="111"/>
      <c r="G57" s="111"/>
      <c r="H57" s="111"/>
      <c r="I57" s="112"/>
      <c r="J57" s="25"/>
      <c r="L57" s="20"/>
      <c r="M57" s="21"/>
      <c r="N57" s="22"/>
    </row>
    <row r="58" spans="1:22" ht="15.75" hidden="1" customHeight="1">
      <c r="A58" s="31"/>
      <c r="B58" s="56" t="s">
        <v>43</v>
      </c>
      <c r="C58" s="16"/>
      <c r="D58" s="14"/>
      <c r="E58" s="19"/>
      <c r="F58" s="13"/>
      <c r="G58" s="13"/>
      <c r="H58" s="13"/>
      <c r="I58" s="13"/>
      <c r="J58" s="25"/>
      <c r="L58" s="20"/>
    </row>
    <row r="59" spans="1:22" ht="31.5" hidden="1" customHeight="1">
      <c r="A59" s="31">
        <v>20</v>
      </c>
      <c r="B59" s="14" t="s">
        <v>141</v>
      </c>
      <c r="C59" s="16" t="s">
        <v>85</v>
      </c>
      <c r="D59" s="14" t="s">
        <v>107</v>
      </c>
      <c r="E59" s="19">
        <v>66</v>
      </c>
      <c r="F59" s="13">
        <f>SUM(E59*6/100)</f>
        <v>3.96</v>
      </c>
      <c r="G59" s="13">
        <v>1547.28</v>
      </c>
      <c r="H59" s="13">
        <f>SUM(F59*G59/1000)</f>
        <v>6.1272288000000001</v>
      </c>
      <c r="I59" s="13">
        <f>F59/6*G59</f>
        <v>1021.2048</v>
      </c>
    </row>
    <row r="60" spans="1:22" ht="15.75" customHeight="1">
      <c r="A60" s="31"/>
      <c r="B60" s="56" t="s">
        <v>44</v>
      </c>
      <c r="C60" s="16"/>
      <c r="D60" s="14"/>
      <c r="E60" s="19"/>
      <c r="F60" s="13"/>
      <c r="G60" s="13"/>
      <c r="H60" s="13"/>
      <c r="I60" s="13"/>
    </row>
    <row r="61" spans="1:22" ht="15.75" hidden="1" customHeight="1">
      <c r="A61" s="31"/>
      <c r="B61" s="14" t="s">
        <v>120</v>
      </c>
      <c r="C61" s="16" t="s">
        <v>52</v>
      </c>
      <c r="D61" s="14" t="s">
        <v>53</v>
      </c>
      <c r="E61" s="19">
        <v>1387</v>
      </c>
      <c r="F61" s="13">
        <f>E61/100</f>
        <v>13.87</v>
      </c>
      <c r="G61" s="13">
        <v>793.61</v>
      </c>
      <c r="H61" s="13">
        <f>F61*G61/1000</f>
        <v>11.007370699999999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31">
        <v>14</v>
      </c>
      <c r="B62" s="14" t="s">
        <v>121</v>
      </c>
      <c r="C62" s="16" t="s">
        <v>25</v>
      </c>
      <c r="D62" s="14" t="s">
        <v>30</v>
      </c>
      <c r="E62" s="19">
        <v>286.8</v>
      </c>
      <c r="F62" s="13">
        <f>E62*12</f>
        <v>3441.6000000000004</v>
      </c>
      <c r="G62" s="13">
        <v>2.6</v>
      </c>
      <c r="H62" s="13">
        <f>F62*G62/1000</f>
        <v>8.9481600000000014</v>
      </c>
      <c r="I62" s="13">
        <f>F62/12*G62</f>
        <v>745.68000000000006</v>
      </c>
      <c r="J62" s="27"/>
      <c r="K62" s="27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31"/>
      <c r="B63" s="56" t="s">
        <v>128</v>
      </c>
      <c r="C63" s="16"/>
      <c r="D63" s="14"/>
      <c r="E63" s="19"/>
      <c r="F63" s="13"/>
      <c r="G63" s="13"/>
      <c r="H63" s="13"/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31"/>
      <c r="B64" s="14" t="s">
        <v>129</v>
      </c>
      <c r="C64" s="16" t="s">
        <v>106</v>
      </c>
      <c r="D64" s="14" t="s">
        <v>53</v>
      </c>
      <c r="E64" s="19">
        <v>4</v>
      </c>
      <c r="F64" s="13">
        <v>4</v>
      </c>
      <c r="G64" s="13">
        <v>237.75</v>
      </c>
      <c r="H64" s="13">
        <f t="shared" ref="H64" si="6">F64*G64/1000</f>
        <v>0.95099999999999996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94"/>
      <c r="S64" s="94"/>
      <c r="T64" s="94"/>
      <c r="U64" s="94"/>
    </row>
    <row r="65" spans="1:21" ht="15.75" customHeight="1">
      <c r="A65" s="31"/>
      <c r="B65" s="56" t="s">
        <v>45</v>
      </c>
      <c r="C65" s="16"/>
      <c r="D65" s="14"/>
      <c r="E65" s="19"/>
      <c r="F65" s="13"/>
      <c r="G65" s="13"/>
      <c r="H65" s="13" t="s">
        <v>139</v>
      </c>
      <c r="I65" s="1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customHeight="1">
      <c r="A66" s="31">
        <v>15</v>
      </c>
      <c r="B66" s="14" t="s">
        <v>46</v>
      </c>
      <c r="C66" s="16" t="s">
        <v>106</v>
      </c>
      <c r="D66" s="14" t="s">
        <v>66</v>
      </c>
      <c r="E66" s="19">
        <v>10</v>
      </c>
      <c r="F66" s="13">
        <v>10</v>
      </c>
      <c r="G66" s="13">
        <v>222.4</v>
      </c>
      <c r="H66" s="13">
        <f t="shared" ref="H66:H79" si="7">SUM(F66*G66/1000)</f>
        <v>2.2240000000000002</v>
      </c>
      <c r="I66" s="13">
        <f>G66</f>
        <v>222.4</v>
      </c>
    </row>
    <row r="67" spans="1:21" ht="15.75" hidden="1" customHeight="1">
      <c r="A67" s="31"/>
      <c r="B67" s="14" t="s">
        <v>47</v>
      </c>
      <c r="C67" s="16" t="s">
        <v>106</v>
      </c>
      <c r="D67" s="14" t="s">
        <v>66</v>
      </c>
      <c r="E67" s="19">
        <v>5</v>
      </c>
      <c r="F67" s="13">
        <v>5</v>
      </c>
      <c r="G67" s="13">
        <v>76.25</v>
      </c>
      <c r="H67" s="13">
        <f t="shared" si="7"/>
        <v>0.38124999999999998</v>
      </c>
      <c r="I67" s="13">
        <v>0</v>
      </c>
    </row>
    <row r="68" spans="1:21" ht="15.75" hidden="1" customHeight="1">
      <c r="A68" s="31"/>
      <c r="B68" s="14" t="s">
        <v>48</v>
      </c>
      <c r="C68" s="16" t="s">
        <v>108</v>
      </c>
      <c r="D68" s="14" t="s">
        <v>53</v>
      </c>
      <c r="E68" s="19">
        <v>19138</v>
      </c>
      <c r="F68" s="13">
        <f>SUM(E68/100)</f>
        <v>191.38</v>
      </c>
      <c r="G68" s="13">
        <v>212.15</v>
      </c>
      <c r="H68" s="13">
        <f t="shared" si="7"/>
        <v>40.601267</v>
      </c>
      <c r="I68" s="13">
        <f>F68*G68</f>
        <v>40601.267</v>
      </c>
    </row>
    <row r="69" spans="1:21" ht="15.75" hidden="1" customHeight="1">
      <c r="A69" s="31"/>
      <c r="B69" s="14" t="s">
        <v>49</v>
      </c>
      <c r="C69" s="16" t="s">
        <v>109</v>
      </c>
      <c r="D69" s="14"/>
      <c r="E69" s="19">
        <v>19138</v>
      </c>
      <c r="F69" s="13">
        <f>SUM(E69/1000)</f>
        <v>19.138000000000002</v>
      </c>
      <c r="G69" s="13">
        <v>165.21</v>
      </c>
      <c r="H69" s="13">
        <f t="shared" si="7"/>
        <v>3.1617889800000003</v>
      </c>
      <c r="I69" s="13">
        <f t="shared" ref="I69:I73" si="8">F69*G69</f>
        <v>3161.7889800000003</v>
      </c>
    </row>
    <row r="70" spans="1:21" ht="15.75" hidden="1" customHeight="1">
      <c r="A70" s="31"/>
      <c r="B70" s="14" t="s">
        <v>50</v>
      </c>
      <c r="C70" s="16" t="s">
        <v>76</v>
      </c>
      <c r="D70" s="14" t="s">
        <v>53</v>
      </c>
      <c r="E70" s="19">
        <v>2730</v>
      </c>
      <c r="F70" s="13">
        <f>SUM(E70/100)</f>
        <v>27.3</v>
      </c>
      <c r="G70" s="13">
        <v>2074.63</v>
      </c>
      <c r="H70" s="13">
        <f t="shared" si="7"/>
        <v>56.637399000000002</v>
      </c>
      <c r="I70" s="13">
        <f t="shared" si="8"/>
        <v>56637.399000000005</v>
      </c>
    </row>
    <row r="71" spans="1:21" ht="15.75" hidden="1" customHeight="1">
      <c r="A71" s="31"/>
      <c r="B71" s="67" t="s">
        <v>110</v>
      </c>
      <c r="C71" s="16" t="s">
        <v>33</v>
      </c>
      <c r="D71" s="14"/>
      <c r="E71" s="19">
        <v>13</v>
      </c>
      <c r="F71" s="13">
        <f>SUM(E71)</f>
        <v>13</v>
      </c>
      <c r="G71" s="13">
        <v>45.32</v>
      </c>
      <c r="H71" s="13">
        <f t="shared" si="7"/>
        <v>0.58916000000000002</v>
      </c>
      <c r="I71" s="13">
        <f t="shared" si="8"/>
        <v>589.16</v>
      </c>
    </row>
    <row r="72" spans="1:21" ht="15.75" hidden="1" customHeight="1">
      <c r="A72" s="31"/>
      <c r="B72" s="67" t="s">
        <v>111</v>
      </c>
      <c r="C72" s="16" t="s">
        <v>33</v>
      </c>
      <c r="D72" s="14"/>
      <c r="E72" s="19">
        <v>13</v>
      </c>
      <c r="F72" s="13">
        <f>SUM(E72)</f>
        <v>13</v>
      </c>
      <c r="G72" s="13">
        <v>42.28</v>
      </c>
      <c r="H72" s="13">
        <f t="shared" si="7"/>
        <v>0.54964000000000002</v>
      </c>
      <c r="I72" s="13">
        <f t="shared" si="8"/>
        <v>549.64</v>
      </c>
    </row>
    <row r="73" spans="1:21" ht="15.75" hidden="1" customHeight="1">
      <c r="A73" s="31"/>
      <c r="B73" s="14" t="s">
        <v>56</v>
      </c>
      <c r="C73" s="16" t="s">
        <v>57</v>
      </c>
      <c r="D73" s="14" t="s">
        <v>53</v>
      </c>
      <c r="E73" s="19">
        <v>8</v>
      </c>
      <c r="F73" s="13">
        <v>8</v>
      </c>
      <c r="G73" s="13">
        <v>49.88</v>
      </c>
      <c r="H73" s="13">
        <f t="shared" si="7"/>
        <v>0.39904000000000001</v>
      </c>
      <c r="I73" s="13">
        <f t="shared" si="8"/>
        <v>399.04</v>
      </c>
    </row>
    <row r="74" spans="1:21" ht="15.75" hidden="1" customHeight="1">
      <c r="A74" s="31"/>
      <c r="B74" s="56" t="s">
        <v>71</v>
      </c>
      <c r="C74" s="16"/>
      <c r="D74" s="14"/>
      <c r="E74" s="19"/>
      <c r="F74" s="13"/>
      <c r="G74" s="13"/>
      <c r="H74" s="13" t="s">
        <v>139</v>
      </c>
      <c r="I74" s="13"/>
    </row>
    <row r="75" spans="1:21" ht="15.75" hidden="1" customHeight="1">
      <c r="A75" s="31">
        <v>22</v>
      </c>
      <c r="B75" s="14" t="s">
        <v>72</v>
      </c>
      <c r="C75" s="16" t="s">
        <v>74</v>
      </c>
      <c r="D75" s="14"/>
      <c r="E75" s="19">
        <v>4</v>
      </c>
      <c r="F75" s="13">
        <v>0.4</v>
      </c>
      <c r="G75" s="13">
        <v>501.62</v>
      </c>
      <c r="H75" s="13">
        <f t="shared" si="7"/>
        <v>0.20064800000000002</v>
      </c>
      <c r="I75" s="13">
        <f>G75*0.6</f>
        <v>300.97199999999998</v>
      </c>
    </row>
    <row r="76" spans="1:21" ht="15.75" hidden="1" customHeight="1">
      <c r="A76" s="31"/>
      <c r="B76" s="14" t="s">
        <v>73</v>
      </c>
      <c r="C76" s="16" t="s">
        <v>31</v>
      </c>
      <c r="D76" s="14"/>
      <c r="E76" s="19">
        <v>1</v>
      </c>
      <c r="F76" s="13">
        <v>1</v>
      </c>
      <c r="G76" s="13">
        <v>852.99</v>
      </c>
      <c r="H76" s="13">
        <f>F76*G76/1000</f>
        <v>0.85299000000000003</v>
      </c>
      <c r="I76" s="13">
        <v>0</v>
      </c>
    </row>
    <row r="77" spans="1:21" ht="15.75" hidden="1" customHeight="1">
      <c r="A77" s="31"/>
      <c r="B77" s="14" t="s">
        <v>113</v>
      </c>
      <c r="C77" s="16" t="s">
        <v>31</v>
      </c>
      <c r="D77" s="14"/>
      <c r="E77" s="19">
        <v>1</v>
      </c>
      <c r="F77" s="13">
        <v>1</v>
      </c>
      <c r="G77" s="13">
        <v>358.51</v>
      </c>
      <c r="H77" s="13">
        <f>G77*F77/1000</f>
        <v>0.35851</v>
      </c>
      <c r="I77" s="13">
        <v>0</v>
      </c>
    </row>
    <row r="78" spans="1:21" ht="15.75" hidden="1" customHeight="1">
      <c r="A78" s="31"/>
      <c r="B78" s="64" t="s">
        <v>75</v>
      </c>
      <c r="C78" s="16"/>
      <c r="D78" s="14"/>
      <c r="E78" s="19"/>
      <c r="F78" s="13"/>
      <c r="G78" s="13" t="s">
        <v>139</v>
      </c>
      <c r="H78" s="13" t="s">
        <v>139</v>
      </c>
      <c r="I78" s="13"/>
    </row>
    <row r="79" spans="1:21" ht="15.75" hidden="1" customHeight="1">
      <c r="A79" s="31"/>
      <c r="B79" s="44" t="s">
        <v>124</v>
      </c>
      <c r="C79" s="16" t="s">
        <v>76</v>
      </c>
      <c r="D79" s="14"/>
      <c r="E79" s="19"/>
      <c r="F79" s="13">
        <v>0.1</v>
      </c>
      <c r="G79" s="13">
        <v>2759.44</v>
      </c>
      <c r="H79" s="13">
        <f t="shared" si="7"/>
        <v>0.27594400000000002</v>
      </c>
      <c r="I79" s="13">
        <v>0</v>
      </c>
    </row>
    <row r="80" spans="1:21" ht="15.75" hidden="1" customHeight="1">
      <c r="A80" s="31"/>
      <c r="B80" s="56" t="s">
        <v>91</v>
      </c>
      <c r="C80" s="70"/>
      <c r="D80" s="70"/>
      <c r="E80" s="70"/>
      <c r="F80" s="70"/>
      <c r="G80" s="65"/>
      <c r="H80" s="65">
        <f>SUM(H59:H79)</f>
        <v>133.26539648000002</v>
      </c>
      <c r="I80" s="65"/>
    </row>
    <row r="81" spans="1:9" ht="15.75" hidden="1" customHeight="1">
      <c r="A81" s="31"/>
      <c r="B81" s="14" t="s">
        <v>112</v>
      </c>
      <c r="C81" s="16"/>
      <c r="D81" s="14"/>
      <c r="E81" s="19"/>
      <c r="F81" s="13">
        <v>1</v>
      </c>
      <c r="G81" s="13">
        <v>13441.4</v>
      </c>
      <c r="H81" s="13">
        <f>G81*F81/1000</f>
        <v>13.4414</v>
      </c>
      <c r="I81" s="13">
        <v>0</v>
      </c>
    </row>
    <row r="82" spans="1:9" ht="15.75" customHeight="1">
      <c r="A82" s="95" t="s">
        <v>137</v>
      </c>
      <c r="B82" s="96"/>
      <c r="C82" s="96"/>
      <c r="D82" s="96"/>
      <c r="E82" s="96"/>
      <c r="F82" s="96"/>
      <c r="G82" s="96"/>
      <c r="H82" s="96"/>
      <c r="I82" s="97"/>
    </row>
    <row r="83" spans="1:9" ht="15.75" customHeight="1">
      <c r="A83" s="31">
        <v>16</v>
      </c>
      <c r="B83" s="14" t="s">
        <v>114</v>
      </c>
      <c r="C83" s="16" t="s">
        <v>54</v>
      </c>
      <c r="D83" s="59" t="s">
        <v>152</v>
      </c>
      <c r="E83" s="13">
        <v>5367.6</v>
      </c>
      <c r="F83" s="13">
        <f>SUM(E83*12)</f>
        <v>64411.200000000004</v>
      </c>
      <c r="G83" s="13">
        <v>2.1</v>
      </c>
      <c r="H83" s="13">
        <f>SUM(F83*G83/1000)</f>
        <v>135.26352000000003</v>
      </c>
      <c r="I83" s="13">
        <f>F83/12*G83</f>
        <v>11271.960000000001</v>
      </c>
    </row>
    <row r="84" spans="1:9" ht="31.5" customHeight="1">
      <c r="A84" s="31">
        <v>17</v>
      </c>
      <c r="B84" s="14" t="s">
        <v>77</v>
      </c>
      <c r="C84" s="16"/>
      <c r="D84" s="59" t="s">
        <v>152</v>
      </c>
      <c r="E84" s="19">
        <f>E83</f>
        <v>5367.6</v>
      </c>
      <c r="F84" s="13">
        <f>E84*12</f>
        <v>64411.200000000004</v>
      </c>
      <c r="G84" s="13">
        <v>1.63</v>
      </c>
      <c r="H84" s="13">
        <f>F84*G84/1000</f>
        <v>104.99025599999999</v>
      </c>
      <c r="I84" s="13">
        <f>F84/12*G84</f>
        <v>8749.1880000000001</v>
      </c>
    </row>
    <row r="85" spans="1:9" ht="15.75" customHeight="1">
      <c r="A85" s="31"/>
      <c r="B85" s="36" t="s">
        <v>79</v>
      </c>
      <c r="C85" s="64"/>
      <c r="D85" s="68"/>
      <c r="E85" s="65"/>
      <c r="F85" s="65"/>
      <c r="G85" s="65"/>
      <c r="H85" s="65">
        <f>H84</f>
        <v>104.99025599999999</v>
      </c>
      <c r="I85" s="65">
        <f>I16+I17+I18+I20+I21+I24+I27+I28+I31+I32+I34+I35+I56+I62+I66+I83+I84</f>
        <v>59591.913984222228</v>
      </c>
    </row>
    <row r="86" spans="1:9" ht="15.75" customHeight="1">
      <c r="A86" s="106" t="s">
        <v>59</v>
      </c>
      <c r="B86" s="107"/>
      <c r="C86" s="107"/>
      <c r="D86" s="107"/>
      <c r="E86" s="107"/>
      <c r="F86" s="107"/>
      <c r="G86" s="107"/>
      <c r="H86" s="107"/>
      <c r="I86" s="108"/>
    </row>
    <row r="87" spans="1:9" ht="15.75" customHeight="1">
      <c r="A87" s="31">
        <v>18</v>
      </c>
      <c r="B87" s="47" t="s">
        <v>122</v>
      </c>
      <c r="C87" s="63" t="s">
        <v>106</v>
      </c>
      <c r="D87" s="44"/>
      <c r="E87" s="13"/>
      <c r="F87" s="13">
        <v>488</v>
      </c>
      <c r="G87" s="13">
        <v>53.42</v>
      </c>
      <c r="H87" s="69">
        <f t="shared" ref="H87" si="9">G87*F87/1000</f>
        <v>26.068960000000001</v>
      </c>
      <c r="I87" s="13">
        <f>G87*61</f>
        <v>3258.62</v>
      </c>
    </row>
    <row r="88" spans="1:9" ht="15.75" customHeight="1">
      <c r="A88" s="31">
        <v>19</v>
      </c>
      <c r="B88" s="47" t="s">
        <v>80</v>
      </c>
      <c r="C88" s="63" t="s">
        <v>106</v>
      </c>
      <c r="D88" s="83"/>
      <c r="E88" s="35"/>
      <c r="F88" s="35">
        <v>3</v>
      </c>
      <c r="G88" s="35">
        <v>189.88</v>
      </c>
      <c r="H88" s="84">
        <f>G88*F88/1000</f>
        <v>0.56964000000000004</v>
      </c>
      <c r="I88" s="13">
        <f>G88</f>
        <v>189.88</v>
      </c>
    </row>
    <row r="89" spans="1:9" ht="15.75" customHeight="1">
      <c r="A89" s="31">
        <v>20</v>
      </c>
      <c r="B89" s="50" t="s">
        <v>186</v>
      </c>
      <c r="C89" s="51" t="s">
        <v>131</v>
      </c>
      <c r="D89" s="83"/>
      <c r="E89" s="35"/>
      <c r="F89" s="35">
        <f>30/3</f>
        <v>10</v>
      </c>
      <c r="G89" s="35">
        <v>1120.8900000000001</v>
      </c>
      <c r="H89" s="84">
        <f>G89*F89/1000</f>
        <v>11.208900000000002</v>
      </c>
      <c r="I89" s="13">
        <f>G89*(10/3)</f>
        <v>3736.3000000000006</v>
      </c>
    </row>
    <row r="90" spans="1:9" ht="15.75" customHeight="1">
      <c r="A90" s="31"/>
      <c r="B90" s="42" t="s">
        <v>51</v>
      </c>
      <c r="C90" s="38"/>
      <c r="D90" s="45"/>
      <c r="E90" s="38">
        <v>1</v>
      </c>
      <c r="F90" s="38"/>
      <c r="G90" s="38"/>
      <c r="H90" s="38"/>
      <c r="I90" s="33">
        <f>SUM(I87:I89)</f>
        <v>7184.8000000000011</v>
      </c>
    </row>
    <row r="91" spans="1:9" ht="15.75" customHeight="1">
      <c r="A91" s="31"/>
      <c r="B91" s="44" t="s">
        <v>78</v>
      </c>
      <c r="C91" s="15"/>
      <c r="D91" s="15"/>
      <c r="E91" s="39"/>
      <c r="F91" s="39"/>
      <c r="G91" s="40"/>
      <c r="H91" s="40"/>
      <c r="I91" s="18">
        <v>0</v>
      </c>
    </row>
    <row r="92" spans="1:9" ht="15.75" customHeight="1">
      <c r="A92" s="46"/>
      <c r="B92" s="43" t="s">
        <v>161</v>
      </c>
      <c r="C92" s="34"/>
      <c r="D92" s="34"/>
      <c r="E92" s="34"/>
      <c r="F92" s="34"/>
      <c r="G92" s="34"/>
      <c r="H92" s="34"/>
      <c r="I92" s="41">
        <f>I85+I90</f>
        <v>66776.713984222224</v>
      </c>
    </row>
    <row r="93" spans="1:9" ht="15.75" customHeight="1">
      <c r="A93" s="98" t="s">
        <v>190</v>
      </c>
      <c r="B93" s="98"/>
      <c r="C93" s="98"/>
      <c r="D93" s="98"/>
      <c r="E93" s="98"/>
      <c r="F93" s="98"/>
      <c r="G93" s="98"/>
      <c r="H93" s="98"/>
      <c r="I93" s="98"/>
    </row>
    <row r="94" spans="1:9" ht="15.75">
      <c r="A94" s="58"/>
      <c r="B94" s="99" t="s">
        <v>191</v>
      </c>
      <c r="C94" s="99"/>
      <c r="D94" s="99"/>
      <c r="E94" s="99"/>
      <c r="F94" s="99"/>
      <c r="G94" s="99"/>
      <c r="H94" s="62"/>
      <c r="I94" s="3"/>
    </row>
    <row r="95" spans="1:9" ht="15.75" customHeight="1">
      <c r="A95" s="54"/>
      <c r="B95" s="100" t="s">
        <v>6</v>
      </c>
      <c r="C95" s="100"/>
      <c r="D95" s="100"/>
      <c r="E95" s="100"/>
      <c r="F95" s="100"/>
      <c r="G95" s="100"/>
      <c r="H95" s="26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01" t="s">
        <v>7</v>
      </c>
      <c r="B97" s="101"/>
      <c r="C97" s="101"/>
      <c r="D97" s="101"/>
      <c r="E97" s="101"/>
      <c r="F97" s="101"/>
      <c r="G97" s="101"/>
      <c r="H97" s="101"/>
      <c r="I97" s="101"/>
    </row>
    <row r="98" spans="1:9" ht="15.75" customHeight="1">
      <c r="A98" s="101" t="s">
        <v>8</v>
      </c>
      <c r="B98" s="101"/>
      <c r="C98" s="101"/>
      <c r="D98" s="101"/>
      <c r="E98" s="101"/>
      <c r="F98" s="101"/>
      <c r="G98" s="101"/>
      <c r="H98" s="101"/>
      <c r="I98" s="101"/>
    </row>
    <row r="99" spans="1:9" ht="15.75">
      <c r="A99" s="102" t="s">
        <v>60</v>
      </c>
      <c r="B99" s="102"/>
      <c r="C99" s="102"/>
      <c r="D99" s="102"/>
      <c r="E99" s="102"/>
      <c r="F99" s="102"/>
      <c r="G99" s="102"/>
      <c r="H99" s="102"/>
      <c r="I99" s="102"/>
    </row>
    <row r="100" spans="1:9" ht="15.75" customHeight="1">
      <c r="A100" s="11"/>
    </row>
    <row r="101" spans="1:9" ht="15.75" customHeight="1">
      <c r="A101" s="103" t="s">
        <v>9</v>
      </c>
      <c r="B101" s="103"/>
      <c r="C101" s="103"/>
      <c r="D101" s="103"/>
      <c r="E101" s="103"/>
      <c r="F101" s="103"/>
      <c r="G101" s="103"/>
      <c r="H101" s="103"/>
      <c r="I101" s="103"/>
    </row>
    <row r="102" spans="1:9" ht="15.75" customHeight="1">
      <c r="A102" s="4"/>
    </row>
    <row r="103" spans="1:9" ht="15.75">
      <c r="B103" s="55" t="s">
        <v>10</v>
      </c>
      <c r="C103" s="104" t="s">
        <v>132</v>
      </c>
      <c r="D103" s="104"/>
      <c r="E103" s="104"/>
      <c r="F103" s="60"/>
      <c r="I103" s="53"/>
    </row>
    <row r="104" spans="1:9" ht="15.75" customHeight="1">
      <c r="A104" s="54"/>
      <c r="C104" s="100" t="s">
        <v>11</v>
      </c>
      <c r="D104" s="100"/>
      <c r="E104" s="100"/>
      <c r="F104" s="26"/>
      <c r="I104" s="52" t="s">
        <v>12</v>
      </c>
    </row>
    <row r="105" spans="1:9" ht="15.75" customHeight="1">
      <c r="A105" s="27"/>
      <c r="C105" s="12"/>
      <c r="D105" s="12"/>
      <c r="G105" s="12"/>
      <c r="H105" s="12"/>
    </row>
    <row r="106" spans="1:9" ht="15.75" customHeight="1">
      <c r="B106" s="55" t="s">
        <v>13</v>
      </c>
      <c r="C106" s="105"/>
      <c r="D106" s="105"/>
      <c r="E106" s="105"/>
      <c r="F106" s="61"/>
      <c r="I106" s="53"/>
    </row>
    <row r="107" spans="1:9" ht="15.75" customHeight="1">
      <c r="A107" s="54"/>
      <c r="C107" s="94" t="s">
        <v>11</v>
      </c>
      <c r="D107" s="94"/>
      <c r="E107" s="94"/>
      <c r="F107" s="54"/>
      <c r="I107" s="52" t="s">
        <v>12</v>
      </c>
    </row>
    <row r="108" spans="1:9" ht="15.75">
      <c r="A108" s="4" t="s">
        <v>14</v>
      </c>
    </row>
    <row r="109" spans="1:9" ht="15.75" customHeight="1">
      <c r="A109" s="92" t="s">
        <v>15</v>
      </c>
      <c r="B109" s="92"/>
      <c r="C109" s="92"/>
      <c r="D109" s="92"/>
      <c r="E109" s="92"/>
      <c r="F109" s="92"/>
      <c r="G109" s="92"/>
      <c r="H109" s="92"/>
      <c r="I109" s="92"/>
    </row>
    <row r="110" spans="1:9" ht="45" customHeight="1">
      <c r="A110" s="93" t="s">
        <v>16</v>
      </c>
      <c r="B110" s="93"/>
      <c r="C110" s="93"/>
      <c r="D110" s="93"/>
      <c r="E110" s="93"/>
      <c r="F110" s="93"/>
      <c r="G110" s="93"/>
      <c r="H110" s="93"/>
      <c r="I110" s="93"/>
    </row>
    <row r="111" spans="1:9" ht="30" customHeight="1">
      <c r="A111" s="93" t="s">
        <v>17</v>
      </c>
      <c r="B111" s="93"/>
      <c r="C111" s="93"/>
      <c r="D111" s="93"/>
      <c r="E111" s="93"/>
      <c r="F111" s="93"/>
      <c r="G111" s="93"/>
      <c r="H111" s="93"/>
      <c r="I111" s="93"/>
    </row>
    <row r="112" spans="1:9" ht="30" customHeight="1">
      <c r="A112" s="93" t="s">
        <v>21</v>
      </c>
      <c r="B112" s="93"/>
      <c r="C112" s="93"/>
      <c r="D112" s="93"/>
      <c r="E112" s="93"/>
      <c r="F112" s="93"/>
      <c r="G112" s="93"/>
      <c r="H112" s="93"/>
      <c r="I112" s="93"/>
    </row>
    <row r="113" spans="1:9" ht="15" customHeight="1">
      <c r="A113" s="93" t="s">
        <v>20</v>
      </c>
      <c r="B113" s="93"/>
      <c r="C113" s="93"/>
      <c r="D113" s="93"/>
      <c r="E113" s="93"/>
      <c r="F113" s="93"/>
      <c r="G113" s="93"/>
      <c r="H113" s="93"/>
      <c r="I113" s="93"/>
    </row>
  </sheetData>
  <autoFilter ref="I12:I59"/>
  <mergeCells count="29">
    <mergeCell ref="R64:U64"/>
    <mergeCell ref="A82:I82"/>
    <mergeCell ref="A3:I3"/>
    <mergeCell ref="A4:I4"/>
    <mergeCell ref="A5:I5"/>
    <mergeCell ref="A8:I8"/>
    <mergeCell ref="A10:I10"/>
    <mergeCell ref="A14:I14"/>
    <mergeCell ref="A99:I99"/>
    <mergeCell ref="A15:I15"/>
    <mergeCell ref="A29:I29"/>
    <mergeCell ref="A46:I46"/>
    <mergeCell ref="A57:I57"/>
    <mergeCell ref="A93:I93"/>
    <mergeCell ref="B94:G94"/>
    <mergeCell ref="B95:G95"/>
    <mergeCell ref="A97:I97"/>
    <mergeCell ref="A98:I98"/>
    <mergeCell ref="A86:I86"/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83</v>
      </c>
      <c r="I1" s="28"/>
      <c r="J1" s="1"/>
      <c r="K1" s="1"/>
      <c r="L1" s="1"/>
      <c r="M1" s="1"/>
    </row>
    <row r="2" spans="1:13" ht="15.75">
      <c r="A2" s="30" t="s">
        <v>61</v>
      </c>
      <c r="J2" s="2"/>
      <c r="K2" s="2"/>
      <c r="L2" s="2"/>
      <c r="M2" s="2"/>
    </row>
    <row r="3" spans="1:13" ht="15.75" customHeight="1">
      <c r="A3" s="114" t="s">
        <v>150</v>
      </c>
      <c r="B3" s="114"/>
      <c r="C3" s="114"/>
      <c r="D3" s="114"/>
      <c r="E3" s="114"/>
      <c r="F3" s="114"/>
      <c r="G3" s="114"/>
      <c r="H3" s="114"/>
      <c r="I3" s="114"/>
      <c r="J3" s="3"/>
      <c r="K3" s="3"/>
      <c r="L3" s="3"/>
    </row>
    <row r="4" spans="1:13" ht="31.5" customHeight="1">
      <c r="A4" s="115" t="s">
        <v>212</v>
      </c>
      <c r="B4" s="115"/>
      <c r="C4" s="115"/>
      <c r="D4" s="115"/>
      <c r="E4" s="115"/>
      <c r="F4" s="115"/>
      <c r="G4" s="115"/>
      <c r="H4" s="115"/>
      <c r="I4" s="115"/>
    </row>
    <row r="5" spans="1:13" ht="15.75">
      <c r="A5" s="114" t="s">
        <v>192</v>
      </c>
      <c r="B5" s="116"/>
      <c r="C5" s="116"/>
      <c r="D5" s="116"/>
      <c r="E5" s="116"/>
      <c r="F5" s="116"/>
      <c r="G5" s="116"/>
      <c r="H5" s="116"/>
      <c r="I5" s="116"/>
      <c r="J5" s="2"/>
      <c r="K5" s="2"/>
      <c r="L5" s="2"/>
      <c r="M5" s="2"/>
    </row>
    <row r="6" spans="1:13" ht="15.75">
      <c r="A6" s="2"/>
      <c r="B6" s="57"/>
      <c r="C6" s="57"/>
      <c r="D6" s="57"/>
      <c r="E6" s="57"/>
      <c r="F6" s="57"/>
      <c r="G6" s="57"/>
      <c r="H6" s="57"/>
      <c r="I6" s="32">
        <v>43008</v>
      </c>
      <c r="J6" s="2"/>
      <c r="K6" s="2"/>
      <c r="L6" s="2"/>
      <c r="M6" s="2"/>
    </row>
    <row r="7" spans="1:13" ht="15.75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17" t="s">
        <v>154</v>
      </c>
      <c r="B8" s="117"/>
      <c r="C8" s="117"/>
      <c r="D8" s="117"/>
      <c r="E8" s="117"/>
      <c r="F8" s="117"/>
      <c r="G8" s="117"/>
      <c r="H8" s="117"/>
      <c r="I8" s="11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18" t="s">
        <v>155</v>
      </c>
      <c r="B10" s="118"/>
      <c r="C10" s="118"/>
      <c r="D10" s="118"/>
      <c r="E10" s="118"/>
      <c r="F10" s="118"/>
      <c r="G10" s="118"/>
      <c r="H10" s="118"/>
      <c r="I10" s="118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13" t="s">
        <v>58</v>
      </c>
      <c r="B14" s="113"/>
      <c r="C14" s="113"/>
      <c r="D14" s="113"/>
      <c r="E14" s="113"/>
      <c r="F14" s="113"/>
      <c r="G14" s="113"/>
      <c r="H14" s="113"/>
      <c r="I14" s="113"/>
      <c r="J14" s="8"/>
      <c r="K14" s="8"/>
      <c r="L14" s="8"/>
      <c r="M14" s="8"/>
    </row>
    <row r="15" spans="1:13" ht="15.75" customHeight="1">
      <c r="A15" s="109" t="s">
        <v>4</v>
      </c>
      <c r="B15" s="109"/>
      <c r="C15" s="109"/>
      <c r="D15" s="109"/>
      <c r="E15" s="109"/>
      <c r="F15" s="109"/>
      <c r="G15" s="109"/>
      <c r="H15" s="109"/>
      <c r="I15" s="109"/>
      <c r="J15" s="8"/>
      <c r="K15" s="8"/>
      <c r="L15" s="8"/>
      <c r="M15" s="8"/>
    </row>
    <row r="16" spans="1:13" ht="15.75" customHeight="1">
      <c r="A16" s="31">
        <v>1</v>
      </c>
      <c r="B16" s="14" t="s">
        <v>84</v>
      </c>
      <c r="C16" s="16" t="s">
        <v>85</v>
      </c>
      <c r="D16" s="14" t="s">
        <v>157</v>
      </c>
      <c r="E16" s="19">
        <v>62.28</v>
      </c>
      <c r="F16" s="13">
        <f>SUM(E16*156/100)</f>
        <v>97.156800000000004</v>
      </c>
      <c r="G16" s="13">
        <v>175.38</v>
      </c>
      <c r="H16" s="13">
        <f t="shared" ref="H16:H25" si="0">SUM(F16*G16/1000)</f>
        <v>17.039359584000003</v>
      </c>
      <c r="I16" s="13">
        <f>F16/12*G16</f>
        <v>1419.9466320000001</v>
      </c>
      <c r="J16" s="23"/>
      <c r="K16" s="8"/>
      <c r="L16" s="8"/>
      <c r="M16" s="8"/>
    </row>
    <row r="17" spans="1:13" ht="15.75" customHeight="1">
      <c r="A17" s="31">
        <v>2</v>
      </c>
      <c r="B17" s="14" t="s">
        <v>115</v>
      </c>
      <c r="C17" s="16" t="s">
        <v>85</v>
      </c>
      <c r="D17" s="14" t="s">
        <v>158</v>
      </c>
      <c r="E17" s="19">
        <v>311.42</v>
      </c>
      <c r="F17" s="13">
        <f>SUM(E17*104/100)</f>
        <v>323.8768</v>
      </c>
      <c r="G17" s="13">
        <v>175.38</v>
      </c>
      <c r="H17" s="13">
        <f t="shared" si="0"/>
        <v>56.801513183999994</v>
      </c>
      <c r="I17" s="13">
        <f>F17/12*G17</f>
        <v>4733.4594319999997</v>
      </c>
      <c r="J17" s="24"/>
      <c r="K17" s="8"/>
      <c r="L17" s="8"/>
      <c r="M17" s="8"/>
    </row>
    <row r="18" spans="1:13" ht="15.75" customHeight="1">
      <c r="A18" s="31">
        <v>3</v>
      </c>
      <c r="B18" s="14" t="s">
        <v>116</v>
      </c>
      <c r="C18" s="16" t="s">
        <v>85</v>
      </c>
      <c r="D18" s="14" t="s">
        <v>159</v>
      </c>
      <c r="E18" s="19">
        <v>373.7</v>
      </c>
      <c r="F18" s="13">
        <f>SUM(E18*24/100)</f>
        <v>89.687999999999988</v>
      </c>
      <c r="G18" s="13">
        <v>504.5</v>
      </c>
      <c r="H18" s="13">
        <f t="shared" si="0"/>
        <v>45.247595999999987</v>
      </c>
      <c r="I18" s="13">
        <f>F18/12*G18</f>
        <v>3770.6329999999998</v>
      </c>
      <c r="J18" s="24"/>
      <c r="K18" s="8"/>
      <c r="L18" s="8"/>
      <c r="M18" s="8"/>
    </row>
    <row r="19" spans="1:13" ht="15.75" hidden="1" customHeight="1">
      <c r="A19" s="31"/>
      <c r="B19" s="14" t="s">
        <v>92</v>
      </c>
      <c r="C19" s="16" t="s">
        <v>93</v>
      </c>
      <c r="D19" s="14" t="s">
        <v>94</v>
      </c>
      <c r="E19" s="19">
        <v>38.4</v>
      </c>
      <c r="F19" s="13">
        <f>SUM(E19/10)</f>
        <v>3.84</v>
      </c>
      <c r="G19" s="13">
        <v>170.16</v>
      </c>
      <c r="H19" s="13">
        <f t="shared" si="0"/>
        <v>0.65341439999999995</v>
      </c>
      <c r="I19" s="13">
        <v>0</v>
      </c>
      <c r="J19" s="24"/>
      <c r="K19" s="8"/>
      <c r="L19" s="8"/>
      <c r="M19" s="8"/>
    </row>
    <row r="20" spans="1:13" ht="15.75" customHeight="1">
      <c r="A20" s="31">
        <v>4</v>
      </c>
      <c r="B20" s="14" t="s">
        <v>95</v>
      </c>
      <c r="C20" s="16" t="s">
        <v>85</v>
      </c>
      <c r="D20" s="14" t="s">
        <v>117</v>
      </c>
      <c r="E20" s="19">
        <v>35.04</v>
      </c>
      <c r="F20" s="13">
        <f>SUM(E20*12/100)</f>
        <v>4.2048000000000005</v>
      </c>
      <c r="G20" s="13">
        <v>217.88</v>
      </c>
      <c r="H20" s="13">
        <f t="shared" si="0"/>
        <v>0.91614182399999999</v>
      </c>
      <c r="I20" s="13">
        <f>F20/12*G20</f>
        <v>76.345152000000013</v>
      </c>
      <c r="J20" s="24"/>
      <c r="K20" s="8"/>
      <c r="L20" s="8"/>
      <c r="M20" s="8"/>
    </row>
    <row r="21" spans="1:13" ht="15.75" customHeight="1">
      <c r="A21" s="31">
        <v>5</v>
      </c>
      <c r="B21" s="14" t="s">
        <v>96</v>
      </c>
      <c r="C21" s="16" t="s">
        <v>85</v>
      </c>
      <c r="D21" s="14" t="s">
        <v>30</v>
      </c>
      <c r="E21" s="19">
        <v>9.08</v>
      </c>
      <c r="F21" s="13">
        <f>SUM(E21*12/100)</f>
        <v>1.0896000000000001</v>
      </c>
      <c r="G21" s="13">
        <v>216.12</v>
      </c>
      <c r="H21" s="13">
        <f t="shared" si="0"/>
        <v>0.23548435200000004</v>
      </c>
      <c r="I21" s="13">
        <f>F21/12*G21</f>
        <v>19.623696000000002</v>
      </c>
      <c r="J21" s="24"/>
      <c r="K21" s="8"/>
      <c r="L21" s="8"/>
      <c r="M21" s="8"/>
    </row>
    <row r="22" spans="1:13" ht="15.75" hidden="1" customHeight="1">
      <c r="A22" s="31"/>
      <c r="B22" s="14" t="s">
        <v>97</v>
      </c>
      <c r="C22" s="16" t="s">
        <v>52</v>
      </c>
      <c r="D22" s="14" t="s">
        <v>94</v>
      </c>
      <c r="E22" s="19">
        <v>629</v>
      </c>
      <c r="F22" s="13">
        <f>SUM(E22/100)</f>
        <v>6.29</v>
      </c>
      <c r="G22" s="13">
        <v>269.26</v>
      </c>
      <c r="H22" s="13">
        <f t="shared" si="0"/>
        <v>1.6936453999999999</v>
      </c>
      <c r="I22" s="13">
        <v>0</v>
      </c>
      <c r="J22" s="24"/>
      <c r="K22" s="8"/>
      <c r="L22" s="8"/>
      <c r="M22" s="8"/>
    </row>
    <row r="23" spans="1:13" ht="15.75" hidden="1" customHeight="1">
      <c r="A23" s="31"/>
      <c r="B23" s="14" t="s">
        <v>98</v>
      </c>
      <c r="C23" s="16" t="s">
        <v>52</v>
      </c>
      <c r="D23" s="14" t="s">
        <v>94</v>
      </c>
      <c r="E23" s="19">
        <v>58</v>
      </c>
      <c r="F23" s="13">
        <f>SUM(E23/100)</f>
        <v>0.57999999999999996</v>
      </c>
      <c r="G23" s="13">
        <v>44.29</v>
      </c>
      <c r="H23" s="13">
        <f t="shared" si="0"/>
        <v>2.5688199999999998E-2</v>
      </c>
      <c r="I23" s="13">
        <v>0</v>
      </c>
      <c r="J23" s="24"/>
      <c r="K23" s="8"/>
      <c r="L23" s="8"/>
      <c r="M23" s="8"/>
    </row>
    <row r="24" spans="1:13" ht="15.75" customHeight="1">
      <c r="A24" s="31">
        <v>6</v>
      </c>
      <c r="B24" s="14" t="s">
        <v>99</v>
      </c>
      <c r="C24" s="16" t="s">
        <v>52</v>
      </c>
      <c r="D24" s="14" t="s">
        <v>30</v>
      </c>
      <c r="E24" s="19">
        <v>24</v>
      </c>
      <c r="F24" s="13">
        <f>E24*12/100</f>
        <v>2.88</v>
      </c>
      <c r="G24" s="13">
        <v>389.72</v>
      </c>
      <c r="H24" s="13">
        <f t="shared" si="0"/>
        <v>1.1223936000000001</v>
      </c>
      <c r="I24" s="13">
        <f>F24/12*G24</f>
        <v>93.532800000000009</v>
      </c>
      <c r="J24" s="24"/>
      <c r="K24" s="8"/>
      <c r="L24" s="8"/>
      <c r="M24" s="8"/>
    </row>
    <row r="25" spans="1:13" ht="15.75" hidden="1" customHeight="1">
      <c r="A25" s="31"/>
      <c r="B25" s="14" t="s">
        <v>100</v>
      </c>
      <c r="C25" s="16" t="s">
        <v>52</v>
      </c>
      <c r="D25" s="14" t="s">
        <v>53</v>
      </c>
      <c r="E25" s="19">
        <v>17</v>
      </c>
      <c r="F25" s="13">
        <f>SUM(E25/100)</f>
        <v>0.17</v>
      </c>
      <c r="G25" s="13">
        <v>520.79999999999995</v>
      </c>
      <c r="H25" s="13">
        <f t="shared" si="0"/>
        <v>8.8536000000000004E-2</v>
      </c>
      <c r="I25" s="13">
        <v>0</v>
      </c>
      <c r="J25" s="24"/>
      <c r="K25" s="8"/>
      <c r="L25" s="8"/>
      <c r="M25" s="8"/>
    </row>
    <row r="26" spans="1:13" ht="15.75" hidden="1" customHeight="1">
      <c r="A26" s="31"/>
      <c r="B26" s="14" t="s">
        <v>123</v>
      </c>
      <c r="C26" s="16" t="s">
        <v>52</v>
      </c>
      <c r="D26" s="14" t="s">
        <v>53</v>
      </c>
      <c r="E26" s="19">
        <v>24</v>
      </c>
      <c r="F26" s="13">
        <v>0.24</v>
      </c>
      <c r="G26" s="13">
        <v>216.12</v>
      </c>
      <c r="H26" s="13">
        <f>G26*F26/1000</f>
        <v>5.18688E-2</v>
      </c>
      <c r="I26" s="13">
        <v>0</v>
      </c>
      <c r="J26" s="24"/>
      <c r="K26" s="8"/>
      <c r="L26" s="8"/>
      <c r="M26" s="8"/>
    </row>
    <row r="27" spans="1:13" ht="15.75" customHeight="1">
      <c r="A27" s="31">
        <v>7</v>
      </c>
      <c r="B27" s="14" t="s">
        <v>63</v>
      </c>
      <c r="C27" s="16" t="s">
        <v>33</v>
      </c>
      <c r="D27" s="14" t="s">
        <v>160</v>
      </c>
      <c r="E27" s="19">
        <v>0.1</v>
      </c>
      <c r="F27" s="13">
        <f>SUM(E27*365)</f>
        <v>36.5</v>
      </c>
      <c r="G27" s="13">
        <v>147.03</v>
      </c>
      <c r="H27" s="13">
        <f>SUM(F27*G27/1000)</f>
        <v>5.3665950000000002</v>
      </c>
      <c r="I27" s="13">
        <f>F27/12*G27</f>
        <v>447.21625</v>
      </c>
      <c r="J27" s="25"/>
    </row>
    <row r="28" spans="1:13" ht="15.75" customHeight="1">
      <c r="A28" s="31">
        <v>8</v>
      </c>
      <c r="B28" s="44" t="s">
        <v>23</v>
      </c>
      <c r="C28" s="16" t="s">
        <v>24</v>
      </c>
      <c r="D28" s="14" t="s">
        <v>160</v>
      </c>
      <c r="E28" s="19">
        <v>5367.6</v>
      </c>
      <c r="F28" s="13">
        <f>SUM(E28*12)</f>
        <v>64411.200000000004</v>
      </c>
      <c r="G28" s="13">
        <v>3.18</v>
      </c>
      <c r="H28" s="13">
        <f>SUM(F28*G28/1000)</f>
        <v>204.82761600000003</v>
      </c>
      <c r="I28" s="13">
        <f>F28/12*G28</f>
        <v>17068.968000000001</v>
      </c>
      <c r="J28" s="25"/>
    </row>
    <row r="29" spans="1:13" ht="15.75" customHeight="1">
      <c r="A29" s="109" t="s">
        <v>82</v>
      </c>
      <c r="B29" s="109"/>
      <c r="C29" s="109"/>
      <c r="D29" s="109"/>
      <c r="E29" s="109"/>
      <c r="F29" s="109"/>
      <c r="G29" s="109"/>
      <c r="H29" s="109"/>
      <c r="I29" s="109"/>
      <c r="J29" s="24"/>
      <c r="K29" s="8"/>
      <c r="L29" s="8"/>
      <c r="M29" s="8"/>
    </row>
    <row r="30" spans="1:13" ht="15.75" customHeight="1">
      <c r="A30" s="31"/>
      <c r="B30" s="56" t="s">
        <v>28</v>
      </c>
      <c r="C30" s="16"/>
      <c r="D30" s="14"/>
      <c r="E30" s="19"/>
      <c r="F30" s="13"/>
      <c r="G30" s="13"/>
      <c r="H30" s="13"/>
      <c r="I30" s="13"/>
      <c r="J30" s="24"/>
      <c r="K30" s="8"/>
      <c r="L30" s="8"/>
      <c r="M30" s="8"/>
    </row>
    <row r="31" spans="1:13" ht="15.75" customHeight="1">
      <c r="A31" s="31">
        <v>9</v>
      </c>
      <c r="B31" s="14" t="s">
        <v>104</v>
      </c>
      <c r="C31" s="16" t="s">
        <v>87</v>
      </c>
      <c r="D31" s="14" t="s">
        <v>101</v>
      </c>
      <c r="E31" s="13">
        <v>748</v>
      </c>
      <c r="F31" s="13">
        <f>SUM(E31*52/1000)</f>
        <v>38.896000000000001</v>
      </c>
      <c r="G31" s="13">
        <v>155.88999999999999</v>
      </c>
      <c r="H31" s="13">
        <f t="shared" ref="H31:H38" si="1">SUM(F31*G31/1000)</f>
        <v>6.063497439999999</v>
      </c>
      <c r="I31" s="13">
        <f t="shared" ref="I31:I35" si="2">F31/6*G31</f>
        <v>1010.5829066666666</v>
      </c>
      <c r="J31" s="24"/>
      <c r="K31" s="8"/>
      <c r="L31" s="8"/>
      <c r="M31" s="8"/>
    </row>
    <row r="32" spans="1:13" ht="31.5" customHeight="1">
      <c r="A32" s="31">
        <v>10</v>
      </c>
      <c r="B32" s="14" t="s">
        <v>119</v>
      </c>
      <c r="C32" s="16" t="s">
        <v>87</v>
      </c>
      <c r="D32" s="14" t="s">
        <v>102</v>
      </c>
      <c r="E32" s="13">
        <v>374</v>
      </c>
      <c r="F32" s="13">
        <f>SUM(E32*78/1000)</f>
        <v>29.172000000000001</v>
      </c>
      <c r="G32" s="13">
        <v>258.63</v>
      </c>
      <c r="H32" s="13">
        <f t="shared" si="1"/>
        <v>7.5447543599999998</v>
      </c>
      <c r="I32" s="13">
        <f t="shared" si="2"/>
        <v>1257.4590599999999</v>
      </c>
      <c r="J32" s="24"/>
      <c r="K32" s="8"/>
      <c r="L32" s="8"/>
      <c r="M32" s="8"/>
    </row>
    <row r="33" spans="1:14" ht="15.75" hidden="1" customHeight="1">
      <c r="A33" s="31"/>
      <c r="B33" s="14" t="s">
        <v>27</v>
      </c>
      <c r="C33" s="16" t="s">
        <v>87</v>
      </c>
      <c r="D33" s="14" t="s">
        <v>53</v>
      </c>
      <c r="E33" s="13">
        <v>748</v>
      </c>
      <c r="F33" s="13">
        <f>SUM(E33/1000)</f>
        <v>0.748</v>
      </c>
      <c r="G33" s="13">
        <v>3020.33</v>
      </c>
      <c r="H33" s="13">
        <f t="shared" si="1"/>
        <v>2.25920684</v>
      </c>
      <c r="I33" s="13">
        <f>F33*G33</f>
        <v>2259.2068399999998</v>
      </c>
      <c r="J33" s="24"/>
      <c r="K33" s="8"/>
      <c r="L33" s="8"/>
      <c r="M33" s="8"/>
    </row>
    <row r="34" spans="1:14" ht="15.75" customHeight="1">
      <c r="A34" s="31">
        <v>11</v>
      </c>
      <c r="B34" s="14" t="s">
        <v>118</v>
      </c>
      <c r="C34" s="16" t="s">
        <v>40</v>
      </c>
      <c r="D34" s="14" t="s">
        <v>62</v>
      </c>
      <c r="E34" s="13">
        <v>1</v>
      </c>
      <c r="F34" s="13">
        <f>E34*155/100</f>
        <v>1.55</v>
      </c>
      <c r="G34" s="13">
        <v>1302.02</v>
      </c>
      <c r="H34" s="13">
        <f>G34*F34/1000</f>
        <v>2.0181309999999999</v>
      </c>
      <c r="I34" s="13">
        <f t="shared" si="2"/>
        <v>336.35516666666672</v>
      </c>
      <c r="J34" s="24"/>
      <c r="K34" s="8"/>
    </row>
    <row r="35" spans="1:14" ht="15.75" customHeight="1">
      <c r="A35" s="31">
        <v>12</v>
      </c>
      <c r="B35" s="14" t="s">
        <v>103</v>
      </c>
      <c r="C35" s="16" t="s">
        <v>31</v>
      </c>
      <c r="D35" s="14" t="s">
        <v>62</v>
      </c>
      <c r="E35" s="66">
        <v>0.33333333333333331</v>
      </c>
      <c r="F35" s="13">
        <f>155/3</f>
        <v>51.666666666666664</v>
      </c>
      <c r="G35" s="13">
        <v>56.69</v>
      </c>
      <c r="H35" s="13">
        <f>SUM(G35*155/3/1000)</f>
        <v>2.9289833333333331</v>
      </c>
      <c r="I35" s="13">
        <f t="shared" si="2"/>
        <v>488.16388888888883</v>
      </c>
      <c r="J35" s="25"/>
    </row>
    <row r="36" spans="1:14" ht="15.75" hidden="1" customHeight="1">
      <c r="A36" s="31"/>
      <c r="B36" s="14" t="s">
        <v>64</v>
      </c>
      <c r="C36" s="16" t="s">
        <v>33</v>
      </c>
      <c r="D36" s="14" t="s">
        <v>66</v>
      </c>
      <c r="E36" s="19"/>
      <c r="F36" s="13">
        <v>2</v>
      </c>
      <c r="G36" s="13">
        <v>191.32</v>
      </c>
      <c r="H36" s="13">
        <f t="shared" si="1"/>
        <v>0.38263999999999998</v>
      </c>
      <c r="I36" s="13">
        <v>0</v>
      </c>
      <c r="J36" s="25"/>
    </row>
    <row r="37" spans="1:14" ht="15.75" hidden="1" customHeight="1">
      <c r="A37" s="31"/>
      <c r="B37" s="14" t="s">
        <v>65</v>
      </c>
      <c r="C37" s="16" t="s">
        <v>32</v>
      </c>
      <c r="D37" s="14" t="s">
        <v>66</v>
      </c>
      <c r="E37" s="19"/>
      <c r="F37" s="13">
        <v>1</v>
      </c>
      <c r="G37" s="13">
        <v>1136.33</v>
      </c>
      <c r="H37" s="13">
        <f t="shared" si="1"/>
        <v>1.1363299999999998</v>
      </c>
      <c r="I37" s="13">
        <v>0</v>
      </c>
      <c r="J37" s="25"/>
    </row>
    <row r="38" spans="1:14" ht="15.75" hidden="1" customHeight="1">
      <c r="A38" s="31"/>
      <c r="B38" s="14" t="s">
        <v>125</v>
      </c>
      <c r="C38" s="16" t="s">
        <v>29</v>
      </c>
      <c r="D38" s="14"/>
      <c r="E38" s="19">
        <v>932.2</v>
      </c>
      <c r="F38" s="13">
        <v>0.93220000000000003</v>
      </c>
      <c r="G38" s="13">
        <v>1305.02</v>
      </c>
      <c r="H38" s="13">
        <f t="shared" si="1"/>
        <v>1.216539644</v>
      </c>
      <c r="I38" s="13">
        <v>0</v>
      </c>
      <c r="J38" s="25"/>
    </row>
    <row r="39" spans="1:14" ht="15.75" hidden="1" customHeight="1">
      <c r="A39" s="31"/>
      <c r="B39" s="56" t="s">
        <v>5</v>
      </c>
      <c r="C39" s="16"/>
      <c r="D39" s="14"/>
      <c r="E39" s="19"/>
      <c r="F39" s="13"/>
      <c r="G39" s="13"/>
      <c r="H39" s="13" t="s">
        <v>139</v>
      </c>
      <c r="I39" s="13"/>
      <c r="J39" s="25"/>
      <c r="L39" s="20"/>
      <c r="M39" s="21"/>
      <c r="N39" s="22"/>
    </row>
    <row r="40" spans="1:14" ht="15.75" hidden="1" customHeight="1">
      <c r="A40" s="31">
        <v>9</v>
      </c>
      <c r="B40" s="14" t="s">
        <v>26</v>
      </c>
      <c r="C40" s="16" t="s">
        <v>32</v>
      </c>
      <c r="D40" s="14"/>
      <c r="E40" s="19"/>
      <c r="F40" s="13">
        <v>6</v>
      </c>
      <c r="G40" s="13">
        <v>1527.22</v>
      </c>
      <c r="H40" s="13">
        <f t="shared" ref="H40:H45" si="3">SUM(F40*G40/1000)</f>
        <v>9.1633200000000006</v>
      </c>
      <c r="I40" s="13">
        <f t="shared" ref="I40:I45" si="4">F40/6*G40</f>
        <v>1527.22</v>
      </c>
      <c r="J40" s="25"/>
      <c r="L40" s="20"/>
      <c r="M40" s="21"/>
      <c r="N40" s="22"/>
    </row>
    <row r="41" spans="1:14" ht="15.75" hidden="1" customHeight="1">
      <c r="A41" s="31">
        <v>10</v>
      </c>
      <c r="B41" s="14" t="s">
        <v>105</v>
      </c>
      <c r="C41" s="16" t="s">
        <v>29</v>
      </c>
      <c r="D41" s="14" t="s">
        <v>126</v>
      </c>
      <c r="E41" s="19">
        <v>374</v>
      </c>
      <c r="F41" s="13">
        <f>E41*26/1000</f>
        <v>9.7240000000000002</v>
      </c>
      <c r="G41" s="13">
        <v>2102.71</v>
      </c>
      <c r="H41" s="13">
        <f>G41*F41/1000</f>
        <v>20.44675204</v>
      </c>
      <c r="I41" s="13">
        <f t="shared" si="4"/>
        <v>3407.792006666667</v>
      </c>
      <c r="J41" s="25"/>
      <c r="L41" s="20"/>
      <c r="M41" s="21"/>
      <c r="N41" s="22"/>
    </row>
    <row r="42" spans="1:14" ht="15.75" hidden="1" customHeight="1">
      <c r="A42" s="31">
        <v>11</v>
      </c>
      <c r="B42" s="14" t="s">
        <v>67</v>
      </c>
      <c r="C42" s="16" t="s">
        <v>29</v>
      </c>
      <c r="D42" s="14" t="s">
        <v>86</v>
      </c>
      <c r="E42" s="13">
        <v>160</v>
      </c>
      <c r="F42" s="13">
        <f>SUM(E42*155/1000)</f>
        <v>24.8</v>
      </c>
      <c r="G42" s="13">
        <v>350.75</v>
      </c>
      <c r="H42" s="13">
        <f t="shared" si="3"/>
        <v>8.6986000000000008</v>
      </c>
      <c r="I42" s="13">
        <f t="shared" si="4"/>
        <v>1449.7666666666669</v>
      </c>
      <c r="J42" s="25"/>
      <c r="L42" s="20"/>
      <c r="M42" s="21"/>
      <c r="N42" s="22"/>
    </row>
    <row r="43" spans="1:14" ht="47.25" hidden="1" customHeight="1">
      <c r="A43" s="31">
        <v>12</v>
      </c>
      <c r="B43" s="14" t="s">
        <v>81</v>
      </c>
      <c r="C43" s="16" t="s">
        <v>87</v>
      </c>
      <c r="D43" s="14" t="s">
        <v>127</v>
      </c>
      <c r="E43" s="13">
        <v>76</v>
      </c>
      <c r="F43" s="13">
        <f>SUM(E43*50/1000)</f>
        <v>3.8</v>
      </c>
      <c r="G43" s="13">
        <v>5803.28</v>
      </c>
      <c r="H43" s="13">
        <f t="shared" si="3"/>
        <v>22.052463999999997</v>
      </c>
      <c r="I43" s="13">
        <f t="shared" si="4"/>
        <v>3675.4106666666662</v>
      </c>
      <c r="J43" s="25"/>
      <c r="L43" s="20"/>
      <c r="M43" s="21"/>
      <c r="N43" s="22"/>
    </row>
    <row r="44" spans="1:14" ht="15.75" hidden="1" customHeight="1">
      <c r="A44" s="31">
        <v>13</v>
      </c>
      <c r="B44" s="14" t="s">
        <v>88</v>
      </c>
      <c r="C44" s="16" t="s">
        <v>87</v>
      </c>
      <c r="D44" s="14" t="s">
        <v>68</v>
      </c>
      <c r="E44" s="13">
        <v>76</v>
      </c>
      <c r="F44" s="13">
        <f>SUM(E44*45/1000)</f>
        <v>3.42</v>
      </c>
      <c r="G44" s="13">
        <v>428.7</v>
      </c>
      <c r="H44" s="13">
        <f t="shared" si="3"/>
        <v>1.466154</v>
      </c>
      <c r="I44" s="13">
        <f t="shared" si="4"/>
        <v>244.35899999999998</v>
      </c>
      <c r="J44" s="25"/>
      <c r="L44" s="20"/>
      <c r="M44" s="21"/>
      <c r="N44" s="22"/>
    </row>
    <row r="45" spans="1:14" ht="15.75" hidden="1" customHeight="1">
      <c r="A45" s="31">
        <v>14</v>
      </c>
      <c r="B45" s="14" t="s">
        <v>69</v>
      </c>
      <c r="C45" s="16" t="s">
        <v>33</v>
      </c>
      <c r="D45" s="14"/>
      <c r="E45" s="19"/>
      <c r="F45" s="13">
        <v>0.9</v>
      </c>
      <c r="G45" s="13">
        <v>798</v>
      </c>
      <c r="H45" s="13">
        <f t="shared" si="3"/>
        <v>0.71820000000000006</v>
      </c>
      <c r="I45" s="13">
        <f t="shared" si="4"/>
        <v>119.69999999999999</v>
      </c>
      <c r="J45" s="25"/>
      <c r="L45" s="20"/>
      <c r="M45" s="21"/>
      <c r="N45" s="22"/>
    </row>
    <row r="46" spans="1:14" ht="15" customHeight="1">
      <c r="A46" s="110" t="s">
        <v>135</v>
      </c>
      <c r="B46" s="111"/>
      <c r="C46" s="111"/>
      <c r="D46" s="111"/>
      <c r="E46" s="111"/>
      <c r="F46" s="111"/>
      <c r="G46" s="111"/>
      <c r="H46" s="111"/>
      <c r="I46" s="112"/>
      <c r="J46" s="25"/>
      <c r="L46" s="20"/>
      <c r="M46" s="21"/>
      <c r="N46" s="22"/>
    </row>
    <row r="47" spans="1:14" ht="15.75" customHeight="1">
      <c r="A47" s="31">
        <v>13</v>
      </c>
      <c r="B47" s="14" t="s">
        <v>140</v>
      </c>
      <c r="C47" s="16" t="s">
        <v>87</v>
      </c>
      <c r="D47" s="14" t="s">
        <v>42</v>
      </c>
      <c r="E47" s="19">
        <v>1099.7</v>
      </c>
      <c r="F47" s="13">
        <f>SUM(E47*2/1000)</f>
        <v>2.1994000000000002</v>
      </c>
      <c r="G47" s="13">
        <v>809.74</v>
      </c>
      <c r="H47" s="13">
        <f t="shared" ref="H47:H56" si="5">SUM(F47*G47/1000)</f>
        <v>1.7809421560000003</v>
      </c>
      <c r="I47" s="13">
        <f t="shared" ref="I47:I50" si="6">F47/2*G47</f>
        <v>890.47107800000015</v>
      </c>
      <c r="J47" s="25"/>
      <c r="L47" s="20"/>
      <c r="M47" s="21"/>
      <c r="N47" s="22"/>
    </row>
    <row r="48" spans="1:14" ht="15.75" customHeight="1">
      <c r="A48" s="31">
        <v>14</v>
      </c>
      <c r="B48" s="14" t="s">
        <v>35</v>
      </c>
      <c r="C48" s="16" t="s">
        <v>87</v>
      </c>
      <c r="D48" s="14" t="s">
        <v>42</v>
      </c>
      <c r="E48" s="19">
        <v>52</v>
      </c>
      <c r="F48" s="13">
        <f>E48*2/1000</f>
        <v>0.104</v>
      </c>
      <c r="G48" s="13">
        <v>579.48</v>
      </c>
      <c r="H48" s="13">
        <f t="shared" si="5"/>
        <v>6.0265920000000001E-2</v>
      </c>
      <c r="I48" s="13">
        <f t="shared" si="6"/>
        <v>30.132960000000001</v>
      </c>
      <c r="J48" s="25"/>
      <c r="L48" s="20"/>
      <c r="M48" s="21"/>
      <c r="N48" s="22"/>
    </row>
    <row r="49" spans="1:22" ht="15.75" customHeight="1">
      <c r="A49" s="31">
        <v>15</v>
      </c>
      <c r="B49" s="14" t="s">
        <v>36</v>
      </c>
      <c r="C49" s="16" t="s">
        <v>87</v>
      </c>
      <c r="D49" s="14" t="s">
        <v>42</v>
      </c>
      <c r="E49" s="19">
        <v>917.78</v>
      </c>
      <c r="F49" s="13">
        <f>SUM(E49*2/1000)</f>
        <v>1.8355599999999999</v>
      </c>
      <c r="G49" s="13">
        <v>579.48</v>
      </c>
      <c r="H49" s="13">
        <f t="shared" si="5"/>
        <v>1.0636703087999999</v>
      </c>
      <c r="I49" s="13">
        <f t="shared" si="6"/>
        <v>531.83515439999996</v>
      </c>
      <c r="J49" s="25"/>
      <c r="L49" s="20"/>
      <c r="M49" s="21"/>
      <c r="N49" s="22"/>
    </row>
    <row r="50" spans="1:22" ht="15.75" customHeight="1">
      <c r="A50" s="31">
        <v>16</v>
      </c>
      <c r="B50" s="14" t="s">
        <v>37</v>
      </c>
      <c r="C50" s="16" t="s">
        <v>87</v>
      </c>
      <c r="D50" s="14" t="s">
        <v>42</v>
      </c>
      <c r="E50" s="19">
        <v>3930</v>
      </c>
      <c r="F50" s="13">
        <f>SUM(E50*2/1000)</f>
        <v>7.86</v>
      </c>
      <c r="G50" s="13">
        <v>606.77</v>
      </c>
      <c r="H50" s="13">
        <f t="shared" si="5"/>
        <v>4.7692122000000001</v>
      </c>
      <c r="I50" s="13">
        <f t="shared" si="6"/>
        <v>2384.6061</v>
      </c>
      <c r="J50" s="25"/>
      <c r="L50" s="20"/>
      <c r="M50" s="21"/>
      <c r="N50" s="22"/>
    </row>
    <row r="51" spans="1:22" ht="15.75" customHeight="1">
      <c r="A51" s="31">
        <v>17</v>
      </c>
      <c r="B51" s="14" t="s">
        <v>34</v>
      </c>
      <c r="C51" s="16" t="s">
        <v>52</v>
      </c>
      <c r="D51" s="14" t="s">
        <v>42</v>
      </c>
      <c r="E51" s="19">
        <v>142.38999999999999</v>
      </c>
      <c r="F51" s="13">
        <f>E51*2/100</f>
        <v>2.8477999999999999</v>
      </c>
      <c r="G51" s="13">
        <v>72.81</v>
      </c>
      <c r="H51" s="13">
        <f>F51*G51/1000</f>
        <v>0.207348318</v>
      </c>
      <c r="I51" s="13">
        <f>F51/2*G51</f>
        <v>103.674159</v>
      </c>
      <c r="J51" s="25"/>
      <c r="L51" s="20"/>
      <c r="M51" s="21"/>
      <c r="N51" s="22"/>
    </row>
    <row r="52" spans="1:22" ht="15.75" customHeight="1">
      <c r="A52" s="31">
        <v>18</v>
      </c>
      <c r="B52" s="14" t="s">
        <v>55</v>
      </c>
      <c r="C52" s="16" t="s">
        <v>87</v>
      </c>
      <c r="D52" s="14" t="s">
        <v>142</v>
      </c>
      <c r="E52" s="19">
        <v>1914</v>
      </c>
      <c r="F52" s="13">
        <f>SUM(E52*5/1000)</f>
        <v>9.57</v>
      </c>
      <c r="G52" s="13">
        <v>1213.55</v>
      </c>
      <c r="H52" s="13">
        <f t="shared" si="5"/>
        <v>11.613673500000001</v>
      </c>
      <c r="I52" s="13">
        <f>F52/5*G52</f>
        <v>2322.7347</v>
      </c>
      <c r="J52" s="25"/>
      <c r="L52" s="20"/>
      <c r="M52" s="21"/>
      <c r="N52" s="22"/>
    </row>
    <row r="53" spans="1:22" ht="31.5" hidden="1" customHeight="1">
      <c r="A53" s="31">
        <v>16</v>
      </c>
      <c r="B53" s="14" t="s">
        <v>89</v>
      </c>
      <c r="C53" s="16" t="s">
        <v>87</v>
      </c>
      <c r="D53" s="14" t="s">
        <v>42</v>
      </c>
      <c r="E53" s="19">
        <v>1914</v>
      </c>
      <c r="F53" s="13">
        <f>SUM(E53*2/1000)</f>
        <v>3.8279999999999998</v>
      </c>
      <c r="G53" s="13">
        <v>1213.55</v>
      </c>
      <c r="H53" s="13">
        <f t="shared" si="5"/>
        <v>4.6454693999999996</v>
      </c>
      <c r="I53" s="13">
        <f>F53/2*G53</f>
        <v>2322.7347</v>
      </c>
      <c r="J53" s="25"/>
      <c r="L53" s="20"/>
      <c r="M53" s="21"/>
      <c r="N53" s="22"/>
    </row>
    <row r="54" spans="1:22" ht="31.5" hidden="1" customHeight="1">
      <c r="A54" s="31">
        <v>17</v>
      </c>
      <c r="B54" s="14" t="s">
        <v>90</v>
      </c>
      <c r="C54" s="16" t="s">
        <v>38</v>
      </c>
      <c r="D54" s="14" t="s">
        <v>42</v>
      </c>
      <c r="E54" s="19">
        <v>20</v>
      </c>
      <c r="F54" s="13">
        <f>SUM(E54*2/100)</f>
        <v>0.4</v>
      </c>
      <c r="G54" s="13">
        <v>2730.49</v>
      </c>
      <c r="H54" s="13">
        <f>SUM(F54*G54/1000)</f>
        <v>1.0921959999999999</v>
      </c>
      <c r="I54" s="13">
        <f>F54/2*G54</f>
        <v>546.09799999999996</v>
      </c>
      <c r="J54" s="25"/>
      <c r="L54" s="20"/>
      <c r="M54" s="21"/>
      <c r="N54" s="22"/>
    </row>
    <row r="55" spans="1:22" ht="15.75" customHeight="1">
      <c r="A55" s="31">
        <v>19</v>
      </c>
      <c r="B55" s="14" t="s">
        <v>39</v>
      </c>
      <c r="C55" s="16" t="s">
        <v>40</v>
      </c>
      <c r="D55" s="14" t="s">
        <v>42</v>
      </c>
      <c r="E55" s="19">
        <v>1</v>
      </c>
      <c r="F55" s="13">
        <v>0.02</v>
      </c>
      <c r="G55" s="13">
        <v>5652.13</v>
      </c>
      <c r="H55" s="13">
        <f t="shared" si="5"/>
        <v>0.11304260000000001</v>
      </c>
      <c r="I55" s="13">
        <f>F55/2*G55</f>
        <v>56.521300000000004</v>
      </c>
      <c r="J55" s="25"/>
      <c r="L55" s="20"/>
      <c r="M55" s="21"/>
      <c r="N55" s="22"/>
    </row>
    <row r="56" spans="1:22" ht="15.75" hidden="1" customHeight="1">
      <c r="A56" s="31">
        <v>19</v>
      </c>
      <c r="B56" s="14" t="s">
        <v>41</v>
      </c>
      <c r="C56" s="16" t="s">
        <v>106</v>
      </c>
      <c r="D56" s="14" t="s">
        <v>70</v>
      </c>
      <c r="E56" s="19">
        <v>120</v>
      </c>
      <c r="F56" s="13">
        <f>SUM(E56)*3</f>
        <v>360</v>
      </c>
      <c r="G56" s="13">
        <v>65.67</v>
      </c>
      <c r="H56" s="13">
        <f t="shared" si="5"/>
        <v>23.641200000000001</v>
      </c>
      <c r="I56" s="13">
        <f>E56*G56</f>
        <v>7880.4000000000005</v>
      </c>
      <c r="J56" s="25"/>
      <c r="L56" s="20"/>
      <c r="M56" s="21"/>
      <c r="N56" s="22"/>
    </row>
    <row r="57" spans="1:22" ht="15.75" customHeight="1">
      <c r="A57" s="110" t="s">
        <v>136</v>
      </c>
      <c r="B57" s="111"/>
      <c r="C57" s="111"/>
      <c r="D57" s="111"/>
      <c r="E57" s="111"/>
      <c r="F57" s="111"/>
      <c r="G57" s="111"/>
      <c r="H57" s="111"/>
      <c r="I57" s="112"/>
      <c r="J57" s="25"/>
      <c r="L57" s="20"/>
      <c r="M57" s="21"/>
      <c r="N57" s="22"/>
    </row>
    <row r="58" spans="1:22" ht="15.75" hidden="1" customHeight="1">
      <c r="A58" s="31"/>
      <c r="B58" s="56" t="s">
        <v>43</v>
      </c>
      <c r="C58" s="16"/>
      <c r="D58" s="14"/>
      <c r="E58" s="19"/>
      <c r="F58" s="13"/>
      <c r="G58" s="13"/>
      <c r="H58" s="13"/>
      <c r="I58" s="13"/>
      <c r="J58" s="25"/>
      <c r="L58" s="20"/>
    </row>
    <row r="59" spans="1:22" ht="31.5" hidden="1" customHeight="1">
      <c r="A59" s="31">
        <v>20</v>
      </c>
      <c r="B59" s="14" t="s">
        <v>141</v>
      </c>
      <c r="C59" s="16" t="s">
        <v>85</v>
      </c>
      <c r="D59" s="14" t="s">
        <v>107</v>
      </c>
      <c r="E59" s="19">
        <v>66</v>
      </c>
      <c r="F59" s="13">
        <f>SUM(E59*6/100)</f>
        <v>3.96</v>
      </c>
      <c r="G59" s="13">
        <v>1547.28</v>
      </c>
      <c r="H59" s="13">
        <f>SUM(F59*G59/1000)</f>
        <v>6.1272288000000001</v>
      </c>
      <c r="I59" s="13">
        <f>F59/6*G59</f>
        <v>1021.2048</v>
      </c>
    </row>
    <row r="60" spans="1:22" ht="15.75" customHeight="1">
      <c r="A60" s="31"/>
      <c r="B60" s="56" t="s">
        <v>44</v>
      </c>
      <c r="C60" s="16"/>
      <c r="D60" s="14"/>
      <c r="E60" s="19"/>
      <c r="F60" s="13"/>
      <c r="G60" s="13"/>
      <c r="H60" s="13"/>
      <c r="I60" s="13"/>
    </row>
    <row r="61" spans="1:22" ht="15.75" hidden="1" customHeight="1">
      <c r="A61" s="31"/>
      <c r="B61" s="14" t="s">
        <v>120</v>
      </c>
      <c r="C61" s="16" t="s">
        <v>52</v>
      </c>
      <c r="D61" s="14" t="s">
        <v>53</v>
      </c>
      <c r="E61" s="19">
        <v>1387</v>
      </c>
      <c r="F61" s="13">
        <f>E61/100</f>
        <v>13.87</v>
      </c>
      <c r="G61" s="13">
        <v>793.61</v>
      </c>
      <c r="H61" s="13">
        <f>F61*G61/1000</f>
        <v>11.007370699999999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31">
        <v>20</v>
      </c>
      <c r="B62" s="14" t="s">
        <v>121</v>
      </c>
      <c r="C62" s="16" t="s">
        <v>25</v>
      </c>
      <c r="D62" s="14" t="s">
        <v>30</v>
      </c>
      <c r="E62" s="19">
        <v>286.8</v>
      </c>
      <c r="F62" s="13">
        <f>E62*12</f>
        <v>3441.6000000000004</v>
      </c>
      <c r="G62" s="13">
        <v>2.6</v>
      </c>
      <c r="H62" s="13">
        <f>F62*G62/1000</f>
        <v>8.9481600000000014</v>
      </c>
      <c r="I62" s="13">
        <f>F62/12*G62</f>
        <v>745.68000000000006</v>
      </c>
      <c r="J62" s="27"/>
      <c r="K62" s="27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31"/>
      <c r="B63" s="56" t="s">
        <v>128</v>
      </c>
      <c r="C63" s="16"/>
      <c r="D63" s="14"/>
      <c r="E63" s="19"/>
      <c r="F63" s="13"/>
      <c r="G63" s="13"/>
      <c r="H63" s="13"/>
      <c r="I63" s="1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31"/>
      <c r="B64" s="14" t="s">
        <v>129</v>
      </c>
      <c r="C64" s="16" t="s">
        <v>106</v>
      </c>
      <c r="D64" s="14" t="s">
        <v>53</v>
      </c>
      <c r="E64" s="19">
        <v>4</v>
      </c>
      <c r="F64" s="13">
        <v>4</v>
      </c>
      <c r="G64" s="13">
        <v>237.75</v>
      </c>
      <c r="H64" s="13">
        <f t="shared" ref="H64" si="7">F64*G64/1000</f>
        <v>0.95099999999999996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94"/>
      <c r="S64" s="94"/>
      <c r="T64" s="94"/>
      <c r="U64" s="94"/>
    </row>
    <row r="65" spans="1:21" ht="15.75" customHeight="1">
      <c r="A65" s="31"/>
      <c r="B65" s="56" t="s">
        <v>45</v>
      </c>
      <c r="C65" s="16"/>
      <c r="D65" s="14"/>
      <c r="E65" s="19"/>
      <c r="F65" s="13"/>
      <c r="G65" s="13"/>
      <c r="H65" s="13" t="s">
        <v>139</v>
      </c>
      <c r="I65" s="1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customHeight="1">
      <c r="A66" s="31">
        <v>21</v>
      </c>
      <c r="B66" s="14" t="s">
        <v>46</v>
      </c>
      <c r="C66" s="16" t="s">
        <v>106</v>
      </c>
      <c r="D66" s="14" t="s">
        <v>66</v>
      </c>
      <c r="E66" s="19">
        <v>10</v>
      </c>
      <c r="F66" s="13">
        <v>10</v>
      </c>
      <c r="G66" s="13">
        <v>222.4</v>
      </c>
      <c r="H66" s="13">
        <f t="shared" ref="H66:H79" si="8">SUM(F66*G66/1000)</f>
        <v>2.2240000000000002</v>
      </c>
      <c r="I66" s="13">
        <f>G66*2</f>
        <v>444.8</v>
      </c>
    </row>
    <row r="67" spans="1:21" ht="15.75" hidden="1" customHeight="1">
      <c r="A67" s="31"/>
      <c r="B67" s="14" t="s">
        <v>47</v>
      </c>
      <c r="C67" s="16" t="s">
        <v>106</v>
      </c>
      <c r="D67" s="14" t="s">
        <v>66</v>
      </c>
      <c r="E67" s="19">
        <v>5</v>
      </c>
      <c r="F67" s="13">
        <v>5</v>
      </c>
      <c r="G67" s="13">
        <v>76.25</v>
      </c>
      <c r="H67" s="13">
        <f t="shared" si="8"/>
        <v>0.38124999999999998</v>
      </c>
      <c r="I67" s="13">
        <v>0</v>
      </c>
    </row>
    <row r="68" spans="1:21" ht="15.75" hidden="1" customHeight="1">
      <c r="A68" s="31"/>
      <c r="B68" s="14" t="s">
        <v>48</v>
      </c>
      <c r="C68" s="16" t="s">
        <v>108</v>
      </c>
      <c r="D68" s="14" t="s">
        <v>53</v>
      </c>
      <c r="E68" s="19">
        <v>19138</v>
      </c>
      <c r="F68" s="13">
        <f>SUM(E68/100)</f>
        <v>191.38</v>
      </c>
      <c r="G68" s="13">
        <v>212.15</v>
      </c>
      <c r="H68" s="13">
        <f t="shared" si="8"/>
        <v>40.601267</v>
      </c>
      <c r="I68" s="13">
        <f>F68*G68</f>
        <v>40601.267</v>
      </c>
    </row>
    <row r="69" spans="1:21" ht="15.75" hidden="1" customHeight="1">
      <c r="A69" s="31"/>
      <c r="B69" s="14" t="s">
        <v>49</v>
      </c>
      <c r="C69" s="16" t="s">
        <v>109</v>
      </c>
      <c r="D69" s="14"/>
      <c r="E69" s="19">
        <v>19138</v>
      </c>
      <c r="F69" s="13">
        <f>SUM(E69/1000)</f>
        <v>19.138000000000002</v>
      </c>
      <c r="G69" s="13">
        <v>165.21</v>
      </c>
      <c r="H69" s="13">
        <f t="shared" si="8"/>
        <v>3.1617889800000003</v>
      </c>
      <c r="I69" s="13">
        <f t="shared" ref="I69:I73" si="9">F69*G69</f>
        <v>3161.7889800000003</v>
      </c>
    </row>
    <row r="70" spans="1:21" ht="15.75" hidden="1" customHeight="1">
      <c r="A70" s="31"/>
      <c r="B70" s="14" t="s">
        <v>50</v>
      </c>
      <c r="C70" s="16" t="s">
        <v>76</v>
      </c>
      <c r="D70" s="14" t="s">
        <v>53</v>
      </c>
      <c r="E70" s="19">
        <v>2730</v>
      </c>
      <c r="F70" s="13">
        <f>SUM(E70/100)</f>
        <v>27.3</v>
      </c>
      <c r="G70" s="13">
        <v>2074.63</v>
      </c>
      <c r="H70" s="13">
        <f t="shared" si="8"/>
        <v>56.637399000000002</v>
      </c>
      <c r="I70" s="13">
        <f t="shared" si="9"/>
        <v>56637.399000000005</v>
      </c>
    </row>
    <row r="71" spans="1:21" ht="15.75" hidden="1" customHeight="1">
      <c r="A71" s="31"/>
      <c r="B71" s="67" t="s">
        <v>110</v>
      </c>
      <c r="C71" s="16" t="s">
        <v>33</v>
      </c>
      <c r="D71" s="14"/>
      <c r="E71" s="19">
        <v>13</v>
      </c>
      <c r="F71" s="13">
        <f>SUM(E71)</f>
        <v>13</v>
      </c>
      <c r="G71" s="13">
        <v>45.32</v>
      </c>
      <c r="H71" s="13">
        <f t="shared" si="8"/>
        <v>0.58916000000000002</v>
      </c>
      <c r="I71" s="13">
        <f t="shared" si="9"/>
        <v>589.16</v>
      </c>
    </row>
    <row r="72" spans="1:21" ht="15.75" hidden="1" customHeight="1">
      <c r="A72" s="31"/>
      <c r="B72" s="67" t="s">
        <v>111</v>
      </c>
      <c r="C72" s="16" t="s">
        <v>33</v>
      </c>
      <c r="D72" s="14"/>
      <c r="E72" s="19">
        <v>13</v>
      </c>
      <c r="F72" s="13">
        <f>SUM(E72)</f>
        <v>13</v>
      </c>
      <c r="G72" s="13">
        <v>42.28</v>
      </c>
      <c r="H72" s="13">
        <f t="shared" si="8"/>
        <v>0.54964000000000002</v>
      </c>
      <c r="I72" s="13">
        <f t="shared" si="9"/>
        <v>549.64</v>
      </c>
    </row>
    <row r="73" spans="1:21" ht="15.75" customHeight="1">
      <c r="A73" s="31">
        <v>22</v>
      </c>
      <c r="B73" s="14" t="s">
        <v>56</v>
      </c>
      <c r="C73" s="16" t="s">
        <v>57</v>
      </c>
      <c r="D73" s="14" t="s">
        <v>53</v>
      </c>
      <c r="E73" s="19">
        <v>8</v>
      </c>
      <c r="F73" s="13">
        <v>8</v>
      </c>
      <c r="G73" s="13">
        <v>49.88</v>
      </c>
      <c r="H73" s="13">
        <f t="shared" si="8"/>
        <v>0.39904000000000001</v>
      </c>
      <c r="I73" s="13">
        <f t="shared" si="9"/>
        <v>399.04</v>
      </c>
    </row>
    <row r="74" spans="1:21" ht="15.75" hidden="1" customHeight="1">
      <c r="A74" s="31"/>
      <c r="B74" s="56" t="s">
        <v>71</v>
      </c>
      <c r="C74" s="16"/>
      <c r="D74" s="14"/>
      <c r="E74" s="19"/>
      <c r="F74" s="13"/>
      <c r="G74" s="13"/>
      <c r="H74" s="13" t="s">
        <v>139</v>
      </c>
      <c r="I74" s="13"/>
    </row>
    <row r="75" spans="1:21" ht="15.75" hidden="1" customHeight="1">
      <c r="A75" s="31">
        <v>22</v>
      </c>
      <c r="B75" s="14" t="s">
        <v>72</v>
      </c>
      <c r="C75" s="16" t="s">
        <v>74</v>
      </c>
      <c r="D75" s="14"/>
      <c r="E75" s="19">
        <v>4</v>
      </c>
      <c r="F75" s="13">
        <v>0.4</v>
      </c>
      <c r="G75" s="13">
        <v>501.62</v>
      </c>
      <c r="H75" s="13">
        <f t="shared" si="8"/>
        <v>0.20064800000000002</v>
      </c>
      <c r="I75" s="13">
        <f>G75*0.6</f>
        <v>300.97199999999998</v>
      </c>
    </row>
    <row r="76" spans="1:21" ht="15.75" hidden="1" customHeight="1">
      <c r="A76" s="31"/>
      <c r="B76" s="14" t="s">
        <v>73</v>
      </c>
      <c r="C76" s="16" t="s">
        <v>31</v>
      </c>
      <c r="D76" s="14"/>
      <c r="E76" s="19">
        <v>1</v>
      </c>
      <c r="F76" s="13">
        <v>1</v>
      </c>
      <c r="G76" s="13">
        <v>852.99</v>
      </c>
      <c r="H76" s="13">
        <f>F76*G76/1000</f>
        <v>0.85299000000000003</v>
      </c>
      <c r="I76" s="13">
        <v>0</v>
      </c>
    </row>
    <row r="77" spans="1:21" ht="15.75" hidden="1" customHeight="1">
      <c r="A77" s="31"/>
      <c r="B77" s="14" t="s">
        <v>113</v>
      </c>
      <c r="C77" s="16" t="s">
        <v>31</v>
      </c>
      <c r="D77" s="14"/>
      <c r="E77" s="19">
        <v>1</v>
      </c>
      <c r="F77" s="13">
        <v>1</v>
      </c>
      <c r="G77" s="13">
        <v>358.51</v>
      </c>
      <c r="H77" s="13">
        <f>G77*F77/1000</f>
        <v>0.35851</v>
      </c>
      <c r="I77" s="13">
        <v>0</v>
      </c>
    </row>
    <row r="78" spans="1:21" ht="15.75" hidden="1" customHeight="1">
      <c r="A78" s="31"/>
      <c r="B78" s="64" t="s">
        <v>75</v>
      </c>
      <c r="C78" s="16"/>
      <c r="D78" s="14"/>
      <c r="E78" s="19"/>
      <c r="F78" s="13"/>
      <c r="G78" s="13" t="s">
        <v>139</v>
      </c>
      <c r="H78" s="13" t="s">
        <v>139</v>
      </c>
      <c r="I78" s="13"/>
    </row>
    <row r="79" spans="1:21" ht="15.75" hidden="1" customHeight="1">
      <c r="A79" s="31"/>
      <c r="B79" s="44" t="s">
        <v>124</v>
      </c>
      <c r="C79" s="16" t="s">
        <v>76</v>
      </c>
      <c r="D79" s="14"/>
      <c r="E79" s="19"/>
      <c r="F79" s="13">
        <v>0.1</v>
      </c>
      <c r="G79" s="13">
        <v>2759.44</v>
      </c>
      <c r="H79" s="13">
        <f t="shared" si="8"/>
        <v>0.27594400000000002</v>
      </c>
      <c r="I79" s="13">
        <v>0</v>
      </c>
    </row>
    <row r="80" spans="1:21" ht="15.75" hidden="1" customHeight="1">
      <c r="A80" s="31"/>
      <c r="B80" s="56" t="s">
        <v>91</v>
      </c>
      <c r="C80" s="70"/>
      <c r="D80" s="70"/>
      <c r="E80" s="70"/>
      <c r="F80" s="70"/>
      <c r="G80" s="65"/>
      <c r="H80" s="65">
        <f>SUM(H59:H79)</f>
        <v>133.26539648000002</v>
      </c>
      <c r="I80" s="65"/>
    </row>
    <row r="81" spans="1:9" ht="15.75" hidden="1" customHeight="1">
      <c r="A81" s="31">
        <v>22</v>
      </c>
      <c r="B81" s="14" t="s">
        <v>112</v>
      </c>
      <c r="C81" s="16"/>
      <c r="D81" s="14"/>
      <c r="E81" s="19"/>
      <c r="F81" s="13">
        <v>1</v>
      </c>
      <c r="G81" s="13">
        <v>13441.4</v>
      </c>
      <c r="H81" s="13">
        <f>G81*F81/1000</f>
        <v>13.4414</v>
      </c>
      <c r="I81" s="13">
        <f>G81</f>
        <v>13441.4</v>
      </c>
    </row>
    <row r="82" spans="1:9" ht="15.75" customHeight="1">
      <c r="A82" s="95" t="s">
        <v>137</v>
      </c>
      <c r="B82" s="96"/>
      <c r="C82" s="96"/>
      <c r="D82" s="96"/>
      <c r="E82" s="96"/>
      <c r="F82" s="96"/>
      <c r="G82" s="96"/>
      <c r="H82" s="96"/>
      <c r="I82" s="97"/>
    </row>
    <row r="83" spans="1:9" ht="15.75" customHeight="1">
      <c r="A83" s="31">
        <v>23</v>
      </c>
      <c r="B83" s="14" t="s">
        <v>114</v>
      </c>
      <c r="C83" s="16" t="s">
        <v>54</v>
      </c>
      <c r="D83" s="59" t="s">
        <v>152</v>
      </c>
      <c r="E83" s="13">
        <v>5367.6</v>
      </c>
      <c r="F83" s="13">
        <f>SUM(E83*12)</f>
        <v>64411.200000000004</v>
      </c>
      <c r="G83" s="13">
        <v>2.1</v>
      </c>
      <c r="H83" s="13">
        <f>SUM(F83*G83/1000)</f>
        <v>135.26352000000003</v>
      </c>
      <c r="I83" s="13">
        <f>F83/12*G83</f>
        <v>11271.960000000001</v>
      </c>
    </row>
    <row r="84" spans="1:9" ht="31.5" customHeight="1">
      <c r="A84" s="31">
        <v>24</v>
      </c>
      <c r="B84" s="14" t="s">
        <v>77</v>
      </c>
      <c r="C84" s="16"/>
      <c r="D84" s="59" t="s">
        <v>152</v>
      </c>
      <c r="E84" s="19">
        <f>E83</f>
        <v>5367.6</v>
      </c>
      <c r="F84" s="13">
        <f>E84*12</f>
        <v>64411.200000000004</v>
      </c>
      <c r="G84" s="13">
        <v>1.63</v>
      </c>
      <c r="H84" s="13">
        <f>F84*G84/1000</f>
        <v>104.99025599999999</v>
      </c>
      <c r="I84" s="13">
        <f>F84/12*G84</f>
        <v>8749.1880000000001</v>
      </c>
    </row>
    <row r="85" spans="1:9" ht="15.75" customHeight="1">
      <c r="A85" s="31"/>
      <c r="B85" s="36" t="s">
        <v>79</v>
      </c>
      <c r="C85" s="64"/>
      <c r="D85" s="68"/>
      <c r="E85" s="65"/>
      <c r="F85" s="65"/>
      <c r="G85" s="65"/>
      <c r="H85" s="65">
        <f>H84</f>
        <v>104.99025599999999</v>
      </c>
      <c r="I85" s="65">
        <f>I16+I17+I18+I20+I21+I24+I27+I28+I31+I32+I34+I35+I47+I48+I49+I50+I51+I52+I55+I62+I66+I73+I83+I84</f>
        <v>58652.929435622231</v>
      </c>
    </row>
    <row r="86" spans="1:9" ht="15.75" customHeight="1">
      <c r="A86" s="106" t="s">
        <v>59</v>
      </c>
      <c r="B86" s="107"/>
      <c r="C86" s="107"/>
      <c r="D86" s="107"/>
      <c r="E86" s="107"/>
      <c r="F86" s="107"/>
      <c r="G86" s="107"/>
      <c r="H86" s="107"/>
      <c r="I86" s="108"/>
    </row>
    <row r="87" spans="1:9" ht="15.75" customHeight="1">
      <c r="A87" s="31">
        <v>25</v>
      </c>
      <c r="B87" s="47" t="s">
        <v>122</v>
      </c>
      <c r="C87" s="63" t="s">
        <v>106</v>
      </c>
      <c r="D87" s="44"/>
      <c r="E87" s="13"/>
      <c r="F87" s="13">
        <v>488</v>
      </c>
      <c r="G87" s="13">
        <v>53.42</v>
      </c>
      <c r="H87" s="69">
        <f t="shared" ref="H87" si="10">G87*F87/1000</f>
        <v>26.068960000000001</v>
      </c>
      <c r="I87" s="13">
        <f>G87*61</f>
        <v>3258.62</v>
      </c>
    </row>
    <row r="88" spans="1:9" ht="15.75" customHeight="1">
      <c r="A88" s="31">
        <v>26</v>
      </c>
      <c r="B88" s="47" t="s">
        <v>193</v>
      </c>
      <c r="C88" s="89" t="s">
        <v>194</v>
      </c>
      <c r="D88" s="44"/>
      <c r="E88" s="13"/>
      <c r="F88" s="13">
        <v>0.5</v>
      </c>
      <c r="G88" s="13">
        <v>294.45</v>
      </c>
      <c r="H88" s="69">
        <f>G88*F88/1000</f>
        <v>0.14722499999999999</v>
      </c>
      <c r="I88" s="13">
        <f>G88*0.5</f>
        <v>147.22499999999999</v>
      </c>
    </row>
    <row r="89" spans="1:9" ht="15.75" customHeight="1">
      <c r="A89" s="31">
        <v>27</v>
      </c>
      <c r="B89" s="47" t="s">
        <v>195</v>
      </c>
      <c r="C89" s="63" t="s">
        <v>106</v>
      </c>
      <c r="D89" s="14"/>
      <c r="E89" s="19"/>
      <c r="F89" s="13">
        <v>1</v>
      </c>
      <c r="G89" s="13">
        <v>190</v>
      </c>
      <c r="H89" s="69">
        <f t="shared" ref="H89" si="11">G89*F89/1000</f>
        <v>0.19</v>
      </c>
      <c r="I89" s="13">
        <f>G89</f>
        <v>190</v>
      </c>
    </row>
    <row r="90" spans="1:9" ht="15.75" customHeight="1">
      <c r="A90" s="31"/>
      <c r="B90" s="42" t="s">
        <v>51</v>
      </c>
      <c r="C90" s="38"/>
      <c r="D90" s="45"/>
      <c r="E90" s="38">
        <v>1</v>
      </c>
      <c r="F90" s="38"/>
      <c r="G90" s="38"/>
      <c r="H90" s="38"/>
      <c r="I90" s="33">
        <f>SUM(I87:I89)</f>
        <v>3595.8449999999998</v>
      </c>
    </row>
    <row r="91" spans="1:9" ht="15.75" customHeight="1">
      <c r="A91" s="31"/>
      <c r="B91" s="44" t="s">
        <v>78</v>
      </c>
      <c r="C91" s="15"/>
      <c r="D91" s="15"/>
      <c r="E91" s="39"/>
      <c r="F91" s="39"/>
      <c r="G91" s="40"/>
      <c r="H91" s="40"/>
      <c r="I91" s="18">
        <v>0</v>
      </c>
    </row>
    <row r="92" spans="1:9" ht="15.75" customHeight="1">
      <c r="A92" s="46"/>
      <c r="B92" s="43" t="s">
        <v>161</v>
      </c>
      <c r="C92" s="34"/>
      <c r="D92" s="34"/>
      <c r="E92" s="34"/>
      <c r="F92" s="34"/>
      <c r="G92" s="34"/>
      <c r="H92" s="34"/>
      <c r="I92" s="41">
        <f>I85+I90</f>
        <v>62248.774435622232</v>
      </c>
    </row>
    <row r="93" spans="1:9" ht="15.75" customHeight="1">
      <c r="A93" s="98" t="s">
        <v>196</v>
      </c>
      <c r="B93" s="98"/>
      <c r="C93" s="98"/>
      <c r="D93" s="98"/>
      <c r="E93" s="98"/>
      <c r="F93" s="98"/>
      <c r="G93" s="98"/>
      <c r="H93" s="98"/>
      <c r="I93" s="98"/>
    </row>
    <row r="94" spans="1:9" ht="15.75">
      <c r="A94" s="58"/>
      <c r="B94" s="99" t="s">
        <v>197</v>
      </c>
      <c r="C94" s="99"/>
      <c r="D94" s="99"/>
      <c r="E94" s="99"/>
      <c r="F94" s="99"/>
      <c r="G94" s="99"/>
      <c r="H94" s="62"/>
      <c r="I94" s="3"/>
    </row>
    <row r="95" spans="1:9" ht="15.75" customHeight="1">
      <c r="A95" s="54"/>
      <c r="B95" s="100" t="s">
        <v>6</v>
      </c>
      <c r="C95" s="100"/>
      <c r="D95" s="100"/>
      <c r="E95" s="100"/>
      <c r="F95" s="100"/>
      <c r="G95" s="100"/>
      <c r="H95" s="26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01" t="s">
        <v>7</v>
      </c>
      <c r="B97" s="101"/>
      <c r="C97" s="101"/>
      <c r="D97" s="101"/>
      <c r="E97" s="101"/>
      <c r="F97" s="101"/>
      <c r="G97" s="101"/>
      <c r="H97" s="101"/>
      <c r="I97" s="101"/>
    </row>
    <row r="98" spans="1:9" ht="15.75" customHeight="1">
      <c r="A98" s="101" t="s">
        <v>8</v>
      </c>
      <c r="B98" s="101"/>
      <c r="C98" s="101"/>
      <c r="D98" s="101"/>
      <c r="E98" s="101"/>
      <c r="F98" s="101"/>
      <c r="G98" s="101"/>
      <c r="H98" s="101"/>
      <c r="I98" s="101"/>
    </row>
    <row r="99" spans="1:9" ht="15.75">
      <c r="A99" s="102" t="s">
        <v>60</v>
      </c>
      <c r="B99" s="102"/>
      <c r="C99" s="102"/>
      <c r="D99" s="102"/>
      <c r="E99" s="102"/>
      <c r="F99" s="102"/>
      <c r="G99" s="102"/>
      <c r="H99" s="102"/>
      <c r="I99" s="102"/>
    </row>
    <row r="100" spans="1:9" ht="15.75" customHeight="1">
      <c r="A100" s="11"/>
    </row>
    <row r="101" spans="1:9" ht="15.75" customHeight="1">
      <c r="A101" s="103" t="s">
        <v>9</v>
      </c>
      <c r="B101" s="103"/>
      <c r="C101" s="103"/>
      <c r="D101" s="103"/>
      <c r="E101" s="103"/>
      <c r="F101" s="103"/>
      <c r="G101" s="103"/>
      <c r="H101" s="103"/>
      <c r="I101" s="103"/>
    </row>
    <row r="102" spans="1:9" ht="15.75" customHeight="1">
      <c r="A102" s="4"/>
    </row>
    <row r="103" spans="1:9" ht="15.75">
      <c r="B103" s="55" t="s">
        <v>10</v>
      </c>
      <c r="C103" s="104" t="s">
        <v>132</v>
      </c>
      <c r="D103" s="104"/>
      <c r="E103" s="104"/>
      <c r="F103" s="60"/>
      <c r="I103" s="53"/>
    </row>
    <row r="104" spans="1:9" ht="15.75" customHeight="1">
      <c r="A104" s="54"/>
      <c r="C104" s="100" t="s">
        <v>11</v>
      </c>
      <c r="D104" s="100"/>
      <c r="E104" s="100"/>
      <c r="F104" s="26"/>
      <c r="I104" s="52" t="s">
        <v>12</v>
      </c>
    </row>
    <row r="105" spans="1:9" ht="15.75" customHeight="1">
      <c r="A105" s="27"/>
      <c r="C105" s="12"/>
      <c r="D105" s="12"/>
      <c r="G105" s="12"/>
      <c r="H105" s="12"/>
    </row>
    <row r="106" spans="1:9" ht="15.75" customHeight="1">
      <c r="B106" s="55" t="s">
        <v>13</v>
      </c>
      <c r="C106" s="105"/>
      <c r="D106" s="105"/>
      <c r="E106" s="105"/>
      <c r="F106" s="61"/>
      <c r="I106" s="53"/>
    </row>
    <row r="107" spans="1:9" ht="15.75" customHeight="1">
      <c r="A107" s="54"/>
      <c r="C107" s="94" t="s">
        <v>11</v>
      </c>
      <c r="D107" s="94"/>
      <c r="E107" s="94"/>
      <c r="F107" s="54"/>
      <c r="I107" s="52" t="s">
        <v>12</v>
      </c>
    </row>
    <row r="108" spans="1:9" ht="15.75">
      <c r="A108" s="4" t="s">
        <v>14</v>
      </c>
    </row>
    <row r="109" spans="1:9" ht="15.75" customHeight="1">
      <c r="A109" s="92" t="s">
        <v>15</v>
      </c>
      <c r="B109" s="92"/>
      <c r="C109" s="92"/>
      <c r="D109" s="92"/>
      <c r="E109" s="92"/>
      <c r="F109" s="92"/>
      <c r="G109" s="92"/>
      <c r="H109" s="92"/>
      <c r="I109" s="92"/>
    </row>
    <row r="110" spans="1:9" ht="45" customHeight="1">
      <c r="A110" s="93" t="s">
        <v>16</v>
      </c>
      <c r="B110" s="93"/>
      <c r="C110" s="93"/>
      <c r="D110" s="93"/>
      <c r="E110" s="93"/>
      <c r="F110" s="93"/>
      <c r="G110" s="93"/>
      <c r="H110" s="93"/>
      <c r="I110" s="93"/>
    </row>
    <row r="111" spans="1:9" ht="30" customHeight="1">
      <c r="A111" s="93" t="s">
        <v>17</v>
      </c>
      <c r="B111" s="93"/>
      <c r="C111" s="93"/>
      <c r="D111" s="93"/>
      <c r="E111" s="93"/>
      <c r="F111" s="93"/>
      <c r="G111" s="93"/>
      <c r="H111" s="93"/>
      <c r="I111" s="93"/>
    </row>
    <row r="112" spans="1:9" ht="30" customHeight="1">
      <c r="A112" s="93" t="s">
        <v>21</v>
      </c>
      <c r="B112" s="93"/>
      <c r="C112" s="93"/>
      <c r="D112" s="93"/>
      <c r="E112" s="93"/>
      <c r="F112" s="93"/>
      <c r="G112" s="93"/>
      <c r="H112" s="93"/>
      <c r="I112" s="93"/>
    </row>
    <row r="113" spans="1:9" ht="15" customHeight="1">
      <c r="A113" s="93" t="s">
        <v>20</v>
      </c>
      <c r="B113" s="93"/>
      <c r="C113" s="93"/>
      <c r="D113" s="93"/>
      <c r="E113" s="93"/>
      <c r="F113" s="93"/>
      <c r="G113" s="93"/>
      <c r="H113" s="93"/>
      <c r="I113" s="93"/>
    </row>
  </sheetData>
  <autoFilter ref="I12:I59"/>
  <mergeCells count="29">
    <mergeCell ref="R64:U64"/>
    <mergeCell ref="A82:I82"/>
    <mergeCell ref="A3:I3"/>
    <mergeCell ref="A4:I4"/>
    <mergeCell ref="A5:I5"/>
    <mergeCell ref="A8:I8"/>
    <mergeCell ref="A10:I10"/>
    <mergeCell ref="A14:I14"/>
    <mergeCell ref="A99:I99"/>
    <mergeCell ref="A15:I15"/>
    <mergeCell ref="A29:I29"/>
    <mergeCell ref="A46:I46"/>
    <mergeCell ref="A57:I57"/>
    <mergeCell ref="A93:I93"/>
    <mergeCell ref="B94:G94"/>
    <mergeCell ref="B95:G95"/>
    <mergeCell ref="A97:I97"/>
    <mergeCell ref="A98:I98"/>
    <mergeCell ref="A86:I86"/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01.17</vt:lpstr>
      <vt:lpstr>02.17</vt:lpstr>
      <vt:lpstr>03.17</vt:lpstr>
      <vt:lpstr>04.17</vt:lpstr>
      <vt:lpstr>05.17</vt:lpstr>
      <vt:lpstr>06.17</vt:lpstr>
      <vt:lpstr>07.17</vt:lpstr>
      <vt:lpstr>08.17</vt:lpstr>
      <vt:lpstr>09.17</vt:lpstr>
      <vt:lpstr>10.17</vt:lpstr>
      <vt:lpstr>11.17</vt:lpstr>
      <vt:lpstr>12.17</vt:lpstr>
      <vt:lpstr>'01.17'!Область_печати</vt:lpstr>
      <vt:lpstr>'02.17'!Область_печати</vt:lpstr>
      <vt:lpstr>'03.17'!Область_печати</vt:lpstr>
      <vt:lpstr>'04.17'!Область_печати</vt:lpstr>
      <vt:lpstr>'05.17'!Область_печати</vt:lpstr>
      <vt:lpstr>'06.17'!Область_печати</vt:lpstr>
      <vt:lpstr>'07.17'!Область_печати</vt:lpstr>
      <vt:lpstr>'08.17'!Область_печати</vt:lpstr>
      <vt:lpstr>'09.17'!Область_печати</vt:lpstr>
      <vt:lpstr>'10.17'!Область_печати</vt:lpstr>
      <vt:lpstr>'11.17'!Область_печати</vt:lpstr>
      <vt:lpstr>'12.17'!Область_печати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2017-12-20T11:37:21Z</cp:lastPrinted>
  <dcterms:created xsi:type="dcterms:W3CDTF">2016-03-25T08:33:47Z</dcterms:created>
  <dcterms:modified xsi:type="dcterms:W3CDTF">2018-04-18T06:25:20Z</dcterms:modified>
</cp:coreProperties>
</file>