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6" r:id="rId11"/>
    <sheet name="12.16" sheetId="8" r:id="rId12"/>
  </sheets>
  <definedNames>
    <definedName name="_xlnm._FilterDatabase" localSheetId="0" hidden="1">'01.16'!$I$12:$I$62</definedName>
    <definedName name="_xlnm._FilterDatabase" localSheetId="1" hidden="1">'02.16'!$I$12:$I$62</definedName>
    <definedName name="_xlnm._FilterDatabase" localSheetId="2" hidden="1">'03.16'!$I$12:$I$62</definedName>
    <definedName name="_xlnm._FilterDatabase" localSheetId="3" hidden="1">'04.16'!$I$12:$I$62</definedName>
    <definedName name="_xlnm._FilterDatabase" localSheetId="4" hidden="1">'05.16'!$I$12:$I$62</definedName>
    <definedName name="_xlnm._FilterDatabase" localSheetId="5" hidden="1">'06.16'!$I$12:$I$62</definedName>
    <definedName name="_xlnm._FilterDatabase" localSheetId="6" hidden="1">'07.16'!$I$12:$I$62</definedName>
    <definedName name="_xlnm._FilterDatabase" localSheetId="7" hidden="1">'08.16'!$I$12:$I$62</definedName>
    <definedName name="_xlnm._FilterDatabase" localSheetId="8" hidden="1">'09.16'!$I$12:$I$62</definedName>
    <definedName name="_xlnm._FilterDatabase" localSheetId="9" hidden="1">'10.16'!$I$12:$I$62</definedName>
    <definedName name="_xlnm._FilterDatabase" localSheetId="11" hidden="1">'12.16'!$G$12:$G$66</definedName>
    <definedName name="_xlnm.Print_Area" localSheetId="0">'01.16'!$A$1:$I$130</definedName>
    <definedName name="_xlnm.Print_Area" localSheetId="1">'02.16'!$A$1:$I$113</definedName>
    <definedName name="_xlnm.Print_Area" localSheetId="2">'03.16'!$A$1:$I$113</definedName>
    <definedName name="_xlnm.Print_Area" localSheetId="3">'04.16'!$A$1:$I$113</definedName>
    <definedName name="_xlnm.Print_Area" localSheetId="4">'05.16'!$A$1:$I$114</definedName>
    <definedName name="_xlnm.Print_Area" localSheetId="5">'06.16'!$A$1:$I$113</definedName>
    <definedName name="_xlnm.Print_Area" localSheetId="6">'07.16'!$A$1:$I$112</definedName>
    <definedName name="_xlnm.Print_Area" localSheetId="7">'08.16'!$A$1:$I$115</definedName>
    <definedName name="_xlnm.Print_Area" localSheetId="8">'09.16'!$A$1:$I$112</definedName>
    <definedName name="_xlnm.Print_Area" localSheetId="9">'10.16'!$A$1:$I$111</definedName>
    <definedName name="_xlnm.Print_Area" localSheetId="10">'11.16'!$A$1:$G$109</definedName>
    <definedName name="_xlnm.Print_Area" localSheetId="11">'12.16'!$A$1:$G$113</definedName>
  </definedNames>
  <calcPr calcId="124519"/>
</workbook>
</file>

<file path=xl/calcChain.xml><?xml version="1.0" encoding="utf-8"?>
<calcChain xmlns="http://schemas.openxmlformats.org/spreadsheetml/2006/main">
  <c r="I87" i="26"/>
  <c r="I84"/>
  <c r="H87"/>
  <c r="I86"/>
  <c r="H86"/>
  <c r="I88"/>
  <c r="I90" s="1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8" i="25"/>
  <c r="I87"/>
  <c r="I72"/>
  <c r="I56"/>
  <c r="I52"/>
  <c r="H88"/>
  <c r="H87"/>
  <c r="I86"/>
  <c r="H86"/>
  <c r="I89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H40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4" i="24"/>
  <c r="I91"/>
  <c r="I90"/>
  <c r="I89"/>
  <c r="I88"/>
  <c r="I87"/>
  <c r="H91"/>
  <c r="H90"/>
  <c r="H89"/>
  <c r="H88"/>
  <c r="H87"/>
  <c r="I86"/>
  <c r="H86"/>
  <c r="I92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I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8" i="23"/>
  <c r="I87"/>
  <c r="H88"/>
  <c r="H87"/>
  <c r="I86"/>
  <c r="H86"/>
  <c r="I89"/>
  <c r="E83"/>
  <c r="F83" s="1"/>
  <c r="H82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H40" i="26" l="1"/>
  <c r="H34"/>
  <c r="I83"/>
  <c r="H83"/>
  <c r="H84" s="1"/>
  <c r="I16"/>
  <c r="H17"/>
  <c r="I18"/>
  <c r="H20"/>
  <c r="I21"/>
  <c r="I27"/>
  <c r="H28"/>
  <c r="I31"/>
  <c r="H32"/>
  <c r="I33"/>
  <c r="H42"/>
  <c r="I43"/>
  <c r="H44"/>
  <c r="I53"/>
  <c r="H60"/>
  <c r="H79" s="1"/>
  <c r="I63"/>
  <c r="H82"/>
  <c r="I51" i="25"/>
  <c r="I49"/>
  <c r="I54"/>
  <c r="I55"/>
  <c r="I50"/>
  <c r="I48"/>
  <c r="I83"/>
  <c r="H83"/>
  <c r="H84" s="1"/>
  <c r="I16"/>
  <c r="H17"/>
  <c r="I18"/>
  <c r="H20"/>
  <c r="I21"/>
  <c r="I27"/>
  <c r="H28"/>
  <c r="I31"/>
  <c r="H32"/>
  <c r="I33"/>
  <c r="H34"/>
  <c r="H42"/>
  <c r="I43"/>
  <c r="H44"/>
  <c r="I53"/>
  <c r="H60"/>
  <c r="H79" s="1"/>
  <c r="I63"/>
  <c r="H82"/>
  <c r="H63" i="24"/>
  <c r="H44"/>
  <c r="I83"/>
  <c r="H83"/>
  <c r="H84" s="1"/>
  <c r="I16"/>
  <c r="H17"/>
  <c r="I18"/>
  <c r="H20"/>
  <c r="I21"/>
  <c r="I27"/>
  <c r="H28"/>
  <c r="I31"/>
  <c r="H32"/>
  <c r="I33"/>
  <c r="H34"/>
  <c r="H40"/>
  <c r="H42"/>
  <c r="I43"/>
  <c r="I53"/>
  <c r="H60"/>
  <c r="H79" s="1"/>
  <c r="H82"/>
  <c r="H17" i="23"/>
  <c r="H20"/>
  <c r="H34"/>
  <c r="H28"/>
  <c r="H40"/>
  <c r="H44"/>
  <c r="H32"/>
  <c r="I83"/>
  <c r="H83"/>
  <c r="H84" s="1"/>
  <c r="I16"/>
  <c r="I21"/>
  <c r="I27"/>
  <c r="I31"/>
  <c r="I33"/>
  <c r="H42"/>
  <c r="H46" s="1"/>
  <c r="I43"/>
  <c r="I53"/>
  <c r="H60"/>
  <c r="H79" s="1"/>
  <c r="I63"/>
  <c r="I18"/>
  <c r="I89" i="22"/>
  <c r="I88"/>
  <c r="H46" i="26" l="1"/>
  <c r="I84" i="25"/>
  <c r="H46"/>
  <c r="I91"/>
  <c r="H46" i="24"/>
  <c r="I94"/>
  <c r="I84" i="23"/>
  <c r="I91" s="1"/>
  <c r="I87" i="22" l="1"/>
  <c r="I65"/>
  <c r="F89"/>
  <c r="H89" s="1"/>
  <c r="H88"/>
  <c r="H87"/>
  <c r="I86"/>
  <c r="H86"/>
  <c r="I90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4" i="21"/>
  <c r="I90"/>
  <c r="I89"/>
  <c r="I88"/>
  <c r="I74"/>
  <c r="I65"/>
  <c r="I52"/>
  <c r="I26"/>
  <c r="F90"/>
  <c r="H90" s="1"/>
  <c r="H89"/>
  <c r="F88"/>
  <c r="H88" s="1"/>
  <c r="I87"/>
  <c r="H87"/>
  <c r="I86"/>
  <c r="H86"/>
  <c r="I91"/>
  <c r="E83"/>
  <c r="F83" s="1"/>
  <c r="H82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I49" s="1"/>
  <c r="F48"/>
  <c r="I48" s="1"/>
  <c r="I45"/>
  <c r="H45"/>
  <c r="F44"/>
  <c r="I44" s="1"/>
  <c r="F43"/>
  <c r="I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I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9" i="20"/>
  <c r="I88"/>
  <c r="F89"/>
  <c r="H89" s="1"/>
  <c r="H88"/>
  <c r="I87"/>
  <c r="H87"/>
  <c r="I86"/>
  <c r="H86"/>
  <c r="I90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9" i="19"/>
  <c r="I88"/>
  <c r="I87"/>
  <c r="H89"/>
  <c r="H88"/>
  <c r="H87"/>
  <c r="I86"/>
  <c r="H86"/>
  <c r="I90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9" i="18"/>
  <c r="I88"/>
  <c r="I80"/>
  <c r="I56"/>
  <c r="H89"/>
  <c r="H88"/>
  <c r="I87"/>
  <c r="H87"/>
  <c r="I86"/>
  <c r="H86"/>
  <c r="I90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I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109" i="17"/>
  <c r="I84"/>
  <c r="I107"/>
  <c r="H106"/>
  <c r="H105"/>
  <c r="H104"/>
  <c r="H103"/>
  <c r="H102"/>
  <c r="H101"/>
  <c r="F100"/>
  <c r="H100" s="1"/>
  <c r="H99"/>
  <c r="F98"/>
  <c r="H98" s="1"/>
  <c r="H97"/>
  <c r="F96"/>
  <c r="H96" s="1"/>
  <c r="F95"/>
  <c r="H95" s="1"/>
  <c r="H94"/>
  <c r="H93"/>
  <c r="H92"/>
  <c r="H91"/>
  <c r="H90"/>
  <c r="I89"/>
  <c r="H89"/>
  <c r="I88"/>
  <c r="H88"/>
  <c r="I87"/>
  <c r="H87"/>
  <c r="I86"/>
  <c r="H86"/>
  <c r="E83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I63" s="1"/>
  <c r="F62"/>
  <c r="H62" s="1"/>
  <c r="F60"/>
  <c r="H60" s="1"/>
  <c r="I57"/>
  <c r="F57"/>
  <c r="H57" s="1"/>
  <c r="H56"/>
  <c r="F55"/>
  <c r="H55" s="1"/>
  <c r="F54"/>
  <c r="H54" s="1"/>
  <c r="F53"/>
  <c r="I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F28"/>
  <c r="I28" s="1"/>
  <c r="H37"/>
  <c r="H36"/>
  <c r="F27"/>
  <c r="H27" s="1"/>
  <c r="H35"/>
  <c r="F35"/>
  <c r="I35" s="1"/>
  <c r="F34"/>
  <c r="H34" s="1"/>
  <c r="F33"/>
  <c r="H33" s="1"/>
  <c r="F32"/>
  <c r="H32" s="1"/>
  <c r="F31"/>
  <c r="H31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82" i="22" l="1"/>
  <c r="H44"/>
  <c r="H34"/>
  <c r="I83"/>
  <c r="H83"/>
  <c r="H84" s="1"/>
  <c r="I16"/>
  <c r="H17"/>
  <c r="I18"/>
  <c r="H20"/>
  <c r="I21"/>
  <c r="I27"/>
  <c r="H28"/>
  <c r="I31"/>
  <c r="H32"/>
  <c r="I33"/>
  <c r="H40"/>
  <c r="H42"/>
  <c r="I43"/>
  <c r="I53"/>
  <c r="H60"/>
  <c r="H79" s="1"/>
  <c r="I63"/>
  <c r="H34" i="21"/>
  <c r="I22"/>
  <c r="I25"/>
  <c r="I23"/>
  <c r="I50"/>
  <c r="I71"/>
  <c r="I69"/>
  <c r="H17"/>
  <c r="H24"/>
  <c r="H28"/>
  <c r="H48"/>
  <c r="H49"/>
  <c r="I19"/>
  <c r="I51"/>
  <c r="I67"/>
  <c r="I70"/>
  <c r="I68"/>
  <c r="H60"/>
  <c r="H79" s="1"/>
  <c r="H43"/>
  <c r="H32"/>
  <c r="H20"/>
  <c r="I83"/>
  <c r="H83"/>
  <c r="H84" s="1"/>
  <c r="I16"/>
  <c r="I18"/>
  <c r="I21"/>
  <c r="I27"/>
  <c r="I31"/>
  <c r="I33"/>
  <c r="H40"/>
  <c r="H42"/>
  <c r="H44"/>
  <c r="I53"/>
  <c r="I63"/>
  <c r="H40" i="20"/>
  <c r="I54"/>
  <c r="I55"/>
  <c r="I83"/>
  <c r="H83"/>
  <c r="H84" s="1"/>
  <c r="I16"/>
  <c r="H17"/>
  <c r="I18"/>
  <c r="H20"/>
  <c r="I21"/>
  <c r="I27"/>
  <c r="H28"/>
  <c r="I31"/>
  <c r="H32"/>
  <c r="I33"/>
  <c r="H34"/>
  <c r="H42"/>
  <c r="I43"/>
  <c r="H44"/>
  <c r="I53"/>
  <c r="H60"/>
  <c r="H79" s="1"/>
  <c r="I63"/>
  <c r="H82"/>
  <c r="H40" i="19"/>
  <c r="I83"/>
  <c r="H83"/>
  <c r="H84" s="1"/>
  <c r="I16"/>
  <c r="H17"/>
  <c r="I18"/>
  <c r="H20"/>
  <c r="I21"/>
  <c r="I27"/>
  <c r="H28"/>
  <c r="I31"/>
  <c r="H32"/>
  <c r="I33"/>
  <c r="H34"/>
  <c r="H42"/>
  <c r="I43"/>
  <c r="H44"/>
  <c r="I53"/>
  <c r="H60"/>
  <c r="H79" s="1"/>
  <c r="I63"/>
  <c r="H82"/>
  <c r="H28" i="18"/>
  <c r="H17"/>
  <c r="H20"/>
  <c r="H32"/>
  <c r="H63"/>
  <c r="H34"/>
  <c r="I83"/>
  <c r="H83"/>
  <c r="H84" s="1"/>
  <c r="I16"/>
  <c r="I18"/>
  <c r="I21"/>
  <c r="I27"/>
  <c r="I31"/>
  <c r="I33"/>
  <c r="H40"/>
  <c r="H42"/>
  <c r="I43"/>
  <c r="H44"/>
  <c r="I53"/>
  <c r="H60"/>
  <c r="H79" s="1"/>
  <c r="H82"/>
  <c r="I31" i="17"/>
  <c r="I34"/>
  <c r="I33"/>
  <c r="I32"/>
  <c r="H53"/>
  <c r="F83"/>
  <c r="I83" s="1"/>
  <c r="H16"/>
  <c r="H82"/>
  <c r="H18"/>
  <c r="H21"/>
  <c r="H28"/>
  <c r="H40"/>
  <c r="I17"/>
  <c r="I20"/>
  <c r="I27"/>
  <c r="H42"/>
  <c r="I43"/>
  <c r="H44"/>
  <c r="I60"/>
  <c r="H63"/>
  <c r="H79" s="1"/>
  <c r="H83"/>
  <c r="H84" s="1"/>
  <c r="I84" i="22" l="1"/>
  <c r="H46"/>
  <c r="I92"/>
  <c r="H46" i="21"/>
  <c r="I93"/>
  <c r="H46" i="20"/>
  <c r="I84"/>
  <c r="I92" s="1"/>
  <c r="I84" i="19"/>
  <c r="H46"/>
  <c r="I92"/>
  <c r="H46" i="18"/>
  <c r="I84"/>
  <c r="I92" s="1"/>
  <c r="H46" i="17"/>
  <c r="G83" i="8" l="1"/>
  <c r="G90" l="1"/>
  <c r="F86"/>
  <c r="G61"/>
  <c r="E32"/>
  <c r="G83" i="16"/>
  <c r="G92" i="8" l="1"/>
  <c r="G86" i="16" l="1"/>
  <c r="G61" l="1"/>
  <c r="E32"/>
  <c r="G88" l="1"/>
</calcChain>
</file>

<file path=xl/sharedStrings.xml><?xml version="1.0" encoding="utf-8"?>
<sst xmlns="http://schemas.openxmlformats.org/spreadsheetml/2006/main" count="2672" uniqueCount="236">
  <si>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</si>
  <si>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</si>
  <si>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</si>
  <si>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</si>
  <si>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</si>
  <si>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</si>
  <si>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</si>
  <si>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</si>
  <si>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</si>
  <si>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</si>
  <si>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</si>
  <si>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</si>
  <si>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</si>
  <si>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</si>
  <si>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</si>
  <si>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</si>
  <si>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</si>
  <si>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</si>
  <si>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</si>
  <si>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</si>
  <si>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</si>
  <si>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</si>
  <si>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</si>
  <si>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</si>
  <si>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</si>
  <si>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</si>
  <si>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</si>
  <si>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</si>
  <si>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</si>
  <si>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</si>
  <si>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</si>
  <si>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</si>
  <si>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</si>
  <si>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</si>
  <si>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</si>
  <si>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</si>
  <si>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</si>
  <si>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</si>
  <si>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</si>
  <si>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</si>
  <si>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</si>
  <si>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</si>
  <si>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</si>
  <si>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</si>
  <si>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</si>
  <si>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</si>
  <si>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</si>
  <si>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</si>
  <si>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</si>
  <si>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</si>
  <si>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</si>
  <si>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</si>
  <si>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</si>
  <si>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</si>
  <si>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</si>
  <si>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</si>
  <si>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10 м</t>
  </si>
  <si>
    <t>1 м2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</si>
  <si>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</si>
  <si>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</si>
  <si>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</si>
  <si>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</si>
  <si>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</si>
  <si>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</si>
  <si>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</si>
  <si>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</si>
  <si>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Проведение технических осмотров и мелкий ремонт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</si>
  <si>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</si>
  <si>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</si>
  <si>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</si>
  <si>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</si>
  <si>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</si>
  <si>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</si>
  <si>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</si>
  <si>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</si>
  <si>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</si>
  <si>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</si>
  <si>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</si>
  <si>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</si>
  <si>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</si>
  <si>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</si>
  <si>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</si>
  <si>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</si>
  <si>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</si>
  <si>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</si>
  <si>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</si>
  <si>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</si>
  <si>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</si>
  <si>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</si>
  <si>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</si>
  <si>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</si>
  <si>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</si>
  <si>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</si>
  <si>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за период с 01.05.2016 г. по 31.05.2016 г.</t>
  </si>
  <si>
    <t>за период с 01.07.2016 г. по 31.07.2016 г.</t>
  </si>
  <si>
    <t>за период с 01.09.2016 г. по 30.09.2016 г.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</si>
  <si>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</si>
  <si>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</si>
  <si>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</si>
  <si>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</si>
  <si>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АКТ №11</t>
  </si>
  <si>
    <t>за период с 01.11.2016 г. по 30.11.2016 г.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</si>
  <si>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</si>
  <si>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</si>
  <si>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</si>
  <si>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</si>
  <si>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</si>
  <si>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</si>
  <si>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</si>
  <si>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</si>
  <si>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</si>
  <si>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</si>
  <si>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</si>
  <si>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</si>
  <si>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</si>
  <si>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</si>
  <si>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</si>
  <si>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</si>
  <si>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</si>
  <si>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</si>
  <si>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</si>
  <si>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</si>
  <si>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</si>
  <si>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</si>
  <si>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</si>
  <si>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</si>
  <si>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1 раз в месяц (5 раз за сезон)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</si>
  <si>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</si>
  <si>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</si>
  <si>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</si>
  <si>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</si>
  <si>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</si>
  <si>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</si>
  <si>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</si>
  <si>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</si>
  <si>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</si>
  <si>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АКТ №12</t>
  </si>
  <si>
    <t>за период с 01.12.2016 г. по 31.12.2016 г.</t>
  </si>
  <si>
    <t>Влажное подметание лестничных клеток 2-5 этажа</t>
  </si>
  <si>
    <t>Мытье лестничных  площадок и маршей 1-5 этаж.</t>
  </si>
  <si>
    <t xml:space="preserve">2 раза в месяц   24 раза в год </t>
  </si>
  <si>
    <t xml:space="preserve">1 раз в месяц </t>
  </si>
  <si>
    <t>ежедневно 365 раз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</si>
  <si>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</si>
  <si>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</si>
  <si>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Вывоз снега с придомовой территории</t>
  </si>
  <si>
    <t>1м3</t>
  </si>
  <si>
    <t>Очистка края кровли от слежавшегося снега со сбрасыванием сосулек (козырьки)</t>
  </si>
  <si>
    <t>Очистка  от мусора</t>
  </si>
  <si>
    <t>Дератизация</t>
  </si>
  <si>
    <t>Снятие показаний эл.счетчика коммунального назначения</t>
  </si>
  <si>
    <t>1 раз в 2 месяца</t>
  </si>
  <si>
    <t>Влажная протирка шкафов для щитов и слаботочн.ус.</t>
  </si>
  <si>
    <t>30 раз за сезон</t>
  </si>
  <si>
    <t>по мере необходимости</t>
  </si>
  <si>
    <t>35 раз за сезон</t>
  </si>
  <si>
    <t>Осмотр шиферной кровли</t>
  </si>
  <si>
    <t>Прочистка каналов</t>
  </si>
  <si>
    <t>2. Всего за период с 01.11.2016 по 30.11.2016 выполнено работ (оказано услуг) на общую сумму: 42872,92 руб.</t>
  </si>
  <si>
    <t>(сорок две тысячи восемьсот семьдесят два рубля 92 копейки)</t>
  </si>
  <si>
    <t>Устройство хомута диаметром до 50 мм</t>
  </si>
  <si>
    <t>Осмотр электросетей, армазуры и электрооборудования на лестничных клетках</t>
  </si>
  <si>
    <t>Ремонт поверхности кирпичных стен при глубине заделки в 1 кирпич площадью в одном месте до 1 м2</t>
  </si>
  <si>
    <t>Ремонт штукатурки внутренних стен по камню и бетону штукатурной смесью "Ротбант" площадью до 1 м2 толщиной слоя до 20 мм</t>
  </si>
  <si>
    <t>10 м2</t>
  </si>
  <si>
    <t xml:space="preserve">приемки оказанных услуг и выполненных работ по содержанию и текущему ремонту
общего имущества в многоквартирном доме №7 по ул.Строительная пгт.Ярега
</t>
  </si>
  <si>
    <t>2. Всего за период с 01.12.2016 по 31.12.2016 выполнено работ (оказано услуг) на общую сумму: 49707,27 руб.</t>
  </si>
  <si>
    <t>(сорок девять тысяч семьсот семь рублей 27 копеек)</t>
  </si>
  <si>
    <r>
      <t xml:space="preserve">    Собственники помещений в многоквартирном доме, расположенном по адресу: пгт.Ярега, ул.Строительная, д.7,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17.02.2014г.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</si>
  <si>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7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д.7</t>
    </r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</si>
  <si>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</si>
  <si>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</si>
  <si>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</si>
  <si>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</si>
  <si>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IV. Прочие услуги</t>
  </si>
  <si>
    <t>III. Содержание общего имущества МКД</t>
  </si>
  <si>
    <t>АКТ №1</t>
  </si>
  <si>
    <t>итого:</t>
  </si>
  <si>
    <t xml:space="preserve"> </t>
  </si>
  <si>
    <t>Очистка края кровли от слежавшегося снега со сбрасыванием сосулек (10% от S кровли)</t>
  </si>
  <si>
    <t>Смена трубопроводов на металл-полимерные трубы диаметром до 20 мм</t>
  </si>
  <si>
    <t>Замена кран-буксы</t>
  </si>
  <si>
    <t>1 шт</t>
  </si>
  <si>
    <t>Работа автовышки</t>
  </si>
  <si>
    <t>маш/час</t>
  </si>
  <si>
    <t>Ремонт и регулировка доводчика (без стоимости доводчика)</t>
  </si>
  <si>
    <t>1шт.</t>
  </si>
  <si>
    <t xml:space="preserve">Смена прокладок </t>
  </si>
  <si>
    <t>Смена арматуры - вентилей и клапанов обратных муфтовых диаметром до 20 мм</t>
  </si>
  <si>
    <t>1 шт.</t>
  </si>
  <si>
    <t>Смена арматуры - вентилей и клапанов обратных муфтовых диаметром до 32 мм</t>
  </si>
  <si>
    <t>Демонтаж кабеля</t>
  </si>
  <si>
    <t xml:space="preserve">Спуск воды и наполнение системы ГВС </t>
  </si>
  <si>
    <t>Настройка таймера освещения ТО-2</t>
  </si>
  <si>
    <t>100шт</t>
  </si>
  <si>
    <t>Ремонт покрытий кровель из листовой стали</t>
  </si>
  <si>
    <t>Смена трубопроводов на полипропиленовые трубы PN25 диаметром 25 мм</t>
  </si>
  <si>
    <t>Смена трубопроводов на полипропиленовые трубы PN25 диаметром 20 мм</t>
  </si>
  <si>
    <t>Смена арматуры - вентилей полипропиленовых диаметром 20 мм</t>
  </si>
  <si>
    <t>Смена трубопроводов на полипропиленовые трубы PN20 диаметром 20 мм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</si>
  <si>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</si>
  <si>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</si>
  <si>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Монтаж светодиодного светильника</t>
  </si>
  <si>
    <t>тыс.руб.</t>
  </si>
  <si>
    <t xml:space="preserve">2 раза в месяц 24 раза в год </t>
  </si>
  <si>
    <t>5 раз в год</t>
  </si>
  <si>
    <t>2. Всего за период с 01.01.2016 по 31.01.2016 выполнено работ (оказано услуг) на общую сумму: 64769,67 руб.</t>
  </si>
  <si>
    <t>(шестьдесят четыре тысячи семьсот шестьдесят девять рублей 67 копеек)</t>
  </si>
  <si>
    <t>АКТ №2</t>
  </si>
  <si>
    <t>2. Всего за период с 01.02.2016 по 29.02.2016 выполнено работ (оказано услуг) на общую сумму: 60877,32 руб.</t>
  </si>
  <si>
    <t>(шестьдесят тысяч восемьсот семьдесят семь рублей 32 копейки)</t>
  </si>
  <si>
    <t>АКТ №3</t>
  </si>
  <si>
    <t>2. Всего за период с 01.03.2016 по 31.03.2016 выполнено работ (оказано услуг) на общую сумму: 46996,71 руб.</t>
  </si>
  <si>
    <t>(сорок шесть тысяч девятьсот девяносто шесть рублей 71 копейка)</t>
  </si>
  <si>
    <t>АКТ №4</t>
  </si>
  <si>
    <t>2. Всего за период с 01.04.2016 по 30.04.2016 выполнено работ (оказано услуг) на общую сумму: 52992,00 руб.</t>
  </si>
  <si>
    <t>(пятьдесят две тысячи девятьсот девяносто два рубля 00 копеек)</t>
  </si>
  <si>
    <t>АКТ №5</t>
  </si>
  <si>
    <t>2. Всего за период с 01.05.2016 по 31.05.2016 выполнено работ (оказано услуг) на общую сумму: 128295,55 руб.</t>
  </si>
  <si>
    <t>(сто двадцать восемь тысяч двести девяносто пять рублей 55 копеек)</t>
  </si>
  <si>
    <t>АКТ №6</t>
  </si>
  <si>
    <t>2. Всего за период с 01.06.2016 по 30.06.2016 выполнено работ (оказано услуг) на общую сумму: 38125,54 руб.</t>
  </si>
  <si>
    <t>(тридцать восемь тысяч сто двадцать пять рублей 54 копейки)</t>
  </si>
  <si>
    <t>АКТ №7</t>
  </si>
  <si>
    <t>2. Всего за период с 01.07.2016 по 31.07.2016 выполнено работ (оказано услуг) на общую сумму: 39056,13 руб.</t>
  </si>
  <si>
    <t>(тридцать девять тысяч пятьдесят шесть рублей 13 копеек)</t>
  </si>
  <si>
    <t>АКТ №8</t>
  </si>
  <si>
    <t>2. Всего за период с 01.08.2016 по 31.08.2016 выполнено работ (оказано услуг) на общую сумму: 82074,23 руб.</t>
  </si>
  <si>
    <t>(восемьдесят две тысячи семьдесят четыре рубля 23 копейки)</t>
  </si>
  <si>
    <t>АКТ №9</t>
  </si>
  <si>
    <t>2. Всего за период с 01.09.2016 по 30.09.2016 выполнено работ (оказано услуг) на общую сумму: 45594,68 руб.</t>
  </si>
  <si>
    <t>(сорок пять тысяч пятьсот девяносто четыре рубля 68 копеек)</t>
  </si>
  <si>
    <t>АКТ №10</t>
  </si>
  <si>
    <t>2. Всего за период с 01.10.2016 по 31.10.2016 выполнено работ (оказано услуг) на общую сумму: 43331,46 руб.</t>
  </si>
  <si>
    <t>(сорок три тысячи триста тридцать один рубль 46 копеек)</t>
  </si>
  <si>
    <t>ежемесячно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</si>
</sst>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0" fillId="0" borderId="3" xfId="0" applyBorder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1" fillId="3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1" fillId="2" borderId="11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0" fontId="0" fillId="0" borderId="3" xfId="0" applyBorder="1" applyAlignment="1"/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0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176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86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42400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hidden="1" customHeight="1">
      <c r="A19" s="39"/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v>0</v>
      </c>
      <c r="J19" s="32"/>
      <c r="K19" s="8"/>
      <c r="L19" s="8"/>
      <c r="M19" s="8"/>
    </row>
    <row r="20" spans="1:13" ht="15.75" customHeight="1">
      <c r="A20" s="39">
        <v>4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customHeight="1">
      <c r="A21" s="39">
        <v>5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hidden="1" customHeight="1">
      <c r="A22" s="39"/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v>0</v>
      </c>
      <c r="J22" s="32"/>
      <c r="K22" s="8"/>
      <c r="L22" s="8"/>
      <c r="M22" s="8"/>
    </row>
    <row r="23" spans="1:13" ht="15.75" hidden="1" customHeight="1">
      <c r="A23" s="39"/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v>0</v>
      </c>
      <c r="J23" s="32"/>
      <c r="K23" s="8"/>
      <c r="L23" s="8"/>
      <c r="M23" s="8"/>
    </row>
    <row r="24" spans="1:13" ht="15.75" hidden="1" customHeight="1">
      <c r="A24" s="39"/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v>0</v>
      </c>
      <c r="J24" s="32"/>
      <c r="K24" s="8"/>
      <c r="L24" s="8"/>
      <c r="M24" s="8"/>
    </row>
    <row r="25" spans="1:13" ht="15.75" hidden="1" customHeight="1">
      <c r="A25" s="39"/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v>0</v>
      </c>
      <c r="J25" s="32"/>
      <c r="K25" s="8"/>
      <c r="L25" s="8"/>
      <c r="M25" s="8"/>
    </row>
    <row r="26" spans="1:13" ht="15.75" hidden="1" customHeight="1">
      <c r="A26" s="39"/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v>0</v>
      </c>
      <c r="J26" s="32"/>
      <c r="K26" s="8"/>
      <c r="L26" s="8"/>
      <c r="M26" s="8"/>
    </row>
    <row r="27" spans="1:13" ht="15.75" customHeight="1">
      <c r="A27" s="39">
        <v>6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7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hidden="1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hidden="1" customHeight="1">
      <c r="A31" s="39">
        <v>8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1">SUM(F31*G31/1000)</f>
        <v>5.7627569999999997</v>
      </c>
      <c r="I31" s="16">
        <f t="shared" ref="I31:I35" si="2">F31/6*G31</f>
        <v>960.45949999999993</v>
      </c>
      <c r="J31" s="32"/>
      <c r="K31" s="8"/>
      <c r="L31" s="8"/>
      <c r="M31" s="8"/>
    </row>
    <row r="32" spans="1:13" ht="31.5" hidden="1" customHeight="1">
      <c r="A32" s="39">
        <v>9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1"/>
        <v>1.7575833600000001</v>
      </c>
      <c r="I32" s="16">
        <f t="shared" si="2"/>
        <v>292.93056000000007</v>
      </c>
      <c r="J32" s="32"/>
      <c r="K32" s="8"/>
      <c r="L32" s="8"/>
      <c r="M32" s="8"/>
    </row>
    <row r="33" spans="1:14" ht="15.75" hidden="1" customHeight="1">
      <c r="A33" s="39"/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1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hidden="1" customHeight="1">
      <c r="A34" s="39">
        <v>10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2"/>
        <v>1078.6914999999999</v>
      </c>
      <c r="J34" s="32"/>
      <c r="K34" s="8"/>
    </row>
    <row r="35" spans="1:14" ht="15.75" hidden="1" customHeight="1">
      <c r="A35" s="39">
        <v>11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2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1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1"/>
        <v>2.4294600000000002</v>
      </c>
      <c r="I37" s="16">
        <v>0</v>
      </c>
      <c r="J37" s="33"/>
    </row>
    <row r="38" spans="1:14" ht="15.75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customHeight="1">
      <c r="A39" s="39">
        <v>8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3">SUM(F39*G39/1000)</f>
        <v>13.060799999999999</v>
      </c>
      <c r="I39" s="16">
        <f t="shared" ref="I39:I45" si="4">F39/6*G39</f>
        <v>2176.7999999999997</v>
      </c>
      <c r="J39" s="33"/>
      <c r="L39" s="25"/>
      <c r="M39" s="26"/>
      <c r="N39" s="27"/>
    </row>
    <row r="40" spans="1:14" ht="15.75" customHeight="1">
      <c r="A40" s="39">
        <v>9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4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customHeight="1">
      <c r="A42" s="39">
        <v>10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3"/>
        <v>8.9156542499999993</v>
      </c>
      <c r="I42" s="16">
        <f t="shared" si="4"/>
        <v>1485.9423750000001</v>
      </c>
      <c r="J42" s="33"/>
      <c r="L42" s="25"/>
      <c r="M42" s="26"/>
      <c r="N42" s="27"/>
    </row>
    <row r="43" spans="1:14" ht="47.25" customHeight="1">
      <c r="A43" s="39">
        <v>11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3"/>
        <v>17.69605425</v>
      </c>
      <c r="I43" s="16">
        <f t="shared" si="4"/>
        <v>2949.3423749999997</v>
      </c>
      <c r="J43" s="33"/>
      <c r="L43" s="25"/>
      <c r="M43" s="26"/>
      <c r="N43" s="27"/>
    </row>
    <row r="44" spans="1:14" ht="15.75" customHeight="1">
      <c r="A44" s="39">
        <v>12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3"/>
        <v>1.6807418999999999</v>
      </c>
      <c r="I44" s="16">
        <f t="shared" si="4"/>
        <v>280.12364999999994</v>
      </c>
      <c r="J44" s="33"/>
      <c r="L44" s="25"/>
      <c r="M44" s="26"/>
      <c r="N44" s="27"/>
    </row>
    <row r="45" spans="1:14" ht="15.75" customHeight="1">
      <c r="A45" s="39">
        <v>13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3"/>
        <v>0.76775400000000005</v>
      </c>
      <c r="I45" s="16">
        <f t="shared" si="4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hidden="1" customHeight="1">
      <c r="A48" s="39"/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5">SUM(F48*G48/1000)</f>
        <v>1.8697176000000002</v>
      </c>
      <c r="I48" s="16">
        <v>0</v>
      </c>
      <c r="J48" s="33"/>
      <c r="L48" s="25"/>
      <c r="M48" s="26"/>
      <c r="N48" s="27"/>
    </row>
    <row r="49" spans="1:22" ht="15.75" hidden="1" customHeight="1">
      <c r="A49" s="39"/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5"/>
        <v>4.8317880000000001E-2</v>
      </c>
      <c r="I49" s="16">
        <v>0</v>
      </c>
      <c r="J49" s="33"/>
      <c r="L49" s="25"/>
      <c r="M49" s="26"/>
      <c r="N49" s="27"/>
    </row>
    <row r="50" spans="1:22" ht="15.75" hidden="1" customHeight="1">
      <c r="A50" s="39"/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5"/>
        <v>1.2847600399999999</v>
      </c>
      <c r="I50" s="16">
        <v>0</v>
      </c>
      <c r="J50" s="33"/>
      <c r="L50" s="25"/>
      <c r="M50" s="26"/>
      <c r="N50" s="27"/>
    </row>
    <row r="51" spans="1:22" ht="15.75" hidden="1" customHeight="1">
      <c r="A51" s="39"/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5"/>
        <v>2.95001472</v>
      </c>
      <c r="I51" s="16">
        <v>0</v>
      </c>
      <c r="J51" s="33"/>
      <c r="L51" s="25"/>
      <c r="M51" s="26"/>
      <c r="N51" s="27"/>
    </row>
    <row r="52" spans="1:22" ht="15.75" hidden="1" customHeight="1">
      <c r="A52" s="39"/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v>0</v>
      </c>
      <c r="J52" s="33"/>
      <c r="L52" s="25"/>
      <c r="M52" s="26"/>
      <c r="N52" s="27"/>
    </row>
    <row r="53" spans="1:22" ht="15.75" customHeight="1">
      <c r="A53" s="39">
        <v>14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hidden="1" customHeight="1">
      <c r="A54" s="39"/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v>0</v>
      </c>
      <c r="J54" s="33"/>
      <c r="L54" s="25"/>
      <c r="M54" s="26"/>
      <c r="N54" s="27"/>
    </row>
    <row r="55" spans="1:22" ht="31.5" hidden="1" customHeight="1">
      <c r="A55" s="39"/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v>0</v>
      </c>
      <c r="J55" s="33"/>
      <c r="L55" s="25"/>
      <c r="M55" s="26"/>
      <c r="N55" s="27"/>
    </row>
    <row r="56" spans="1:22" ht="15.75" hidden="1" customHeight="1">
      <c r="A56" s="39"/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5"/>
        <v>0.1208424</v>
      </c>
      <c r="I56" s="16">
        <v>0</v>
      </c>
      <c r="J56" s="33"/>
      <c r="L56" s="25"/>
      <c r="M56" s="26"/>
      <c r="N56" s="27"/>
    </row>
    <row r="57" spans="1:22" ht="15.75" customHeight="1">
      <c r="A57" s="39">
        <v>15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171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customHeight="1">
      <c r="A60" s="39">
        <v>16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17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39">
        <v>18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6">SUM(F65*G65/1000)</f>
        <v>2.3774000000000002</v>
      </c>
      <c r="I65" s="16">
        <f>G65*2</f>
        <v>475.48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6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9"/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6"/>
        <v>30.133587299999999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9"/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6"/>
        <v>2.3466170700000002</v>
      </c>
      <c r="I68" s="16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9"/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v>0</v>
      </c>
    </row>
    <row r="70" spans="1:21" ht="15.75" hidden="1" customHeight="1">
      <c r="A70" s="39"/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6"/>
        <v>0.36696200000000001</v>
      </c>
      <c r="I70" s="16">
        <v>0</v>
      </c>
    </row>
    <row r="71" spans="1:21" ht="15.75" hidden="1" customHeight="1">
      <c r="A71" s="39"/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6"/>
        <v>0.342366</v>
      </c>
      <c r="I71" s="16">
        <v>0</v>
      </c>
    </row>
    <row r="72" spans="1:21" ht="15.75" hidden="1" customHeight="1">
      <c r="A72" s="39"/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6"/>
        <v>0.31992000000000004</v>
      </c>
      <c r="I72" s="16">
        <v>0</v>
      </c>
    </row>
    <row r="73" spans="1:21" ht="15.75" hidden="1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hidden="1" customHeight="1">
      <c r="A74" s="39"/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6"/>
        <v>0.10724600000000001</v>
      </c>
      <c r="I74" s="16">
        <v>0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6"/>
        <v>1.474925</v>
      </c>
      <c r="I78" s="16">
        <v>0</v>
      </c>
    </row>
    <row r="79" spans="1:21" ht="15.75" hidden="1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hidden="1" customHeight="1">
      <c r="A80" s="39"/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v>0</v>
      </c>
    </row>
    <row r="81" spans="1:9" ht="15" customHeight="1">
      <c r="A81" s="162" t="s">
        <v>172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19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20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I16+I17+I18+I20+I21+I27+I28+I39+I40+I42+I43+I44+I45+I53+I57+I60+I63+I65+I82+I83</f>
        <v>49577.714039333339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31.5" customHeight="1">
      <c r="A86" s="39">
        <v>21</v>
      </c>
      <c r="B86" s="122" t="s">
        <v>180</v>
      </c>
      <c r="C86" s="39" t="s">
        <v>90</v>
      </c>
      <c r="D86" s="18"/>
      <c r="E86" s="23"/>
      <c r="F86" s="16">
        <v>6</v>
      </c>
      <c r="G86" s="16">
        <v>2057</v>
      </c>
      <c r="H86" s="143">
        <f t="shared" ref="H86:H102" si="7">G86*F86/1000</f>
        <v>12.342000000000001</v>
      </c>
      <c r="I86" s="16">
        <f>G86*6</f>
        <v>12342</v>
      </c>
    </row>
    <row r="87" spans="1:9" ht="15.75" customHeight="1">
      <c r="A87" s="39">
        <v>22</v>
      </c>
      <c r="B87" s="83" t="s">
        <v>181</v>
      </c>
      <c r="C87" s="97" t="s">
        <v>182</v>
      </c>
      <c r="D87" s="69"/>
      <c r="E87" s="16"/>
      <c r="F87" s="16">
        <v>1</v>
      </c>
      <c r="G87" s="16">
        <v>332.87</v>
      </c>
      <c r="H87" s="143">
        <f t="shared" si="7"/>
        <v>0.33287</v>
      </c>
      <c r="I87" s="16">
        <f>G87</f>
        <v>332.87</v>
      </c>
    </row>
    <row r="88" spans="1:9" ht="15.75" customHeight="1">
      <c r="A88" s="39">
        <v>23</v>
      </c>
      <c r="B88" s="83" t="s">
        <v>150</v>
      </c>
      <c r="C88" s="97" t="s">
        <v>127</v>
      </c>
      <c r="D88" s="18"/>
      <c r="E88" s="23"/>
      <c r="F88" s="16">
        <v>552</v>
      </c>
      <c r="G88" s="16">
        <v>50.68</v>
      </c>
      <c r="H88" s="143">
        <f>G88*F88/1000</f>
        <v>27.975360000000002</v>
      </c>
      <c r="I88" s="16">
        <f>G88*46</f>
        <v>2331.2800000000002</v>
      </c>
    </row>
    <row r="89" spans="1:9" ht="15.75" customHeight="1">
      <c r="A89" s="39">
        <v>24</v>
      </c>
      <c r="B89" s="83" t="s">
        <v>160</v>
      </c>
      <c r="C89" s="97" t="s">
        <v>97</v>
      </c>
      <c r="D89" s="18"/>
      <c r="E89" s="23"/>
      <c r="F89" s="16">
        <v>10</v>
      </c>
      <c r="G89" s="16">
        <v>185.81</v>
      </c>
      <c r="H89" s="143">
        <f>G89*F89/1000</f>
        <v>1.8580999999999999</v>
      </c>
      <c r="I89" s="16">
        <f>G89</f>
        <v>185.81</v>
      </c>
    </row>
    <row r="90" spans="1:9" ht="15.75" hidden="1" customHeight="1">
      <c r="A90" s="39"/>
      <c r="B90" s="18" t="s">
        <v>183</v>
      </c>
      <c r="C90" s="20" t="s">
        <v>184</v>
      </c>
      <c r="D90" s="18"/>
      <c r="E90" s="23"/>
      <c r="F90" s="16">
        <v>6.5</v>
      </c>
      <c r="G90" s="16">
        <v>1501</v>
      </c>
      <c r="H90" s="143">
        <f t="shared" si="7"/>
        <v>9.7565000000000008</v>
      </c>
      <c r="I90" s="16">
        <v>0</v>
      </c>
    </row>
    <row r="91" spans="1:9" ht="31.5" hidden="1" customHeight="1">
      <c r="A91" s="39"/>
      <c r="B91" s="122" t="s">
        <v>185</v>
      </c>
      <c r="C91" s="39" t="s">
        <v>186</v>
      </c>
      <c r="D91" s="18"/>
      <c r="E91" s="23"/>
      <c r="F91" s="16">
        <v>1</v>
      </c>
      <c r="G91" s="16">
        <v>383.01</v>
      </c>
      <c r="H91" s="143">
        <f t="shared" si="7"/>
        <v>0.38301000000000002</v>
      </c>
      <c r="I91" s="16">
        <v>0</v>
      </c>
    </row>
    <row r="92" spans="1:9" ht="15.75" hidden="1" customHeight="1">
      <c r="A92" s="39"/>
      <c r="B92" s="83" t="s">
        <v>187</v>
      </c>
      <c r="C92" s="97" t="s">
        <v>182</v>
      </c>
      <c r="D92" s="18"/>
      <c r="E92" s="23"/>
      <c r="F92" s="16">
        <v>3</v>
      </c>
      <c r="G92" s="16">
        <v>251.02</v>
      </c>
      <c r="H92" s="143">
        <f t="shared" si="7"/>
        <v>0.75306000000000006</v>
      </c>
      <c r="I92" s="16">
        <v>0</v>
      </c>
    </row>
    <row r="93" spans="1:9" ht="31.5" hidden="1" customHeight="1">
      <c r="A93" s="39"/>
      <c r="B93" s="83" t="s">
        <v>188</v>
      </c>
      <c r="C93" s="97" t="s">
        <v>189</v>
      </c>
      <c r="D93" s="18"/>
      <c r="E93" s="23"/>
      <c r="F93" s="16">
        <v>3</v>
      </c>
      <c r="G93" s="16">
        <v>559.62</v>
      </c>
      <c r="H93" s="143">
        <f t="shared" si="7"/>
        <v>1.67886</v>
      </c>
      <c r="I93" s="16">
        <v>0</v>
      </c>
    </row>
    <row r="94" spans="1:9" ht="31.5" hidden="1" customHeight="1">
      <c r="A94" s="39"/>
      <c r="B94" s="83" t="s">
        <v>190</v>
      </c>
      <c r="C94" s="97" t="s">
        <v>182</v>
      </c>
      <c r="D94" s="18"/>
      <c r="E94" s="23"/>
      <c r="F94" s="16">
        <v>1</v>
      </c>
      <c r="G94" s="16">
        <v>762.37</v>
      </c>
      <c r="H94" s="143">
        <f t="shared" si="7"/>
        <v>0.76236999999999999</v>
      </c>
      <c r="I94" s="16">
        <v>0</v>
      </c>
    </row>
    <row r="95" spans="1:9" ht="15.75" hidden="1" customHeight="1">
      <c r="A95" s="39"/>
      <c r="B95" s="83" t="s">
        <v>191</v>
      </c>
      <c r="C95" s="97" t="s">
        <v>56</v>
      </c>
      <c r="D95" s="18"/>
      <c r="E95" s="23"/>
      <c r="F95" s="16">
        <f>6/10</f>
        <v>0.6</v>
      </c>
      <c r="G95" s="16">
        <v>297.85000000000002</v>
      </c>
      <c r="H95" s="143">
        <f t="shared" si="7"/>
        <v>0.17871000000000001</v>
      </c>
      <c r="I95" s="16">
        <v>0</v>
      </c>
    </row>
    <row r="96" spans="1:9" ht="15.75" hidden="1" customHeight="1">
      <c r="A96" s="39"/>
      <c r="B96" s="18" t="s">
        <v>192</v>
      </c>
      <c r="C96" s="20" t="s">
        <v>130</v>
      </c>
      <c r="D96" s="18"/>
      <c r="E96" s="125"/>
      <c r="F96" s="16">
        <f>13287/1000</f>
        <v>13.287000000000001</v>
      </c>
      <c r="G96" s="16">
        <v>176.61</v>
      </c>
      <c r="H96" s="143">
        <f t="shared" si="7"/>
        <v>2.3466170700000002</v>
      </c>
      <c r="I96" s="16">
        <v>0</v>
      </c>
    </row>
    <row r="97" spans="1:9" ht="31.5" hidden="1" customHeight="1">
      <c r="A97" s="39"/>
      <c r="B97" s="83" t="s">
        <v>87</v>
      </c>
      <c r="C97" s="97" t="s">
        <v>127</v>
      </c>
      <c r="D97" s="18"/>
      <c r="E97" s="23"/>
      <c r="F97" s="16">
        <v>2</v>
      </c>
      <c r="G97" s="16">
        <v>79.09</v>
      </c>
      <c r="H97" s="143">
        <f t="shared" si="7"/>
        <v>0.15818000000000002</v>
      </c>
      <c r="I97" s="16">
        <v>0</v>
      </c>
    </row>
    <row r="98" spans="1:9" ht="15.75" hidden="1" customHeight="1">
      <c r="A98" s="39"/>
      <c r="B98" s="83" t="s">
        <v>193</v>
      </c>
      <c r="C98" s="97" t="s">
        <v>194</v>
      </c>
      <c r="D98" s="18"/>
      <c r="E98" s="23"/>
      <c r="F98" s="16">
        <f>1/100</f>
        <v>0.01</v>
      </c>
      <c r="G98" s="16">
        <v>7033.13</v>
      </c>
      <c r="H98" s="143">
        <f t="shared" si="7"/>
        <v>7.0331299999999999E-2</v>
      </c>
      <c r="I98" s="16">
        <v>0</v>
      </c>
    </row>
    <row r="99" spans="1:9" ht="15.75" hidden="1" customHeight="1">
      <c r="A99" s="39"/>
      <c r="B99" s="18" t="s">
        <v>183</v>
      </c>
      <c r="C99" s="20" t="s">
        <v>184</v>
      </c>
      <c r="D99" s="18"/>
      <c r="E99" s="23"/>
      <c r="F99" s="16">
        <v>1</v>
      </c>
      <c r="G99" s="16">
        <v>1501</v>
      </c>
      <c r="H99" s="143">
        <f t="shared" si="7"/>
        <v>1.5009999999999999</v>
      </c>
      <c r="I99" s="16">
        <v>0</v>
      </c>
    </row>
    <row r="100" spans="1:9" ht="15.75" hidden="1" customHeight="1">
      <c r="A100" s="39"/>
      <c r="B100" s="83" t="s">
        <v>195</v>
      </c>
      <c r="C100" s="97" t="s">
        <v>164</v>
      </c>
      <c r="D100" s="18"/>
      <c r="E100" s="23"/>
      <c r="F100" s="16">
        <f>1.5/10</f>
        <v>0.15</v>
      </c>
      <c r="G100" s="16">
        <v>444.8</v>
      </c>
      <c r="H100" s="143">
        <f t="shared" si="7"/>
        <v>6.6720000000000002E-2</v>
      </c>
      <c r="I100" s="16">
        <v>0</v>
      </c>
    </row>
    <row r="101" spans="1:9" ht="31.5" hidden="1" customHeight="1">
      <c r="A101" s="39"/>
      <c r="B101" s="122" t="s">
        <v>196</v>
      </c>
      <c r="C101" s="39" t="s">
        <v>90</v>
      </c>
      <c r="D101" s="18"/>
      <c r="E101" s="23"/>
      <c r="F101" s="16">
        <v>2.5</v>
      </c>
      <c r="G101" s="16">
        <v>1272</v>
      </c>
      <c r="H101" s="143">
        <f t="shared" si="7"/>
        <v>3.18</v>
      </c>
      <c r="I101" s="16">
        <v>0</v>
      </c>
    </row>
    <row r="102" spans="1:9" ht="31.5" hidden="1" customHeight="1">
      <c r="A102" s="39"/>
      <c r="B102" s="122" t="s">
        <v>197</v>
      </c>
      <c r="C102" s="39" t="s">
        <v>90</v>
      </c>
      <c r="D102" s="18"/>
      <c r="E102" s="23"/>
      <c r="F102" s="16">
        <v>30</v>
      </c>
      <c r="G102" s="16">
        <v>1187</v>
      </c>
      <c r="H102" s="143">
        <f t="shared" si="7"/>
        <v>35.61</v>
      </c>
      <c r="I102" s="16">
        <v>0</v>
      </c>
    </row>
    <row r="103" spans="1:9" ht="31.5" hidden="1" customHeight="1">
      <c r="A103" s="39"/>
      <c r="B103" s="83" t="s">
        <v>198</v>
      </c>
      <c r="C103" s="97" t="s">
        <v>189</v>
      </c>
      <c r="D103" s="18"/>
      <c r="E103" s="23"/>
      <c r="F103" s="16">
        <v>4</v>
      </c>
      <c r="G103" s="16">
        <v>730.54</v>
      </c>
      <c r="H103" s="143">
        <f>G103*F103/1000</f>
        <v>2.9221599999999999</v>
      </c>
      <c r="I103" s="16">
        <v>0</v>
      </c>
    </row>
    <row r="104" spans="1:9" ht="31.5" hidden="1" customHeight="1">
      <c r="A104" s="39"/>
      <c r="B104" s="122" t="s">
        <v>199</v>
      </c>
      <c r="C104" s="39" t="s">
        <v>90</v>
      </c>
      <c r="D104" s="18"/>
      <c r="E104" s="23"/>
      <c r="F104" s="16">
        <v>1</v>
      </c>
      <c r="G104" s="16">
        <v>1146</v>
      </c>
      <c r="H104" s="143">
        <f t="shared" ref="H104:H105" si="8">G104*F104/1000</f>
        <v>1.1459999999999999</v>
      </c>
      <c r="I104" s="16">
        <v>0</v>
      </c>
    </row>
    <row r="105" spans="1:9" ht="31.5" hidden="1" customHeight="1">
      <c r="A105" s="39"/>
      <c r="B105" s="83" t="s">
        <v>200</v>
      </c>
      <c r="C105" s="97" t="s">
        <v>201</v>
      </c>
      <c r="D105" s="18"/>
      <c r="E105" s="23"/>
      <c r="F105" s="16">
        <v>1</v>
      </c>
      <c r="G105" s="16">
        <v>51.39</v>
      </c>
      <c r="H105" s="143">
        <f t="shared" si="8"/>
        <v>5.1389999999999998E-2</v>
      </c>
      <c r="I105" s="16">
        <v>0</v>
      </c>
    </row>
    <row r="106" spans="1:9" ht="15.75" hidden="1" customHeight="1">
      <c r="A106" s="39"/>
      <c r="B106" s="83" t="s">
        <v>202</v>
      </c>
      <c r="C106" s="97" t="s">
        <v>203</v>
      </c>
      <c r="D106" s="18"/>
      <c r="E106" s="23"/>
      <c r="F106" s="16">
        <v>1</v>
      </c>
      <c r="G106" s="16">
        <v>7383</v>
      </c>
      <c r="H106" s="143">
        <f>G106*F106/1000</f>
        <v>7.383</v>
      </c>
      <c r="I106" s="16">
        <v>0</v>
      </c>
    </row>
    <row r="107" spans="1:9" ht="16.5" customHeight="1">
      <c r="A107" s="39"/>
      <c r="B107" s="63" t="s">
        <v>52</v>
      </c>
      <c r="C107" s="59"/>
      <c r="D107" s="73"/>
      <c r="E107" s="59">
        <v>1</v>
      </c>
      <c r="F107" s="59"/>
      <c r="G107" s="59"/>
      <c r="H107" s="59"/>
      <c r="I107" s="41">
        <f>SUM(I86:I106)</f>
        <v>15191.960000000001</v>
      </c>
    </row>
    <row r="108" spans="1:9" ht="15.75" customHeight="1">
      <c r="A108" s="39"/>
      <c r="B108" s="69" t="s">
        <v>85</v>
      </c>
      <c r="C108" s="19"/>
      <c r="D108" s="19"/>
      <c r="E108" s="60"/>
      <c r="F108" s="60"/>
      <c r="G108" s="61"/>
      <c r="H108" s="61"/>
      <c r="I108" s="22">
        <v>0</v>
      </c>
    </row>
    <row r="109" spans="1:9" ht="15.75" customHeight="1">
      <c r="A109" s="74"/>
      <c r="B109" s="64" t="s">
        <v>53</v>
      </c>
      <c r="C109" s="47"/>
      <c r="D109" s="47"/>
      <c r="E109" s="47"/>
      <c r="F109" s="47"/>
      <c r="G109" s="47"/>
      <c r="H109" s="47"/>
      <c r="I109" s="62">
        <f>I84+I107</f>
        <v>64769.674039333338</v>
      </c>
    </row>
    <row r="110" spans="1:9" ht="15.75" customHeight="1">
      <c r="A110" s="165" t="s">
        <v>206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15.75">
      <c r="A111" s="116"/>
      <c r="B111" s="166" t="s">
        <v>207</v>
      </c>
      <c r="C111" s="166"/>
      <c r="D111" s="166"/>
      <c r="E111" s="166"/>
      <c r="F111" s="166"/>
      <c r="G111" s="166"/>
      <c r="H111" s="121"/>
      <c r="I111" s="3"/>
    </row>
    <row r="112" spans="1:9">
      <c r="A112" s="115"/>
      <c r="B112" s="159" t="s">
        <v>6</v>
      </c>
      <c r="C112" s="159"/>
      <c r="D112" s="159"/>
      <c r="E112" s="159"/>
      <c r="F112" s="159"/>
      <c r="G112" s="159"/>
      <c r="H112" s="34"/>
      <c r="I112" s="5"/>
    </row>
    <row r="113" spans="1:9" ht="15.75" customHeight="1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5.75" customHeight="1">
      <c r="A114" s="167" t="s">
        <v>7</v>
      </c>
      <c r="B114" s="167"/>
      <c r="C114" s="167"/>
      <c r="D114" s="167"/>
      <c r="E114" s="167"/>
      <c r="F114" s="167"/>
      <c r="G114" s="167"/>
      <c r="H114" s="167"/>
      <c r="I114" s="167"/>
    </row>
    <row r="115" spans="1:9" ht="15.75">
      <c r="A115" s="167" t="s">
        <v>8</v>
      </c>
      <c r="B115" s="167"/>
      <c r="C115" s="167"/>
      <c r="D115" s="167"/>
      <c r="E115" s="167"/>
      <c r="F115" s="167"/>
      <c r="G115" s="167"/>
      <c r="H115" s="167"/>
      <c r="I115" s="167"/>
    </row>
    <row r="116" spans="1:9" ht="15.75">
      <c r="A116" s="156" t="s">
        <v>64</v>
      </c>
      <c r="B116" s="156"/>
      <c r="C116" s="156"/>
      <c r="D116" s="156"/>
      <c r="E116" s="156"/>
      <c r="F116" s="156"/>
      <c r="G116" s="156"/>
      <c r="H116" s="156"/>
      <c r="I116" s="156"/>
    </row>
    <row r="117" spans="1:9" ht="15.75">
      <c r="A117" s="11"/>
    </row>
    <row r="118" spans="1:9" ht="15.75">
      <c r="A118" s="157" t="s">
        <v>9</v>
      </c>
      <c r="B118" s="157"/>
      <c r="C118" s="157"/>
      <c r="D118" s="157"/>
      <c r="E118" s="157"/>
      <c r="F118" s="157"/>
      <c r="G118" s="157"/>
      <c r="H118" s="157"/>
      <c r="I118" s="157"/>
    </row>
    <row r="119" spans="1:9" ht="15.75" customHeight="1">
      <c r="A119" s="4"/>
    </row>
    <row r="120" spans="1:9" ht="15.75">
      <c r="B120" s="112" t="s">
        <v>10</v>
      </c>
      <c r="C120" s="158" t="s">
        <v>173</v>
      </c>
      <c r="D120" s="158"/>
      <c r="E120" s="158"/>
      <c r="F120" s="119"/>
      <c r="I120" s="114"/>
    </row>
    <row r="121" spans="1:9">
      <c r="A121" s="115"/>
      <c r="C121" s="159" t="s">
        <v>11</v>
      </c>
      <c r="D121" s="159"/>
      <c r="E121" s="159"/>
      <c r="F121" s="34"/>
      <c r="I121" s="113" t="s">
        <v>12</v>
      </c>
    </row>
    <row r="122" spans="1:9" ht="15.75" customHeight="1">
      <c r="A122" s="35"/>
      <c r="C122" s="12"/>
      <c r="D122" s="12"/>
      <c r="G122" s="12"/>
      <c r="H122" s="12"/>
    </row>
    <row r="123" spans="1:9" ht="15.75" customHeight="1">
      <c r="B123" s="112" t="s">
        <v>13</v>
      </c>
      <c r="C123" s="160"/>
      <c r="D123" s="160"/>
      <c r="E123" s="160"/>
      <c r="F123" s="120"/>
      <c r="I123" s="114"/>
    </row>
    <row r="124" spans="1:9" ht="15.75" customHeight="1">
      <c r="A124" s="115"/>
      <c r="C124" s="161" t="s">
        <v>11</v>
      </c>
      <c r="D124" s="161"/>
      <c r="E124" s="161"/>
      <c r="F124" s="115"/>
      <c r="I124" s="113" t="s">
        <v>12</v>
      </c>
    </row>
    <row r="125" spans="1:9" ht="15.75">
      <c r="A125" s="4" t="s">
        <v>14</v>
      </c>
    </row>
    <row r="126" spans="1:9">
      <c r="A126" s="154" t="s">
        <v>15</v>
      </c>
      <c r="B126" s="154"/>
      <c r="C126" s="154"/>
      <c r="D126" s="154"/>
      <c r="E126" s="154"/>
      <c r="F126" s="154"/>
      <c r="G126" s="154"/>
      <c r="H126" s="154"/>
      <c r="I126" s="154"/>
    </row>
    <row r="127" spans="1:9" ht="45" customHeight="1">
      <c r="A127" s="155" t="s">
        <v>16</v>
      </c>
      <c r="B127" s="155"/>
      <c r="C127" s="155"/>
      <c r="D127" s="155"/>
      <c r="E127" s="155"/>
      <c r="F127" s="155"/>
      <c r="G127" s="155"/>
      <c r="H127" s="155"/>
      <c r="I127" s="155"/>
    </row>
    <row r="128" spans="1:9" ht="30" customHeight="1">
      <c r="A128" s="155" t="s">
        <v>17</v>
      </c>
      <c r="B128" s="155"/>
      <c r="C128" s="155"/>
      <c r="D128" s="155"/>
      <c r="E128" s="155"/>
      <c r="F128" s="155"/>
      <c r="G128" s="155"/>
      <c r="H128" s="155"/>
      <c r="I128" s="155"/>
    </row>
    <row r="129" spans="1:9" ht="30" customHeight="1">
      <c r="A129" s="155" t="s">
        <v>21</v>
      </c>
      <c r="B129" s="155"/>
      <c r="C129" s="155"/>
      <c r="D129" s="155"/>
      <c r="E129" s="155"/>
      <c r="F129" s="155"/>
      <c r="G129" s="155"/>
      <c r="H129" s="155"/>
      <c r="I129" s="155"/>
    </row>
    <row r="130" spans="1:9" ht="15" customHeight="1">
      <c r="A130" s="155" t="s">
        <v>20</v>
      </c>
      <c r="B130" s="155"/>
      <c r="C130" s="155"/>
      <c r="D130" s="155"/>
      <c r="E130" s="155"/>
      <c r="F130" s="155"/>
      <c r="G130" s="155"/>
      <c r="H130" s="155"/>
      <c r="I130" s="155"/>
    </row>
  </sheetData>
  <autoFilter ref="I12:I62"/>
  <mergeCells count="28">
    <mergeCell ref="A14:I14"/>
    <mergeCell ref="A3:I3"/>
    <mergeCell ref="A4:I4"/>
    <mergeCell ref="A5:I5"/>
    <mergeCell ref="A8:I8"/>
    <mergeCell ref="A10:I10"/>
    <mergeCell ref="A15:I15"/>
    <mergeCell ref="A29:I29"/>
    <mergeCell ref="A47:I47"/>
    <mergeCell ref="A58:I58"/>
    <mergeCell ref="R67:U67"/>
    <mergeCell ref="C124:E124"/>
    <mergeCell ref="A81:I81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126:I126"/>
    <mergeCell ref="A127:I127"/>
    <mergeCell ref="A128:I128"/>
    <mergeCell ref="A129:I129"/>
    <mergeCell ref="A130:I13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232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67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42674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hidden="1" customHeight="1">
      <c r="A19" s="39"/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v>0</v>
      </c>
      <c r="J19" s="32"/>
      <c r="K19" s="8"/>
      <c r="L19" s="8"/>
      <c r="M19" s="8"/>
    </row>
    <row r="20" spans="1:13" ht="15.75" customHeight="1">
      <c r="A20" s="39">
        <v>4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hidden="1" customHeight="1">
      <c r="A21" s="39">
        <v>5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hidden="1" customHeight="1">
      <c r="A22" s="39"/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v>0</v>
      </c>
      <c r="J22" s="32"/>
      <c r="K22" s="8"/>
      <c r="L22" s="8"/>
      <c r="M22" s="8"/>
    </row>
    <row r="23" spans="1:13" ht="15.75" hidden="1" customHeight="1">
      <c r="A23" s="39"/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v>0</v>
      </c>
      <c r="J23" s="32"/>
      <c r="K23" s="8"/>
      <c r="L23" s="8"/>
      <c r="M23" s="8"/>
    </row>
    <row r="24" spans="1:13" ht="15.75" hidden="1" customHeight="1">
      <c r="A24" s="39"/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v>0</v>
      </c>
      <c r="J24" s="32"/>
      <c r="K24" s="8"/>
      <c r="L24" s="8"/>
      <c r="M24" s="8"/>
    </row>
    <row r="25" spans="1:13" ht="15.75" hidden="1" customHeight="1">
      <c r="A25" s="39"/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v>0</v>
      </c>
      <c r="J25" s="32"/>
      <c r="K25" s="8"/>
      <c r="L25" s="8"/>
      <c r="M25" s="8"/>
    </row>
    <row r="26" spans="1:13" ht="15.75" hidden="1" customHeight="1">
      <c r="A26" s="39"/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v>0</v>
      </c>
      <c r="J26" s="32"/>
      <c r="K26" s="8"/>
      <c r="L26" s="8"/>
      <c r="M26" s="8"/>
    </row>
    <row r="27" spans="1:13" ht="15.75" customHeight="1">
      <c r="A27" s="39">
        <v>5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6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customHeight="1">
      <c r="A31" s="39">
        <v>7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1">SUM(F31*G31/1000)</f>
        <v>5.7627569999999997</v>
      </c>
      <c r="I31" s="16">
        <f t="shared" ref="I31:I35" si="2">F31/6*G31</f>
        <v>960.45949999999993</v>
      </c>
      <c r="J31" s="32"/>
      <c r="K31" s="8"/>
      <c r="L31" s="8"/>
      <c r="M31" s="8"/>
    </row>
    <row r="32" spans="1:13" ht="31.5" customHeight="1">
      <c r="A32" s="39">
        <v>8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1"/>
        <v>1.7575833600000001</v>
      </c>
      <c r="I32" s="16">
        <f t="shared" si="2"/>
        <v>292.93056000000007</v>
      </c>
      <c r="J32" s="32"/>
      <c r="K32" s="8"/>
      <c r="L32" s="8"/>
      <c r="M32" s="8"/>
    </row>
    <row r="33" spans="1:14" ht="15.75" hidden="1" customHeight="1">
      <c r="A33" s="39"/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1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customHeight="1">
      <c r="A34" s="39">
        <v>9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2"/>
        <v>1078.6914999999999</v>
      </c>
      <c r="J34" s="32"/>
      <c r="K34" s="8"/>
    </row>
    <row r="35" spans="1:14" ht="15.75" customHeight="1">
      <c r="A35" s="39">
        <v>10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2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1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1"/>
        <v>2.4294600000000002</v>
      </c>
      <c r="I37" s="16">
        <v>0</v>
      </c>
      <c r="J37" s="33"/>
    </row>
    <row r="38" spans="1:14" ht="15.75" hidden="1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hidden="1" customHeight="1">
      <c r="A39" s="39">
        <v>8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3">SUM(F39*G39/1000)</f>
        <v>13.060799999999999</v>
      </c>
      <c r="I39" s="16">
        <f t="shared" ref="I39:I45" si="4">F39/6*G39</f>
        <v>2176.7999999999997</v>
      </c>
      <c r="J39" s="33"/>
      <c r="L39" s="25"/>
      <c r="M39" s="26"/>
      <c r="N39" s="27"/>
    </row>
    <row r="40" spans="1:14" ht="15.75" hidden="1" customHeight="1">
      <c r="A40" s="39">
        <v>9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4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hidden="1" customHeight="1">
      <c r="A42" s="39">
        <v>10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3"/>
        <v>8.9156542499999993</v>
      </c>
      <c r="I42" s="16">
        <f t="shared" si="4"/>
        <v>1485.9423750000001</v>
      </c>
      <c r="J42" s="33"/>
      <c r="L42" s="25"/>
      <c r="M42" s="26"/>
      <c r="N42" s="27"/>
    </row>
    <row r="43" spans="1:14" ht="47.25" hidden="1" customHeight="1">
      <c r="A43" s="39">
        <v>11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3"/>
        <v>17.69605425</v>
      </c>
      <c r="I43" s="16">
        <f t="shared" si="4"/>
        <v>2949.3423749999997</v>
      </c>
      <c r="J43" s="33"/>
      <c r="L43" s="25"/>
      <c r="M43" s="26"/>
      <c r="N43" s="27"/>
    </row>
    <row r="44" spans="1:14" ht="15.75" hidden="1" customHeight="1">
      <c r="A44" s="39">
        <v>12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3"/>
        <v>1.6807418999999999</v>
      </c>
      <c r="I44" s="16">
        <f t="shared" si="4"/>
        <v>280.12364999999994</v>
      </c>
      <c r="J44" s="33"/>
      <c r="L44" s="25"/>
      <c r="M44" s="26"/>
      <c r="N44" s="27"/>
    </row>
    <row r="45" spans="1:14" ht="15.75" hidden="1" customHeight="1">
      <c r="A45" s="39">
        <v>13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3"/>
        <v>0.76775400000000005</v>
      </c>
      <c r="I45" s="16">
        <f t="shared" si="4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hidden="1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hidden="1" customHeight="1">
      <c r="A48" s="39"/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5">SUM(F48*G48/1000)</f>
        <v>1.8697176000000002</v>
      </c>
      <c r="I48" s="16">
        <v>0</v>
      </c>
      <c r="J48" s="33"/>
      <c r="L48" s="25"/>
      <c r="M48" s="26"/>
      <c r="N48" s="27"/>
    </row>
    <row r="49" spans="1:22" ht="15.75" hidden="1" customHeight="1">
      <c r="A49" s="39"/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5"/>
        <v>4.8317880000000001E-2</v>
      </c>
      <c r="I49" s="16">
        <v>0</v>
      </c>
      <c r="J49" s="33"/>
      <c r="L49" s="25"/>
      <c r="M49" s="26"/>
      <c r="N49" s="27"/>
    </row>
    <row r="50" spans="1:22" ht="15.75" hidden="1" customHeight="1">
      <c r="A50" s="39"/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5"/>
        <v>1.2847600399999999</v>
      </c>
      <c r="I50" s="16">
        <v>0</v>
      </c>
      <c r="J50" s="33"/>
      <c r="L50" s="25"/>
      <c r="M50" s="26"/>
      <c r="N50" s="27"/>
    </row>
    <row r="51" spans="1:22" ht="15.75" hidden="1" customHeight="1">
      <c r="A51" s="39"/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5"/>
        <v>2.95001472</v>
      </c>
      <c r="I51" s="16">
        <v>0</v>
      </c>
      <c r="J51" s="33"/>
      <c r="L51" s="25"/>
      <c r="M51" s="26"/>
      <c r="N51" s="27"/>
    </row>
    <row r="52" spans="1:22" ht="15.75" hidden="1" customHeight="1">
      <c r="A52" s="39"/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v>0</v>
      </c>
      <c r="J52" s="33"/>
      <c r="L52" s="25"/>
      <c r="M52" s="26"/>
      <c r="N52" s="27"/>
    </row>
    <row r="53" spans="1:22" ht="15.75" hidden="1" customHeight="1">
      <c r="A53" s="39">
        <v>14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hidden="1" customHeight="1">
      <c r="A54" s="39"/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v>0</v>
      </c>
      <c r="J54" s="33"/>
      <c r="L54" s="25"/>
      <c r="M54" s="26"/>
      <c r="N54" s="27"/>
    </row>
    <row r="55" spans="1:22" ht="31.5" hidden="1" customHeight="1">
      <c r="A55" s="39"/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v>0</v>
      </c>
      <c r="J55" s="33"/>
      <c r="L55" s="25"/>
      <c r="M55" s="26"/>
      <c r="N55" s="27"/>
    </row>
    <row r="56" spans="1:22" ht="15.75" hidden="1" customHeight="1">
      <c r="A56" s="39"/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5"/>
        <v>0.1208424</v>
      </c>
      <c r="I56" s="16">
        <v>0</v>
      </c>
      <c r="J56" s="33"/>
      <c r="L56" s="25"/>
      <c r="M56" s="26"/>
      <c r="N56" s="27"/>
    </row>
    <row r="57" spans="1:22" ht="15.75" hidden="1" customHeight="1">
      <c r="A57" s="39">
        <v>15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175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hidden="1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hidden="1" customHeight="1">
      <c r="A60" s="39">
        <v>16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11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hidden="1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9">
        <v>18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6">SUM(F65*G65/1000)</f>
        <v>2.3774000000000002</v>
      </c>
      <c r="I65" s="16">
        <f>G65*2</f>
        <v>475.48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6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9"/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6"/>
        <v>30.133587299999999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9"/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6"/>
        <v>2.3466170700000002</v>
      </c>
      <c r="I68" s="16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9"/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v>0</v>
      </c>
    </row>
    <row r="70" spans="1:21" ht="15.75" hidden="1" customHeight="1">
      <c r="A70" s="39"/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6"/>
        <v>0.36696200000000001</v>
      </c>
      <c r="I70" s="16">
        <v>0</v>
      </c>
    </row>
    <row r="71" spans="1:21" ht="15.75" hidden="1" customHeight="1">
      <c r="A71" s="39"/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6"/>
        <v>0.342366</v>
      </c>
      <c r="I71" s="16">
        <v>0</v>
      </c>
    </row>
    <row r="72" spans="1:21" ht="15.75" hidden="1" customHeight="1">
      <c r="A72" s="39"/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6"/>
        <v>0.31992000000000004</v>
      </c>
      <c r="I72" s="16">
        <v>0</v>
      </c>
    </row>
    <row r="73" spans="1:21" ht="15.75" hidden="1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hidden="1" customHeight="1">
      <c r="A74" s="39"/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6"/>
        <v>0.10724600000000001</v>
      </c>
      <c r="I74" s="16">
        <v>0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6"/>
        <v>1.474925</v>
      </c>
      <c r="I78" s="16">
        <v>0</v>
      </c>
    </row>
    <row r="79" spans="1:21" ht="15.75" hidden="1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hidden="1" customHeight="1">
      <c r="A80" s="39"/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v>0</v>
      </c>
    </row>
    <row r="81" spans="1:9" ht="15" customHeight="1">
      <c r="A81" s="162" t="s">
        <v>174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12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13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I16+I17+I18+I20+I27+I28+I31+I32+I34+I35+I63+I82+I83</f>
        <v>33617.180982666665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15.75" customHeight="1">
      <c r="A86" s="39">
        <v>14</v>
      </c>
      <c r="B86" s="83" t="s">
        <v>150</v>
      </c>
      <c r="C86" s="97" t="s">
        <v>127</v>
      </c>
      <c r="D86" s="18"/>
      <c r="E86" s="23"/>
      <c r="F86" s="16">
        <v>552</v>
      </c>
      <c r="G86" s="16">
        <v>50.68</v>
      </c>
      <c r="H86" s="143">
        <f>G86*F86/1000</f>
        <v>27.975360000000002</v>
      </c>
      <c r="I86" s="16">
        <f>G86*46</f>
        <v>2331.2800000000002</v>
      </c>
    </row>
    <row r="87" spans="1:9" ht="15.75" customHeight="1">
      <c r="A87" s="39">
        <v>15</v>
      </c>
      <c r="B87" s="83" t="s">
        <v>202</v>
      </c>
      <c r="C87" s="97" t="s">
        <v>203</v>
      </c>
      <c r="D87" s="18"/>
      <c r="E87" s="23"/>
      <c r="F87" s="16">
        <v>1</v>
      </c>
      <c r="G87" s="16">
        <v>7383</v>
      </c>
      <c r="H87" s="143">
        <f>G87*F87/1000</f>
        <v>7.383</v>
      </c>
      <c r="I87" s="16">
        <f>G87</f>
        <v>7383</v>
      </c>
    </row>
    <row r="88" spans="1:9" ht="16.5" customHeight="1">
      <c r="A88" s="39"/>
      <c r="B88" s="63" t="s">
        <v>52</v>
      </c>
      <c r="C88" s="59"/>
      <c r="D88" s="73"/>
      <c r="E88" s="59">
        <v>1</v>
      </c>
      <c r="F88" s="59"/>
      <c r="G88" s="59"/>
      <c r="H88" s="59"/>
      <c r="I88" s="41">
        <f>SUM(I86:I87)</f>
        <v>9714.2800000000007</v>
      </c>
    </row>
    <row r="89" spans="1:9" ht="15.75" customHeight="1">
      <c r="A89" s="39"/>
      <c r="B89" s="69" t="s">
        <v>85</v>
      </c>
      <c r="C89" s="19"/>
      <c r="D89" s="19"/>
      <c r="E89" s="60"/>
      <c r="F89" s="60"/>
      <c r="G89" s="61"/>
      <c r="H89" s="61"/>
      <c r="I89" s="22">
        <v>0</v>
      </c>
    </row>
    <row r="90" spans="1:9" ht="15.75" customHeight="1">
      <c r="A90" s="74"/>
      <c r="B90" s="64" t="s">
        <v>53</v>
      </c>
      <c r="C90" s="47"/>
      <c r="D90" s="47"/>
      <c r="E90" s="47"/>
      <c r="F90" s="47"/>
      <c r="G90" s="47"/>
      <c r="H90" s="47"/>
      <c r="I90" s="62">
        <f>I84+I88</f>
        <v>43331.460982666664</v>
      </c>
    </row>
    <row r="91" spans="1:9" ht="15.75" customHeight="1">
      <c r="A91" s="165" t="s">
        <v>233</v>
      </c>
      <c r="B91" s="165"/>
      <c r="C91" s="165"/>
      <c r="D91" s="165"/>
      <c r="E91" s="165"/>
      <c r="F91" s="165"/>
      <c r="G91" s="165"/>
      <c r="H91" s="165"/>
      <c r="I91" s="165"/>
    </row>
    <row r="92" spans="1:9" ht="15.75">
      <c r="A92" s="116"/>
      <c r="B92" s="166" t="s">
        <v>234</v>
      </c>
      <c r="C92" s="166"/>
      <c r="D92" s="166"/>
      <c r="E92" s="166"/>
      <c r="F92" s="166"/>
      <c r="G92" s="166"/>
      <c r="H92" s="121"/>
      <c r="I92" s="3"/>
    </row>
    <row r="93" spans="1:9">
      <c r="A93" s="115"/>
      <c r="B93" s="159" t="s">
        <v>6</v>
      </c>
      <c r="C93" s="159"/>
      <c r="D93" s="159"/>
      <c r="E93" s="159"/>
      <c r="F93" s="159"/>
      <c r="G93" s="159"/>
      <c r="H93" s="34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67" t="s">
        <v>7</v>
      </c>
      <c r="B95" s="167"/>
      <c r="C95" s="167"/>
      <c r="D95" s="167"/>
      <c r="E95" s="167"/>
      <c r="F95" s="167"/>
      <c r="G95" s="167"/>
      <c r="H95" s="167"/>
      <c r="I95" s="167"/>
    </row>
    <row r="96" spans="1:9" ht="15.75">
      <c r="A96" s="167" t="s">
        <v>8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>
      <c r="A97" s="156" t="s">
        <v>64</v>
      </c>
      <c r="B97" s="156"/>
      <c r="C97" s="156"/>
      <c r="D97" s="156"/>
      <c r="E97" s="156"/>
      <c r="F97" s="156"/>
      <c r="G97" s="156"/>
      <c r="H97" s="156"/>
      <c r="I97" s="156"/>
    </row>
    <row r="98" spans="1:9" ht="15.75">
      <c r="A98" s="11"/>
    </row>
    <row r="99" spans="1:9" ht="15.75">
      <c r="A99" s="157" t="s">
        <v>9</v>
      </c>
      <c r="B99" s="157"/>
      <c r="C99" s="157"/>
      <c r="D99" s="157"/>
      <c r="E99" s="157"/>
      <c r="F99" s="157"/>
      <c r="G99" s="157"/>
      <c r="H99" s="157"/>
      <c r="I99" s="157"/>
    </row>
    <row r="100" spans="1:9" ht="15.75" customHeight="1">
      <c r="A100" s="4"/>
    </row>
    <row r="101" spans="1:9" ht="15.75">
      <c r="B101" s="112" t="s">
        <v>10</v>
      </c>
      <c r="C101" s="158" t="s">
        <v>173</v>
      </c>
      <c r="D101" s="158"/>
      <c r="E101" s="158"/>
      <c r="F101" s="119"/>
      <c r="I101" s="114"/>
    </row>
    <row r="102" spans="1:9">
      <c r="A102" s="115"/>
      <c r="C102" s="159" t="s">
        <v>11</v>
      </c>
      <c r="D102" s="159"/>
      <c r="E102" s="159"/>
      <c r="F102" s="34"/>
      <c r="I102" s="113" t="s">
        <v>12</v>
      </c>
    </row>
    <row r="103" spans="1:9" ht="15.75" customHeight="1">
      <c r="A103" s="35"/>
      <c r="C103" s="12"/>
      <c r="D103" s="12"/>
      <c r="G103" s="12"/>
      <c r="H103" s="12"/>
    </row>
    <row r="104" spans="1:9" ht="15.75" customHeight="1">
      <c r="B104" s="112" t="s">
        <v>13</v>
      </c>
      <c r="C104" s="160"/>
      <c r="D104" s="160"/>
      <c r="E104" s="160"/>
      <c r="F104" s="120"/>
      <c r="I104" s="114"/>
    </row>
    <row r="105" spans="1:9" ht="15.75" customHeight="1">
      <c r="A105" s="115"/>
      <c r="C105" s="161" t="s">
        <v>11</v>
      </c>
      <c r="D105" s="161"/>
      <c r="E105" s="161"/>
      <c r="F105" s="115"/>
      <c r="I105" s="113" t="s">
        <v>12</v>
      </c>
    </row>
    <row r="106" spans="1:9" ht="15.75">
      <c r="A106" s="4" t="s">
        <v>14</v>
      </c>
    </row>
    <row r="107" spans="1:9">
      <c r="A107" s="154" t="s">
        <v>15</v>
      </c>
      <c r="B107" s="154"/>
      <c r="C107" s="154"/>
      <c r="D107" s="154"/>
      <c r="E107" s="154"/>
      <c r="F107" s="154"/>
      <c r="G107" s="154"/>
      <c r="H107" s="154"/>
      <c r="I107" s="154"/>
    </row>
    <row r="108" spans="1:9" ht="45" customHeight="1">
      <c r="A108" s="155" t="s">
        <v>16</v>
      </c>
      <c r="B108" s="155"/>
      <c r="C108" s="155"/>
      <c r="D108" s="155"/>
      <c r="E108" s="155"/>
      <c r="F108" s="155"/>
      <c r="G108" s="155"/>
      <c r="H108" s="155"/>
      <c r="I108" s="155"/>
    </row>
    <row r="109" spans="1:9" ht="30" customHeight="1">
      <c r="A109" s="155" t="s">
        <v>17</v>
      </c>
      <c r="B109" s="155"/>
      <c r="C109" s="155"/>
      <c r="D109" s="155"/>
      <c r="E109" s="155"/>
      <c r="F109" s="155"/>
      <c r="G109" s="155"/>
      <c r="H109" s="155"/>
      <c r="I109" s="155"/>
    </row>
    <row r="110" spans="1:9" ht="30" customHeight="1">
      <c r="A110" s="155" t="s">
        <v>21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15" customHeight="1">
      <c r="A111" s="155" t="s">
        <v>20</v>
      </c>
      <c r="B111" s="155"/>
      <c r="C111" s="155"/>
      <c r="D111" s="155"/>
      <c r="E111" s="155"/>
      <c r="F111" s="155"/>
      <c r="G111" s="155"/>
      <c r="H111" s="155"/>
      <c r="I111" s="155"/>
    </row>
  </sheetData>
  <autoFilter ref="I12:I62"/>
  <mergeCells count="28">
    <mergeCell ref="R67:U67"/>
    <mergeCell ref="A81:I81"/>
    <mergeCell ref="A3:I3"/>
    <mergeCell ref="A4:I4"/>
    <mergeCell ref="A5:I5"/>
    <mergeCell ref="A8:I8"/>
    <mergeCell ref="A10:I10"/>
    <mergeCell ref="A14:I14"/>
    <mergeCell ref="A97:I97"/>
    <mergeCell ref="A15:I15"/>
    <mergeCell ref="A29:I29"/>
    <mergeCell ref="A47:I47"/>
    <mergeCell ref="A58:I58"/>
    <mergeCell ref="A91:I91"/>
    <mergeCell ref="B92:G92"/>
    <mergeCell ref="B93:G93"/>
    <mergeCell ref="A95:I95"/>
    <mergeCell ref="A96:I96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9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7" width="22.5703125" customWidth="1"/>
  </cols>
  <sheetData>
    <row r="1" spans="1:7" ht="15.75">
      <c r="A1" s="37" t="s">
        <v>99</v>
      </c>
      <c r="G1" s="36"/>
    </row>
    <row r="2" spans="1:7" ht="15.75">
      <c r="A2" s="38" t="s">
        <v>68</v>
      </c>
    </row>
    <row r="3" spans="1:7" ht="15.75">
      <c r="A3" s="172" t="s">
        <v>100</v>
      </c>
      <c r="B3" s="172"/>
      <c r="C3" s="172"/>
      <c r="D3" s="172"/>
      <c r="E3" s="172"/>
      <c r="F3" s="172"/>
      <c r="G3" s="172"/>
    </row>
    <row r="4" spans="1:7" ht="31.5" customHeight="1">
      <c r="A4" s="173" t="s">
        <v>165</v>
      </c>
      <c r="B4" s="173"/>
      <c r="C4" s="173"/>
      <c r="D4" s="173"/>
      <c r="E4" s="173"/>
      <c r="F4" s="173"/>
      <c r="G4" s="173"/>
    </row>
    <row r="5" spans="1:7" ht="15.75">
      <c r="A5" s="172" t="s">
        <v>101</v>
      </c>
      <c r="B5" s="174"/>
      <c r="C5" s="174"/>
      <c r="D5" s="174"/>
      <c r="E5" s="174"/>
      <c r="F5" s="174"/>
      <c r="G5" s="174"/>
    </row>
    <row r="6" spans="1:7" ht="15.75">
      <c r="A6" s="2"/>
      <c r="B6" s="79"/>
      <c r="C6" s="79"/>
      <c r="D6" s="79"/>
      <c r="E6" s="79"/>
      <c r="F6" s="79"/>
      <c r="G6" s="40">
        <v>42704</v>
      </c>
    </row>
    <row r="7" spans="1:7" ht="15.75">
      <c r="B7" s="75"/>
      <c r="C7" s="75"/>
      <c r="D7" s="75"/>
      <c r="E7" s="3"/>
      <c r="F7" s="3"/>
    </row>
    <row r="8" spans="1:7" ht="78.75" customHeight="1">
      <c r="A8" s="175" t="s">
        <v>168</v>
      </c>
      <c r="B8" s="175"/>
      <c r="C8" s="175"/>
      <c r="D8" s="175"/>
      <c r="E8" s="175"/>
      <c r="F8" s="175"/>
      <c r="G8" s="175"/>
    </row>
    <row r="9" spans="1:7" ht="15.75">
      <c r="A9" s="4"/>
    </row>
    <row r="10" spans="1:7" ht="47.25" customHeight="1">
      <c r="A10" s="176" t="s">
        <v>169</v>
      </c>
      <c r="B10" s="176"/>
      <c r="C10" s="176"/>
      <c r="D10" s="176"/>
      <c r="E10" s="176"/>
      <c r="F10" s="176"/>
      <c r="G10" s="176"/>
    </row>
    <row r="11" spans="1:7" ht="15.75">
      <c r="A11" s="4"/>
    </row>
    <row r="12" spans="1:7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7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</row>
    <row r="14" spans="1:7">
      <c r="A14" s="177" t="s">
        <v>62</v>
      </c>
      <c r="B14" s="177"/>
      <c r="C14" s="177"/>
      <c r="D14" s="177"/>
      <c r="E14" s="177"/>
      <c r="F14" s="177"/>
      <c r="G14" s="177"/>
    </row>
    <row r="15" spans="1:7">
      <c r="A15" s="168" t="s">
        <v>4</v>
      </c>
      <c r="B15" s="168"/>
      <c r="C15" s="168"/>
      <c r="D15" s="168"/>
      <c r="E15" s="168"/>
      <c r="F15" s="168"/>
      <c r="G15" s="168"/>
    </row>
    <row r="16" spans="1:7" ht="31.5" customHeight="1">
      <c r="A16" s="39">
        <v>1</v>
      </c>
      <c r="B16" s="43" t="s">
        <v>102</v>
      </c>
      <c r="C16" s="57" t="s">
        <v>103</v>
      </c>
      <c r="D16" s="43" t="s">
        <v>104</v>
      </c>
      <c r="E16" s="39"/>
      <c r="F16" s="42">
        <v>187.48</v>
      </c>
      <c r="G16" s="86">
        <v>1211.8</v>
      </c>
    </row>
    <row r="17" spans="1:7" ht="31.5" customHeight="1">
      <c r="A17" s="39">
        <v>2</v>
      </c>
      <c r="B17" s="43" t="s">
        <v>138</v>
      </c>
      <c r="C17" s="57" t="s">
        <v>103</v>
      </c>
      <c r="D17" s="43" t="s">
        <v>105</v>
      </c>
      <c r="E17" s="39"/>
      <c r="F17" s="42">
        <v>187.48</v>
      </c>
      <c r="G17" s="86">
        <v>3231.46</v>
      </c>
    </row>
    <row r="18" spans="1:7" ht="31.5" customHeight="1">
      <c r="A18" s="39">
        <v>3</v>
      </c>
      <c r="B18" s="43" t="s">
        <v>139</v>
      </c>
      <c r="C18" s="57" t="s">
        <v>103</v>
      </c>
      <c r="D18" s="43" t="s">
        <v>140</v>
      </c>
      <c r="E18" s="39"/>
      <c r="F18" s="42">
        <v>539.30999999999995</v>
      </c>
      <c r="G18" s="86">
        <v>2681.45</v>
      </c>
    </row>
    <row r="19" spans="1:7" ht="15.75" hidden="1" customHeight="1">
      <c r="A19" s="39"/>
      <c r="B19" s="43" t="s">
        <v>112</v>
      </c>
      <c r="C19" s="57" t="s">
        <v>113</v>
      </c>
      <c r="D19" s="43" t="s">
        <v>114</v>
      </c>
      <c r="E19" s="39"/>
      <c r="F19" s="42">
        <v>181.91</v>
      </c>
      <c r="G19" s="86">
        <v>0</v>
      </c>
    </row>
    <row r="20" spans="1:7" ht="15.75" customHeight="1">
      <c r="A20" s="39">
        <v>4</v>
      </c>
      <c r="B20" s="43" t="s">
        <v>115</v>
      </c>
      <c r="C20" s="57" t="s">
        <v>103</v>
      </c>
      <c r="D20" s="43" t="s">
        <v>141</v>
      </c>
      <c r="E20" s="39"/>
      <c r="F20" s="42">
        <v>232.92</v>
      </c>
      <c r="G20" s="86">
        <v>24.46</v>
      </c>
    </row>
    <row r="21" spans="1:7" ht="15.75" customHeight="1">
      <c r="A21" s="39">
        <v>5</v>
      </c>
      <c r="B21" s="43" t="s">
        <v>116</v>
      </c>
      <c r="C21" s="57" t="s">
        <v>103</v>
      </c>
      <c r="D21" s="43" t="s">
        <v>151</v>
      </c>
      <c r="E21" s="39"/>
      <c r="F21" s="42">
        <v>231.03</v>
      </c>
      <c r="G21" s="86">
        <v>6.24</v>
      </c>
    </row>
    <row r="22" spans="1:7" ht="15.75" hidden="1" customHeight="1">
      <c r="A22" s="39"/>
      <c r="B22" s="43" t="s">
        <v>117</v>
      </c>
      <c r="C22" s="57" t="s">
        <v>54</v>
      </c>
      <c r="D22" s="43" t="s">
        <v>114</v>
      </c>
      <c r="E22" s="39"/>
      <c r="F22" s="42">
        <v>287.83999999999997</v>
      </c>
      <c r="G22" s="86">
        <v>0</v>
      </c>
    </row>
    <row r="23" spans="1:7" ht="15.75" hidden="1" customHeight="1">
      <c r="A23" s="39"/>
      <c r="B23" s="43" t="s">
        <v>118</v>
      </c>
      <c r="C23" s="57" t="s">
        <v>54</v>
      </c>
      <c r="D23" s="43" t="s">
        <v>114</v>
      </c>
      <c r="E23" s="39"/>
      <c r="F23" s="42">
        <v>47.34</v>
      </c>
      <c r="G23" s="86">
        <v>0</v>
      </c>
    </row>
    <row r="24" spans="1:7" ht="15.75" hidden="1" customHeight="1">
      <c r="A24" s="39"/>
      <c r="B24" s="43" t="s">
        <v>119</v>
      </c>
      <c r="C24" s="57" t="s">
        <v>54</v>
      </c>
      <c r="D24" s="43" t="s">
        <v>55</v>
      </c>
      <c r="E24" s="39"/>
      <c r="F24" s="42">
        <v>416.62</v>
      </c>
      <c r="G24" s="86">
        <v>0</v>
      </c>
    </row>
    <row r="25" spans="1:7" ht="15.75" hidden="1" customHeight="1">
      <c r="A25" s="39"/>
      <c r="B25" s="43" t="s">
        <v>120</v>
      </c>
      <c r="C25" s="57" t="s">
        <v>54</v>
      </c>
      <c r="D25" s="43" t="s">
        <v>55</v>
      </c>
      <c r="E25" s="39"/>
      <c r="F25" s="42">
        <v>556.74</v>
      </c>
      <c r="G25" s="86">
        <v>0</v>
      </c>
    </row>
    <row r="26" spans="1:7" ht="15.75" hidden="1" customHeight="1">
      <c r="A26" s="39"/>
      <c r="B26" s="43" t="s">
        <v>152</v>
      </c>
      <c r="C26" s="57" t="s">
        <v>54</v>
      </c>
      <c r="D26" s="43" t="s">
        <v>55</v>
      </c>
      <c r="E26" s="39"/>
      <c r="F26" s="42">
        <v>231.03</v>
      </c>
      <c r="G26" s="86">
        <v>0</v>
      </c>
    </row>
    <row r="27" spans="1:7" ht="15.75" customHeight="1">
      <c r="A27" s="58">
        <v>6</v>
      </c>
      <c r="B27" s="43" t="s">
        <v>70</v>
      </c>
      <c r="C27" s="57" t="s">
        <v>33</v>
      </c>
      <c r="D27" s="43" t="s">
        <v>142</v>
      </c>
      <c r="E27" s="22">
        <v>506.1</v>
      </c>
      <c r="F27" s="42">
        <v>157.18</v>
      </c>
      <c r="G27" s="86">
        <v>478.09</v>
      </c>
    </row>
    <row r="28" spans="1:7" ht="15.75" customHeight="1">
      <c r="A28" s="58">
        <v>7</v>
      </c>
      <c r="B28" s="13" t="s">
        <v>23</v>
      </c>
      <c r="C28" s="14" t="s">
        <v>24</v>
      </c>
      <c r="D28" s="39"/>
      <c r="E28" s="22">
        <v>506.1</v>
      </c>
      <c r="F28" s="42">
        <v>4.7</v>
      </c>
      <c r="G28" s="86">
        <v>12344.55</v>
      </c>
    </row>
    <row r="29" spans="1:7" ht="15.75" customHeight="1">
      <c r="A29" s="168" t="s">
        <v>98</v>
      </c>
      <c r="B29" s="168"/>
      <c r="C29" s="168"/>
      <c r="D29" s="168"/>
      <c r="E29" s="168"/>
      <c r="F29" s="168"/>
      <c r="G29" s="168"/>
    </row>
    <row r="30" spans="1:7" ht="15.75" hidden="1" customHeight="1">
      <c r="A30" s="58"/>
      <c r="B30" s="68" t="s">
        <v>28</v>
      </c>
      <c r="C30" s="68"/>
      <c r="D30" s="68"/>
      <c r="E30" s="68"/>
      <c r="F30" s="68"/>
      <c r="G30" s="23"/>
    </row>
    <row r="31" spans="1:7" ht="31.5" hidden="1" customHeight="1">
      <c r="A31" s="58">
        <v>2</v>
      </c>
      <c r="B31" s="43" t="s">
        <v>124</v>
      </c>
      <c r="C31" s="57" t="s">
        <v>107</v>
      </c>
      <c r="D31" s="43" t="s">
        <v>121</v>
      </c>
      <c r="E31" s="17">
        <v>2.31</v>
      </c>
      <c r="F31" s="42">
        <v>155.88999999999999</v>
      </c>
      <c r="G31" s="16">
        <v>0</v>
      </c>
    </row>
    <row r="32" spans="1:7" ht="31.5" hidden="1" customHeight="1">
      <c r="A32" s="58">
        <v>3</v>
      </c>
      <c r="B32" s="43" t="s">
        <v>144</v>
      </c>
      <c r="C32" s="57" t="s">
        <v>107</v>
      </c>
      <c r="D32" s="43" t="s">
        <v>122</v>
      </c>
      <c r="E32" s="16">
        <f>0.0024*3*4.5</f>
        <v>3.2399999999999998E-2</v>
      </c>
      <c r="F32" s="42">
        <v>258.63</v>
      </c>
      <c r="G32" s="23">
        <v>0</v>
      </c>
    </row>
    <row r="33" spans="1:7" ht="15.75" hidden="1" customHeight="1">
      <c r="A33" s="58">
        <v>4</v>
      </c>
      <c r="B33" s="43" t="s">
        <v>27</v>
      </c>
      <c r="C33" s="57" t="s">
        <v>107</v>
      </c>
      <c r="D33" s="43" t="s">
        <v>55</v>
      </c>
      <c r="E33" s="21">
        <v>0</v>
      </c>
      <c r="F33" s="42">
        <v>3020.33</v>
      </c>
      <c r="G33" s="23">
        <v>0</v>
      </c>
    </row>
    <row r="34" spans="1:7" ht="15.75" hidden="1" customHeight="1">
      <c r="A34" s="58">
        <v>5</v>
      </c>
      <c r="B34" s="43" t="s">
        <v>143</v>
      </c>
      <c r="C34" s="57" t="s">
        <v>40</v>
      </c>
      <c r="D34" s="43" t="s">
        <v>69</v>
      </c>
      <c r="E34" s="21">
        <v>0</v>
      </c>
      <c r="F34" s="42">
        <v>1302.02</v>
      </c>
      <c r="G34" s="23">
        <v>0</v>
      </c>
    </row>
    <row r="35" spans="1:7" ht="15.75" hidden="1" customHeight="1">
      <c r="A35" s="58">
        <v>4</v>
      </c>
      <c r="B35" s="43" t="s">
        <v>123</v>
      </c>
      <c r="C35" s="57" t="s">
        <v>31</v>
      </c>
      <c r="D35" s="43" t="s">
        <v>69</v>
      </c>
      <c r="E35" s="16">
        <v>3.75</v>
      </c>
      <c r="F35" s="42">
        <v>56.69</v>
      </c>
      <c r="G35" s="16">
        <v>0</v>
      </c>
    </row>
    <row r="36" spans="1:7" ht="15.75" hidden="1" customHeight="1">
      <c r="A36" s="58"/>
      <c r="B36" s="43" t="s">
        <v>71</v>
      </c>
      <c r="C36" s="57" t="s">
        <v>33</v>
      </c>
      <c r="D36" s="43" t="s">
        <v>73</v>
      </c>
      <c r="E36" s="16"/>
      <c r="F36" s="42">
        <v>204.52</v>
      </c>
      <c r="G36" s="16">
        <v>0</v>
      </c>
    </row>
    <row r="37" spans="1:7" ht="15.75" hidden="1" customHeight="1">
      <c r="A37" s="39">
        <v>8</v>
      </c>
      <c r="B37" s="43" t="s">
        <v>72</v>
      </c>
      <c r="C37" s="57" t="s">
        <v>32</v>
      </c>
      <c r="D37" s="43" t="s">
        <v>73</v>
      </c>
      <c r="E37" s="16"/>
      <c r="F37" s="42">
        <v>1214.73</v>
      </c>
      <c r="G37" s="16">
        <v>0</v>
      </c>
    </row>
    <row r="38" spans="1:7" ht="15.75" customHeight="1">
      <c r="A38" s="58"/>
      <c r="B38" s="66" t="s">
        <v>5</v>
      </c>
      <c r="C38" s="66"/>
      <c r="D38" s="66"/>
      <c r="E38" s="16"/>
      <c r="F38" s="17"/>
      <c r="G38" s="23"/>
    </row>
    <row r="39" spans="1:7" ht="15.75" customHeight="1">
      <c r="A39" s="44">
        <v>8</v>
      </c>
      <c r="B39" s="45" t="s">
        <v>26</v>
      </c>
      <c r="C39" s="57" t="s">
        <v>32</v>
      </c>
      <c r="D39" s="43"/>
      <c r="E39" s="16">
        <v>0</v>
      </c>
      <c r="F39" s="42">
        <v>1632.6</v>
      </c>
      <c r="G39" s="16">
        <v>2176.8000000000002</v>
      </c>
    </row>
    <row r="40" spans="1:7" ht="15.75" customHeight="1">
      <c r="A40" s="44">
        <v>9</v>
      </c>
      <c r="B40" s="45" t="s">
        <v>125</v>
      </c>
      <c r="C40" s="81" t="s">
        <v>29</v>
      </c>
      <c r="D40" s="43" t="s">
        <v>153</v>
      </c>
      <c r="E40" s="16">
        <v>0</v>
      </c>
      <c r="F40" s="42">
        <v>2247.8000000000002</v>
      </c>
      <c r="G40" s="16">
        <v>915.98</v>
      </c>
    </row>
    <row r="41" spans="1:7" ht="15.75" hidden="1" customHeight="1">
      <c r="A41" s="44">
        <v>10</v>
      </c>
      <c r="B41" s="43" t="s">
        <v>145</v>
      </c>
      <c r="C41" s="57" t="s">
        <v>146</v>
      </c>
      <c r="D41" s="43" t="s">
        <v>154</v>
      </c>
      <c r="E41" s="16">
        <v>0</v>
      </c>
      <c r="F41" s="42">
        <v>213.2</v>
      </c>
      <c r="G41" s="16">
        <v>0</v>
      </c>
    </row>
    <row r="42" spans="1:7" ht="15.75" customHeight="1">
      <c r="A42" s="44">
        <v>10</v>
      </c>
      <c r="B42" s="43" t="s">
        <v>74</v>
      </c>
      <c r="C42" s="57" t="s">
        <v>29</v>
      </c>
      <c r="D42" s="43" t="s">
        <v>106</v>
      </c>
      <c r="E42" s="16">
        <v>0</v>
      </c>
      <c r="F42" s="42">
        <v>375.95</v>
      </c>
      <c r="G42" s="16">
        <v>1485.94</v>
      </c>
    </row>
    <row r="43" spans="1:7" ht="47.25" customHeight="1">
      <c r="A43" s="44">
        <v>11</v>
      </c>
      <c r="B43" s="43" t="s">
        <v>96</v>
      </c>
      <c r="C43" s="57" t="s">
        <v>107</v>
      </c>
      <c r="D43" s="43" t="s">
        <v>155</v>
      </c>
      <c r="E43" s="16">
        <v>0</v>
      </c>
      <c r="F43" s="42">
        <v>6203.7</v>
      </c>
      <c r="G43" s="16">
        <v>2949.34</v>
      </c>
    </row>
    <row r="44" spans="1:7" ht="15.75" customHeight="1">
      <c r="A44" s="44">
        <v>12</v>
      </c>
      <c r="B44" s="43" t="s">
        <v>108</v>
      </c>
      <c r="C44" s="57" t="s">
        <v>107</v>
      </c>
      <c r="D44" s="43" t="s">
        <v>75</v>
      </c>
      <c r="E44" s="16"/>
      <c r="F44" s="42">
        <v>458.28</v>
      </c>
      <c r="G44" s="16">
        <v>280.12</v>
      </c>
    </row>
    <row r="45" spans="1:7" ht="15.75" customHeight="1">
      <c r="A45" s="44">
        <v>13</v>
      </c>
      <c r="B45" s="45" t="s">
        <v>76</v>
      </c>
      <c r="C45" s="81" t="s">
        <v>33</v>
      </c>
      <c r="D45" s="45"/>
      <c r="E45" s="16"/>
      <c r="F45" s="46">
        <v>853.06</v>
      </c>
      <c r="G45" s="16">
        <v>127.96</v>
      </c>
    </row>
    <row r="46" spans="1:7" ht="15.75" hidden="1" customHeight="1">
      <c r="A46" s="178" t="s">
        <v>66</v>
      </c>
      <c r="B46" s="179"/>
      <c r="C46" s="179"/>
      <c r="D46" s="179"/>
      <c r="E46" s="179"/>
      <c r="F46" s="179"/>
      <c r="G46" s="180"/>
    </row>
    <row r="47" spans="1:7" ht="15.75" hidden="1" customHeight="1">
      <c r="A47" s="58">
        <v>15</v>
      </c>
      <c r="B47" s="43" t="s">
        <v>156</v>
      </c>
      <c r="C47" s="57" t="s">
        <v>107</v>
      </c>
      <c r="D47" s="43" t="s">
        <v>42</v>
      </c>
      <c r="E47" s="23">
        <v>0.42</v>
      </c>
      <c r="F47" s="49">
        <v>865.61</v>
      </c>
      <c r="G47" s="24">
        <v>0</v>
      </c>
    </row>
    <row r="48" spans="1:7" ht="15.75" hidden="1" customHeight="1">
      <c r="A48" s="58">
        <v>16</v>
      </c>
      <c r="B48" s="43" t="s">
        <v>35</v>
      </c>
      <c r="C48" s="57" t="s">
        <v>107</v>
      </c>
      <c r="D48" s="43" t="s">
        <v>42</v>
      </c>
      <c r="E48" s="23">
        <v>1.35</v>
      </c>
      <c r="F48" s="49">
        <v>619.46</v>
      </c>
      <c r="G48" s="24">
        <v>0</v>
      </c>
    </row>
    <row r="49" spans="1:7" ht="15.75" hidden="1" customHeight="1">
      <c r="A49" s="58">
        <v>17</v>
      </c>
      <c r="B49" s="43" t="s">
        <v>36</v>
      </c>
      <c r="C49" s="57" t="s">
        <v>107</v>
      </c>
      <c r="D49" s="43" t="s">
        <v>42</v>
      </c>
      <c r="E49" s="23">
        <v>0.03</v>
      </c>
      <c r="F49" s="49">
        <v>619.46</v>
      </c>
      <c r="G49" s="24">
        <v>0</v>
      </c>
    </row>
    <row r="50" spans="1:7" ht="15.75" hidden="1" customHeight="1">
      <c r="A50" s="58">
        <v>18</v>
      </c>
      <c r="B50" s="43" t="s">
        <v>37</v>
      </c>
      <c r="C50" s="57" t="s">
        <v>107</v>
      </c>
      <c r="D50" s="43" t="s">
        <v>42</v>
      </c>
      <c r="E50" s="23">
        <v>0.33</v>
      </c>
      <c r="F50" s="49">
        <v>648.64</v>
      </c>
      <c r="G50" s="24">
        <v>0</v>
      </c>
    </row>
    <row r="51" spans="1:7" ht="31.5" hidden="1" customHeight="1">
      <c r="A51" s="58">
        <v>19</v>
      </c>
      <c r="B51" s="43" t="s">
        <v>34</v>
      </c>
      <c r="C51" s="57" t="s">
        <v>54</v>
      </c>
      <c r="D51" s="43" t="s">
        <v>42</v>
      </c>
      <c r="E51" s="23">
        <v>0.22</v>
      </c>
      <c r="F51" s="49">
        <v>77.84</v>
      </c>
      <c r="G51" s="16">
        <v>0</v>
      </c>
    </row>
    <row r="52" spans="1:7" ht="31.5" hidden="1" customHeight="1">
      <c r="A52" s="58">
        <v>12</v>
      </c>
      <c r="B52" s="43" t="s">
        <v>59</v>
      </c>
      <c r="C52" s="57" t="s">
        <v>107</v>
      </c>
      <c r="D52" s="43" t="s">
        <v>126</v>
      </c>
      <c r="E52" s="23">
        <v>0.22</v>
      </c>
      <c r="F52" s="49">
        <v>1297.28</v>
      </c>
      <c r="G52" s="24">
        <v>0</v>
      </c>
    </row>
    <row r="53" spans="1:7" ht="31.5" hidden="1" customHeight="1">
      <c r="A53" s="58">
        <v>14</v>
      </c>
      <c r="B53" s="43" t="s">
        <v>109</v>
      </c>
      <c r="C53" s="57" t="s">
        <v>107</v>
      </c>
      <c r="D53" s="43" t="s">
        <v>42</v>
      </c>
      <c r="E53" s="23">
        <v>0.02</v>
      </c>
      <c r="F53" s="49">
        <v>1297.28</v>
      </c>
      <c r="G53" s="24">
        <v>0</v>
      </c>
    </row>
    <row r="54" spans="1:7" ht="15.75" hidden="1" customHeight="1">
      <c r="A54" s="58">
        <v>15</v>
      </c>
      <c r="B54" s="43" t="s">
        <v>110</v>
      </c>
      <c r="C54" s="57" t="s">
        <v>38</v>
      </c>
      <c r="D54" s="43" t="s">
        <v>42</v>
      </c>
      <c r="E54" s="23">
        <v>0.01</v>
      </c>
      <c r="F54" s="49">
        <v>2918.89</v>
      </c>
      <c r="G54" s="24">
        <v>0</v>
      </c>
    </row>
    <row r="55" spans="1:7" ht="15.75" hidden="1" customHeight="1">
      <c r="A55" s="58">
        <v>23</v>
      </c>
      <c r="B55" s="43" t="s">
        <v>39</v>
      </c>
      <c r="C55" s="57" t="s">
        <v>40</v>
      </c>
      <c r="D55" s="43" t="s">
        <v>42</v>
      </c>
      <c r="E55" s="23">
        <v>8</v>
      </c>
      <c r="F55" s="49">
        <v>6042.12</v>
      </c>
      <c r="G55" s="16">
        <v>0</v>
      </c>
    </row>
    <row r="56" spans="1:7" ht="15.75" hidden="1" customHeight="1">
      <c r="A56" s="58">
        <v>24</v>
      </c>
      <c r="B56" s="43" t="s">
        <v>41</v>
      </c>
      <c r="C56" s="57" t="s">
        <v>127</v>
      </c>
      <c r="D56" s="43" t="s">
        <v>77</v>
      </c>
      <c r="E56" s="23">
        <v>16</v>
      </c>
      <c r="F56" s="50">
        <v>70.209999999999994</v>
      </c>
      <c r="G56" s="16">
        <v>0</v>
      </c>
    </row>
    <row r="57" spans="1:7" ht="15.75" customHeight="1">
      <c r="A57" s="169" t="s">
        <v>175</v>
      </c>
      <c r="B57" s="170"/>
      <c r="C57" s="170"/>
      <c r="D57" s="170"/>
      <c r="E57" s="170"/>
      <c r="F57" s="170"/>
      <c r="G57" s="171"/>
    </row>
    <row r="58" spans="1:7" ht="15.75" customHeight="1">
      <c r="A58" s="71"/>
      <c r="B58" s="65" t="s">
        <v>43</v>
      </c>
      <c r="C58" s="20"/>
      <c r="D58" s="19"/>
      <c r="E58" s="19"/>
      <c r="F58" s="39"/>
      <c r="G58" s="23"/>
    </row>
    <row r="59" spans="1:7" ht="31.5" customHeight="1">
      <c r="A59" s="99">
        <v>14</v>
      </c>
      <c r="B59" s="95" t="s">
        <v>147</v>
      </c>
      <c r="C59" s="70" t="s">
        <v>103</v>
      </c>
      <c r="D59" s="95" t="s">
        <v>128</v>
      </c>
      <c r="E59" s="100">
        <v>0</v>
      </c>
      <c r="F59" s="101">
        <v>1654.04</v>
      </c>
      <c r="G59" s="102">
        <v>1835.98</v>
      </c>
    </row>
    <row r="60" spans="1:7" ht="15.75" customHeight="1">
      <c r="A60" s="30"/>
      <c r="B60" s="93" t="s">
        <v>44</v>
      </c>
      <c r="C60" s="109"/>
      <c r="D60" s="109"/>
      <c r="E60" s="109"/>
      <c r="F60" s="109"/>
      <c r="G60" s="109"/>
    </row>
    <row r="61" spans="1:7" ht="15.75" hidden="1" customHeight="1">
      <c r="A61" s="103">
        <v>27</v>
      </c>
      <c r="B61" s="104" t="s">
        <v>148</v>
      </c>
      <c r="C61" s="105" t="s">
        <v>54</v>
      </c>
      <c r="D61" s="104" t="s">
        <v>55</v>
      </c>
      <c r="E61" s="106">
        <v>0</v>
      </c>
      <c r="F61" s="107">
        <v>848.37</v>
      </c>
      <c r="G61" s="108">
        <f>E61/2</f>
        <v>0</v>
      </c>
    </row>
    <row r="62" spans="1:7" ht="15.75" customHeight="1">
      <c r="A62" s="58">
        <v>15</v>
      </c>
      <c r="B62" s="95" t="s">
        <v>149</v>
      </c>
      <c r="C62" s="70" t="s">
        <v>25</v>
      </c>
      <c r="D62" s="95" t="s">
        <v>30</v>
      </c>
      <c r="E62" s="23"/>
      <c r="F62" s="49">
        <v>2.6</v>
      </c>
      <c r="G62" s="24">
        <v>338</v>
      </c>
    </row>
    <row r="63" spans="1:7" ht="15.75" hidden="1" customHeight="1">
      <c r="A63" s="58"/>
      <c r="B63" s="93" t="s">
        <v>46</v>
      </c>
      <c r="C63" s="20"/>
      <c r="D63" s="19"/>
      <c r="E63" s="19"/>
      <c r="F63" s="39"/>
      <c r="G63" s="23"/>
    </row>
    <row r="64" spans="1:7" ht="15.75" hidden="1" customHeight="1">
      <c r="A64" s="58">
        <v>17</v>
      </c>
      <c r="B64" s="84" t="s">
        <v>47</v>
      </c>
      <c r="C64" s="53" t="s">
        <v>127</v>
      </c>
      <c r="D64" s="52" t="s">
        <v>73</v>
      </c>
      <c r="E64" s="23">
        <v>0</v>
      </c>
      <c r="F64" s="49">
        <v>237.74</v>
      </c>
      <c r="G64" s="24">
        <v>222.4</v>
      </c>
    </row>
    <row r="65" spans="1:7" ht="15.75" hidden="1" customHeight="1">
      <c r="A65" s="39">
        <v>29</v>
      </c>
      <c r="B65" s="84" t="s">
        <v>48</v>
      </c>
      <c r="C65" s="53" t="s">
        <v>127</v>
      </c>
      <c r="D65" s="52" t="s">
        <v>73</v>
      </c>
      <c r="E65" s="23">
        <v>0</v>
      </c>
      <c r="F65" s="49">
        <v>81.510000000000005</v>
      </c>
      <c r="G65" s="24">
        <v>0</v>
      </c>
    </row>
    <row r="66" spans="1:7" ht="15.75" hidden="1" customHeight="1">
      <c r="A66" s="39">
        <v>8</v>
      </c>
      <c r="B66" s="84" t="s">
        <v>49</v>
      </c>
      <c r="C66" s="55" t="s">
        <v>129</v>
      </c>
      <c r="D66" s="52" t="s">
        <v>55</v>
      </c>
      <c r="E66" s="23">
        <v>13.47</v>
      </c>
      <c r="F66" s="49">
        <v>226.79</v>
      </c>
      <c r="G66" s="23">
        <v>0</v>
      </c>
    </row>
    <row r="67" spans="1:7" ht="15.75" hidden="1" customHeight="1">
      <c r="A67" s="39">
        <v>9</v>
      </c>
      <c r="B67" s="84" t="s">
        <v>50</v>
      </c>
      <c r="C67" s="53" t="s">
        <v>130</v>
      </c>
      <c r="D67" s="52"/>
      <c r="E67" s="23">
        <v>1.35</v>
      </c>
      <c r="F67" s="49">
        <v>176.61</v>
      </c>
      <c r="G67" s="23">
        <v>0</v>
      </c>
    </row>
    <row r="68" spans="1:7" ht="15.75" hidden="1" customHeight="1">
      <c r="A68" s="39">
        <v>10</v>
      </c>
      <c r="B68" s="84" t="s">
        <v>51</v>
      </c>
      <c r="C68" s="53" t="s">
        <v>83</v>
      </c>
      <c r="D68" s="52" t="s">
        <v>55</v>
      </c>
      <c r="E68" s="23">
        <v>0</v>
      </c>
      <c r="F68" s="49">
        <v>2217.7800000000002</v>
      </c>
      <c r="G68" s="23">
        <v>0</v>
      </c>
    </row>
    <row r="69" spans="1:7" ht="15.75" hidden="1" customHeight="1">
      <c r="A69" s="39">
        <v>11</v>
      </c>
      <c r="B69" s="72" t="s">
        <v>131</v>
      </c>
      <c r="C69" s="53" t="s">
        <v>33</v>
      </c>
      <c r="D69" s="52"/>
      <c r="E69" s="15">
        <v>0</v>
      </c>
      <c r="F69" s="49">
        <v>42.67</v>
      </c>
      <c r="G69" s="23">
        <v>0</v>
      </c>
    </row>
    <row r="70" spans="1:7" ht="15.75" hidden="1" customHeight="1">
      <c r="A70" s="39">
        <v>12</v>
      </c>
      <c r="B70" s="72" t="s">
        <v>132</v>
      </c>
      <c r="C70" s="53" t="s">
        <v>33</v>
      </c>
      <c r="D70" s="52"/>
      <c r="E70" s="15"/>
      <c r="F70" s="49">
        <v>39.81</v>
      </c>
      <c r="G70" s="23">
        <v>0</v>
      </c>
    </row>
    <row r="71" spans="1:7" ht="15.75" hidden="1" customHeight="1">
      <c r="A71" s="39">
        <v>13</v>
      </c>
      <c r="B71" s="52" t="s">
        <v>60</v>
      </c>
      <c r="C71" s="53" t="s">
        <v>61</v>
      </c>
      <c r="D71" s="52" t="s">
        <v>55</v>
      </c>
      <c r="E71" s="15"/>
      <c r="F71" s="49">
        <v>53.32</v>
      </c>
      <c r="G71" s="23">
        <v>0</v>
      </c>
    </row>
    <row r="72" spans="1:7" ht="15.75" hidden="1" customHeight="1">
      <c r="A72" s="71"/>
      <c r="B72" s="178" t="s">
        <v>111</v>
      </c>
      <c r="C72" s="179"/>
      <c r="D72" s="179"/>
      <c r="E72" s="179"/>
      <c r="F72" s="180"/>
      <c r="G72" s="23"/>
    </row>
    <row r="73" spans="1:7" ht="15.75" hidden="1" customHeight="1">
      <c r="A73" s="39">
        <v>36</v>
      </c>
      <c r="B73" s="43" t="s">
        <v>133</v>
      </c>
      <c r="C73" s="85"/>
      <c r="D73" s="52" t="s">
        <v>55</v>
      </c>
      <c r="E73" s="23">
        <v>0</v>
      </c>
      <c r="F73" s="51">
        <v>7634.7</v>
      </c>
      <c r="G73" s="23">
        <v>0</v>
      </c>
    </row>
    <row r="74" spans="1:7" ht="15.75" hidden="1" customHeight="1">
      <c r="A74" s="39"/>
      <c r="B74" s="66" t="s">
        <v>78</v>
      </c>
      <c r="C74" s="66"/>
      <c r="D74" s="66"/>
      <c r="E74" s="23"/>
      <c r="F74" s="39"/>
      <c r="G74" s="23"/>
    </row>
    <row r="75" spans="1:7" ht="15.75" hidden="1" customHeight="1">
      <c r="A75" s="39">
        <v>17</v>
      </c>
      <c r="B75" s="52" t="s">
        <v>79</v>
      </c>
      <c r="C75" s="53" t="s">
        <v>81</v>
      </c>
      <c r="D75" s="52" t="s">
        <v>73</v>
      </c>
      <c r="E75" s="23"/>
      <c r="F75" s="49">
        <v>536.23</v>
      </c>
      <c r="G75" s="23">
        <v>0</v>
      </c>
    </row>
    <row r="76" spans="1:7" ht="15.75" hidden="1" customHeight="1">
      <c r="A76" s="39"/>
      <c r="B76" s="52" t="s">
        <v>80</v>
      </c>
      <c r="C76" s="53" t="s">
        <v>31</v>
      </c>
      <c r="D76" s="52" t="s">
        <v>73</v>
      </c>
      <c r="E76" s="23"/>
      <c r="F76" s="49">
        <v>911.85</v>
      </c>
      <c r="G76" s="23">
        <v>0</v>
      </c>
    </row>
    <row r="77" spans="1:7" ht="15.75" hidden="1" customHeight="1">
      <c r="A77" s="39">
        <v>38</v>
      </c>
      <c r="B77" s="52" t="s">
        <v>134</v>
      </c>
      <c r="C77" s="53" t="s">
        <v>31</v>
      </c>
      <c r="D77" s="52" t="s">
        <v>73</v>
      </c>
      <c r="E77" s="23"/>
      <c r="F77" s="49">
        <v>383.25</v>
      </c>
      <c r="G77" s="23">
        <v>0</v>
      </c>
    </row>
    <row r="78" spans="1:7" ht="15.75" hidden="1" customHeight="1">
      <c r="A78" s="39"/>
      <c r="B78" s="67" t="s">
        <v>82</v>
      </c>
      <c r="C78" s="53"/>
      <c r="D78" s="39"/>
      <c r="E78" s="23"/>
      <c r="F78" s="49"/>
      <c r="G78" s="23"/>
    </row>
    <row r="79" spans="1:7" ht="15.75" hidden="1" customHeight="1">
      <c r="A79" s="39">
        <v>39</v>
      </c>
      <c r="B79" s="54" t="s">
        <v>157</v>
      </c>
      <c r="C79" s="55" t="s">
        <v>83</v>
      </c>
      <c r="D79" s="84"/>
      <c r="E79" s="23"/>
      <c r="F79" s="50">
        <v>2949.85</v>
      </c>
      <c r="G79" s="23">
        <v>0</v>
      </c>
    </row>
    <row r="80" spans="1:7" ht="15.75" customHeight="1">
      <c r="A80" s="162" t="s">
        <v>174</v>
      </c>
      <c r="B80" s="163"/>
      <c r="C80" s="163"/>
      <c r="D80" s="163"/>
      <c r="E80" s="163"/>
      <c r="F80" s="163"/>
      <c r="G80" s="164"/>
    </row>
    <row r="81" spans="1:7" ht="15.75" customHeight="1">
      <c r="A81" s="39">
        <v>16</v>
      </c>
      <c r="B81" s="43" t="s">
        <v>135</v>
      </c>
      <c r="C81" s="53" t="s">
        <v>57</v>
      </c>
      <c r="D81" s="148" t="s">
        <v>235</v>
      </c>
      <c r="E81" s="19">
        <v>327.9</v>
      </c>
      <c r="F81" s="49">
        <v>2.2400000000000002</v>
      </c>
      <c r="G81" s="16">
        <v>5883.36</v>
      </c>
    </row>
    <row r="82" spans="1:7" ht="31.5" customHeight="1">
      <c r="A82" s="39">
        <v>17</v>
      </c>
      <c r="B82" s="52" t="s">
        <v>84</v>
      </c>
      <c r="C82" s="53"/>
      <c r="D82" s="148" t="s">
        <v>235</v>
      </c>
      <c r="E82" s="19"/>
      <c r="F82" s="49">
        <v>1.74</v>
      </c>
      <c r="G82" s="16">
        <v>4570.1099999999997</v>
      </c>
    </row>
    <row r="83" spans="1:7" ht="15.75" customHeight="1">
      <c r="A83" s="71"/>
      <c r="B83" s="56" t="s">
        <v>88</v>
      </c>
      <c r="C83" s="58"/>
      <c r="D83" s="19"/>
      <c r="E83" s="19"/>
      <c r="F83" s="23"/>
      <c r="G83" s="41">
        <f>SUM(G16+G17+G18+G20+G21+G27+G28+G39+G40+G42+G43+G44+G45+G59+G62+G81+G82)</f>
        <v>40541.639999999992</v>
      </c>
    </row>
    <row r="84" spans="1:7" ht="15.75" customHeight="1">
      <c r="A84" s="71"/>
      <c r="B84" s="82" t="s">
        <v>63</v>
      </c>
      <c r="C84" s="82"/>
      <c r="D84" s="82"/>
      <c r="E84" s="82"/>
      <c r="F84" s="82"/>
      <c r="G84" s="82"/>
    </row>
    <row r="85" spans="1:7" ht="15.75" customHeight="1">
      <c r="A85" s="39">
        <v>18</v>
      </c>
      <c r="B85" s="83" t="s">
        <v>150</v>
      </c>
      <c r="C85" s="88" t="s">
        <v>127</v>
      </c>
      <c r="D85" s="82"/>
      <c r="E85" s="19"/>
      <c r="F85" s="49">
        <v>50.68</v>
      </c>
      <c r="G85" s="16">
        <v>2331.2800000000002</v>
      </c>
    </row>
    <row r="86" spans="1:7" ht="15.75" customHeight="1">
      <c r="A86" s="39"/>
      <c r="B86" s="63" t="s">
        <v>52</v>
      </c>
      <c r="C86" s="59"/>
      <c r="D86" s="73"/>
      <c r="E86" s="59">
        <v>1</v>
      </c>
      <c r="F86" s="59"/>
      <c r="G86" s="41">
        <f>SUM(G85:G85)</f>
        <v>2331.2800000000002</v>
      </c>
    </row>
    <row r="87" spans="1:7" ht="15.75" customHeight="1">
      <c r="A87" s="39"/>
      <c r="B87" s="69" t="s">
        <v>85</v>
      </c>
      <c r="C87" s="19"/>
      <c r="D87" s="19"/>
      <c r="E87" s="60"/>
      <c r="F87" s="61"/>
      <c r="G87" s="22">
        <v>0</v>
      </c>
    </row>
    <row r="88" spans="1:7" ht="15.75" customHeight="1">
      <c r="A88" s="74"/>
      <c r="B88" s="64" t="s">
        <v>53</v>
      </c>
      <c r="C88" s="47"/>
      <c r="D88" s="47"/>
      <c r="E88" s="47"/>
      <c r="F88" s="47"/>
      <c r="G88" s="62">
        <f>G83+G86</f>
        <v>42872.919999999991</v>
      </c>
    </row>
    <row r="89" spans="1:7" ht="15.75">
      <c r="A89" s="165" t="s">
        <v>158</v>
      </c>
      <c r="B89" s="165"/>
      <c r="C89" s="165"/>
      <c r="D89" s="165"/>
      <c r="E89" s="165"/>
      <c r="F89" s="165"/>
      <c r="G89" s="165"/>
    </row>
    <row r="90" spans="1:7" ht="15.75">
      <c r="A90" s="80"/>
      <c r="B90" s="166" t="s">
        <v>159</v>
      </c>
      <c r="C90" s="166"/>
      <c r="D90" s="166"/>
      <c r="E90" s="166"/>
      <c r="F90" s="166"/>
      <c r="G90" s="3"/>
    </row>
    <row r="91" spans="1:7">
      <c r="A91" s="77"/>
      <c r="B91" s="159" t="s">
        <v>6</v>
      </c>
      <c r="C91" s="159"/>
      <c r="D91" s="159"/>
      <c r="E91" s="159"/>
      <c r="F91" s="159"/>
      <c r="G91" s="5"/>
    </row>
    <row r="92" spans="1:7">
      <c r="A92" s="10"/>
      <c r="B92" s="10"/>
      <c r="C92" s="10"/>
      <c r="D92" s="10"/>
      <c r="E92" s="10"/>
      <c r="F92" s="10"/>
      <c r="G92" s="10"/>
    </row>
    <row r="93" spans="1:7" ht="15.75">
      <c r="A93" s="167" t="s">
        <v>7</v>
      </c>
      <c r="B93" s="167"/>
      <c r="C93" s="167"/>
      <c r="D93" s="167"/>
      <c r="E93" s="167"/>
      <c r="F93" s="167"/>
      <c r="G93" s="167"/>
    </row>
    <row r="94" spans="1:7" ht="15.75">
      <c r="A94" s="167" t="s">
        <v>8</v>
      </c>
      <c r="B94" s="167"/>
      <c r="C94" s="167"/>
      <c r="D94" s="167"/>
      <c r="E94" s="167"/>
      <c r="F94" s="167"/>
      <c r="G94" s="167"/>
    </row>
    <row r="95" spans="1:7" ht="15.75">
      <c r="A95" s="156" t="s">
        <v>64</v>
      </c>
      <c r="B95" s="156"/>
      <c r="C95" s="156"/>
      <c r="D95" s="156"/>
      <c r="E95" s="156"/>
      <c r="F95" s="156"/>
      <c r="G95" s="156"/>
    </row>
    <row r="96" spans="1:7" ht="15.75">
      <c r="A96" s="11"/>
    </row>
    <row r="97" spans="1:7" ht="15.75">
      <c r="A97" s="157" t="s">
        <v>9</v>
      </c>
      <c r="B97" s="157"/>
      <c r="C97" s="157"/>
      <c r="D97" s="157"/>
      <c r="E97" s="157"/>
      <c r="F97" s="157"/>
      <c r="G97" s="157"/>
    </row>
    <row r="98" spans="1:7" ht="15.75">
      <c r="A98" s="4"/>
    </row>
    <row r="99" spans="1:7" ht="15.75">
      <c r="B99" s="75" t="s">
        <v>10</v>
      </c>
      <c r="C99" s="158" t="s">
        <v>173</v>
      </c>
      <c r="D99" s="158"/>
      <c r="E99" s="158"/>
      <c r="G99" s="78"/>
    </row>
    <row r="100" spans="1:7">
      <c r="A100" s="77"/>
      <c r="C100" s="159" t="s">
        <v>11</v>
      </c>
      <c r="D100" s="159"/>
      <c r="E100" s="159"/>
      <c r="G100" s="76" t="s">
        <v>12</v>
      </c>
    </row>
    <row r="101" spans="1:7" ht="15.75">
      <c r="A101" s="35"/>
      <c r="C101" s="12"/>
      <c r="D101" s="12"/>
      <c r="F101" s="12"/>
    </row>
    <row r="102" spans="1:7" ht="15.75">
      <c r="B102" s="75" t="s">
        <v>13</v>
      </c>
      <c r="C102" s="160"/>
      <c r="D102" s="160"/>
      <c r="E102" s="160"/>
      <c r="G102" s="78"/>
    </row>
    <row r="103" spans="1:7">
      <c r="A103" s="77"/>
      <c r="C103" s="161" t="s">
        <v>11</v>
      </c>
      <c r="D103" s="161"/>
      <c r="E103" s="161"/>
      <c r="G103" s="76" t="s">
        <v>12</v>
      </c>
    </row>
    <row r="104" spans="1:7" ht="15.75">
      <c r="A104" s="4" t="s">
        <v>14</v>
      </c>
    </row>
    <row r="105" spans="1:7">
      <c r="A105" s="154" t="s">
        <v>15</v>
      </c>
      <c r="B105" s="154"/>
      <c r="C105" s="154"/>
      <c r="D105" s="154"/>
      <c r="E105" s="154"/>
      <c r="F105" s="154"/>
      <c r="G105" s="154"/>
    </row>
    <row r="106" spans="1:7" ht="45" customHeight="1">
      <c r="A106" s="155" t="s">
        <v>16</v>
      </c>
      <c r="B106" s="155"/>
      <c r="C106" s="155"/>
      <c r="D106" s="155"/>
      <c r="E106" s="155"/>
      <c r="F106" s="155"/>
      <c r="G106" s="155"/>
    </row>
    <row r="107" spans="1:7" ht="30" customHeight="1">
      <c r="A107" s="155" t="s">
        <v>17</v>
      </c>
      <c r="B107" s="155"/>
      <c r="C107" s="155"/>
      <c r="D107" s="155"/>
      <c r="E107" s="155"/>
      <c r="F107" s="155"/>
      <c r="G107" s="155"/>
    </row>
    <row r="108" spans="1:7" ht="30" customHeight="1">
      <c r="A108" s="155" t="s">
        <v>21</v>
      </c>
      <c r="B108" s="155"/>
      <c r="C108" s="155"/>
      <c r="D108" s="155"/>
      <c r="E108" s="155"/>
      <c r="F108" s="155"/>
      <c r="G108" s="155"/>
    </row>
    <row r="109" spans="1:7" ht="15" customHeight="1">
      <c r="A109" s="155" t="s">
        <v>20</v>
      </c>
      <c r="B109" s="155"/>
      <c r="C109" s="155"/>
      <c r="D109" s="155"/>
      <c r="E109" s="155"/>
      <c r="F109" s="155"/>
      <c r="G109" s="155"/>
    </row>
  </sheetData>
  <mergeCells count="28">
    <mergeCell ref="A106:G106"/>
    <mergeCell ref="A107:G107"/>
    <mergeCell ref="A108:G108"/>
    <mergeCell ref="A109:G109"/>
    <mergeCell ref="A97:G97"/>
    <mergeCell ref="C99:E99"/>
    <mergeCell ref="C100:E100"/>
    <mergeCell ref="C102:E102"/>
    <mergeCell ref="C103:E103"/>
    <mergeCell ref="A105:G105"/>
    <mergeCell ref="A95:G95"/>
    <mergeCell ref="A15:G15"/>
    <mergeCell ref="A29:G29"/>
    <mergeCell ref="A46:G46"/>
    <mergeCell ref="A57:G57"/>
    <mergeCell ref="B72:F72"/>
    <mergeCell ref="A89:G89"/>
    <mergeCell ref="B90:F90"/>
    <mergeCell ref="B91:F91"/>
    <mergeCell ref="A93:G93"/>
    <mergeCell ref="A94:G94"/>
    <mergeCell ref="A80:G80"/>
    <mergeCell ref="A14:G14"/>
    <mergeCell ref="A3:G3"/>
    <mergeCell ref="A4:G4"/>
    <mergeCell ref="A5:G5"/>
    <mergeCell ref="A8:G8"/>
    <mergeCell ref="A10:G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3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37" t="s">
        <v>99</v>
      </c>
      <c r="G1" s="36"/>
      <c r="H1" s="1"/>
      <c r="I1" s="1"/>
      <c r="J1" s="1"/>
      <c r="K1" s="1"/>
    </row>
    <row r="2" spans="1:11" ht="15.75">
      <c r="A2" s="38" t="s">
        <v>68</v>
      </c>
      <c r="H2" s="2"/>
      <c r="I2" s="2"/>
      <c r="J2" s="2"/>
      <c r="K2" s="2"/>
    </row>
    <row r="3" spans="1:11" ht="15.75" customHeight="1">
      <c r="A3" s="172" t="s">
        <v>136</v>
      </c>
      <c r="B3" s="172"/>
      <c r="C3" s="172"/>
      <c r="D3" s="172"/>
      <c r="E3" s="172"/>
      <c r="F3" s="172"/>
      <c r="G3" s="172"/>
      <c r="H3" s="3"/>
      <c r="I3" s="3"/>
      <c r="J3" s="3"/>
    </row>
    <row r="4" spans="1:11" ht="31.5" customHeight="1">
      <c r="A4" s="173" t="s">
        <v>165</v>
      </c>
      <c r="B4" s="173"/>
      <c r="C4" s="173"/>
      <c r="D4" s="173"/>
      <c r="E4" s="173"/>
      <c r="F4" s="173"/>
      <c r="G4" s="173"/>
    </row>
    <row r="5" spans="1:11" ht="15.75">
      <c r="A5" s="172" t="s">
        <v>137</v>
      </c>
      <c r="B5" s="174"/>
      <c r="C5" s="174"/>
      <c r="D5" s="174"/>
      <c r="E5" s="174"/>
      <c r="F5" s="174"/>
      <c r="G5" s="174"/>
      <c r="H5" s="2"/>
      <c r="I5" s="2"/>
      <c r="J5" s="2"/>
      <c r="K5" s="2"/>
    </row>
    <row r="6" spans="1:11" ht="15.75">
      <c r="A6" s="2"/>
      <c r="B6" s="79"/>
      <c r="C6" s="79"/>
      <c r="D6" s="79"/>
      <c r="E6" s="79"/>
      <c r="F6" s="79"/>
      <c r="G6" s="40">
        <v>42735</v>
      </c>
      <c r="H6" s="2"/>
      <c r="I6" s="2"/>
      <c r="J6" s="2"/>
      <c r="K6" s="2"/>
    </row>
    <row r="7" spans="1:11" ht="15.75">
      <c r="B7" s="75"/>
      <c r="C7" s="75"/>
      <c r="D7" s="75"/>
      <c r="E7" s="3"/>
      <c r="F7" s="3"/>
      <c r="H7" s="3"/>
      <c r="I7" s="3"/>
      <c r="J7" s="3"/>
      <c r="K7" s="3"/>
    </row>
    <row r="8" spans="1:11" ht="87" customHeight="1">
      <c r="A8" s="175" t="s">
        <v>168</v>
      </c>
      <c r="B8" s="175"/>
      <c r="C8" s="175"/>
      <c r="D8" s="175"/>
      <c r="E8" s="175"/>
      <c r="F8" s="175"/>
      <c r="G8" s="17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176" t="s">
        <v>169</v>
      </c>
      <c r="B10" s="176"/>
      <c r="C10" s="176"/>
      <c r="D10" s="176"/>
      <c r="E10" s="176"/>
      <c r="F10" s="176"/>
      <c r="G10" s="176"/>
      <c r="H10" s="2"/>
      <c r="I10" s="2"/>
      <c r="J10" s="2"/>
      <c r="K10" s="2"/>
    </row>
    <row r="11" spans="1:11" ht="15.75">
      <c r="A11" s="4"/>
    </row>
    <row r="12" spans="1:11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177" t="s">
        <v>62</v>
      </c>
      <c r="B14" s="177"/>
      <c r="C14" s="177"/>
      <c r="D14" s="177"/>
      <c r="E14" s="177"/>
      <c r="F14" s="177"/>
      <c r="G14" s="177"/>
      <c r="H14" s="8"/>
      <c r="I14" s="8"/>
      <c r="J14" s="8"/>
      <c r="K14" s="8"/>
    </row>
    <row r="15" spans="1:11" ht="15" customHeight="1">
      <c r="A15" s="168" t="s">
        <v>4</v>
      </c>
      <c r="B15" s="168"/>
      <c r="C15" s="168"/>
      <c r="D15" s="168"/>
      <c r="E15" s="168"/>
      <c r="F15" s="168"/>
      <c r="G15" s="168"/>
      <c r="H15" s="8"/>
      <c r="I15" s="8"/>
      <c r="J15" s="8"/>
      <c r="K15" s="8"/>
    </row>
    <row r="16" spans="1:11" ht="30">
      <c r="A16" s="39">
        <v>1</v>
      </c>
      <c r="B16" s="43" t="s">
        <v>102</v>
      </c>
      <c r="C16" s="57" t="s">
        <v>103</v>
      </c>
      <c r="D16" s="43" t="s">
        <v>104</v>
      </c>
      <c r="E16" s="39"/>
      <c r="F16" s="42">
        <v>187.48</v>
      </c>
      <c r="G16" s="86">
        <v>1211.8</v>
      </c>
      <c r="H16" s="31"/>
      <c r="I16" s="8"/>
      <c r="J16" s="8"/>
      <c r="K16" s="8"/>
    </row>
    <row r="17" spans="1:11" ht="31.5" customHeight="1">
      <c r="A17" s="39">
        <v>2</v>
      </c>
      <c r="B17" s="43" t="s">
        <v>138</v>
      </c>
      <c r="C17" s="57" t="s">
        <v>103</v>
      </c>
      <c r="D17" s="43" t="s">
        <v>105</v>
      </c>
      <c r="E17" s="39"/>
      <c r="F17" s="42">
        <v>187.48</v>
      </c>
      <c r="G17" s="86">
        <v>3231.46</v>
      </c>
      <c r="H17" s="32"/>
      <c r="I17" s="8"/>
      <c r="J17" s="8"/>
      <c r="K17" s="8"/>
    </row>
    <row r="18" spans="1:11" ht="31.5" customHeight="1">
      <c r="A18" s="39">
        <v>3</v>
      </c>
      <c r="B18" s="43" t="s">
        <v>139</v>
      </c>
      <c r="C18" s="57" t="s">
        <v>103</v>
      </c>
      <c r="D18" s="43" t="s">
        <v>140</v>
      </c>
      <c r="E18" s="39"/>
      <c r="F18" s="42">
        <v>539.30999999999995</v>
      </c>
      <c r="G18" s="86">
        <v>2681.45</v>
      </c>
      <c r="H18" s="32"/>
      <c r="I18" s="8"/>
      <c r="J18" s="8"/>
      <c r="K18" s="8"/>
    </row>
    <row r="19" spans="1:11" ht="15.75" hidden="1" customHeight="1">
      <c r="A19" s="39"/>
      <c r="B19" s="43" t="s">
        <v>112</v>
      </c>
      <c r="C19" s="57" t="s">
        <v>113</v>
      </c>
      <c r="D19" s="43" t="s">
        <v>114</v>
      </c>
      <c r="E19" s="39"/>
      <c r="F19" s="42">
        <v>181.91</v>
      </c>
      <c r="G19" s="86">
        <v>0</v>
      </c>
      <c r="H19" s="32"/>
      <c r="I19" s="8"/>
      <c r="J19" s="8"/>
      <c r="K19" s="8"/>
    </row>
    <row r="20" spans="1:11" ht="15.75" customHeight="1">
      <c r="A20" s="39">
        <v>4</v>
      </c>
      <c r="B20" s="43" t="s">
        <v>115</v>
      </c>
      <c r="C20" s="57" t="s">
        <v>103</v>
      </c>
      <c r="D20" s="43" t="s">
        <v>141</v>
      </c>
      <c r="E20" s="39"/>
      <c r="F20" s="42">
        <v>232.92</v>
      </c>
      <c r="G20" s="86">
        <v>24.46</v>
      </c>
      <c r="H20" s="32"/>
      <c r="I20" s="8"/>
      <c r="J20" s="8"/>
      <c r="K20" s="8"/>
    </row>
    <row r="21" spans="1:11" ht="15.75" hidden="1" customHeight="1">
      <c r="A21" s="39">
        <v>5</v>
      </c>
      <c r="B21" s="43" t="s">
        <v>116</v>
      </c>
      <c r="C21" s="57" t="s">
        <v>103</v>
      </c>
      <c r="D21" s="43" t="s">
        <v>151</v>
      </c>
      <c r="E21" s="39"/>
      <c r="F21" s="42">
        <v>231.03</v>
      </c>
      <c r="G21" s="86">
        <v>6.24</v>
      </c>
      <c r="H21" s="32"/>
      <c r="I21" s="8"/>
      <c r="J21" s="8"/>
      <c r="K21" s="8"/>
    </row>
    <row r="22" spans="1:11" ht="15.75" hidden="1" customHeight="1">
      <c r="A22" s="39"/>
      <c r="B22" s="43" t="s">
        <v>117</v>
      </c>
      <c r="C22" s="57" t="s">
        <v>54</v>
      </c>
      <c r="D22" s="43" t="s">
        <v>114</v>
      </c>
      <c r="E22" s="39"/>
      <c r="F22" s="42">
        <v>287.83999999999997</v>
      </c>
      <c r="G22" s="86">
        <v>0</v>
      </c>
      <c r="H22" s="32"/>
      <c r="I22" s="8"/>
      <c r="J22" s="8"/>
      <c r="K22" s="8"/>
    </row>
    <row r="23" spans="1:11" ht="15.75" hidden="1" customHeight="1">
      <c r="A23" s="39"/>
      <c r="B23" s="43" t="s">
        <v>118</v>
      </c>
      <c r="C23" s="57" t="s">
        <v>54</v>
      </c>
      <c r="D23" s="43" t="s">
        <v>114</v>
      </c>
      <c r="E23" s="39"/>
      <c r="F23" s="42">
        <v>47.34</v>
      </c>
      <c r="G23" s="86">
        <v>0</v>
      </c>
      <c r="H23" s="32"/>
      <c r="I23" s="8"/>
      <c r="J23" s="8"/>
      <c r="K23" s="8"/>
    </row>
    <row r="24" spans="1:11" ht="15.75" hidden="1" customHeight="1">
      <c r="A24" s="39"/>
      <c r="B24" s="43" t="s">
        <v>119</v>
      </c>
      <c r="C24" s="57" t="s">
        <v>54</v>
      </c>
      <c r="D24" s="43" t="s">
        <v>55</v>
      </c>
      <c r="E24" s="39"/>
      <c r="F24" s="42">
        <v>416.62</v>
      </c>
      <c r="G24" s="86">
        <v>0</v>
      </c>
      <c r="H24" s="32"/>
      <c r="I24" s="8"/>
      <c r="J24" s="8"/>
      <c r="K24" s="8"/>
    </row>
    <row r="25" spans="1:11" ht="15.75" hidden="1" customHeight="1">
      <c r="A25" s="39"/>
      <c r="B25" s="43" t="s">
        <v>120</v>
      </c>
      <c r="C25" s="57" t="s">
        <v>54</v>
      </c>
      <c r="D25" s="43" t="s">
        <v>55</v>
      </c>
      <c r="E25" s="39"/>
      <c r="F25" s="42">
        <v>556.74</v>
      </c>
      <c r="G25" s="86">
        <v>0</v>
      </c>
      <c r="H25" s="32"/>
      <c r="I25" s="8"/>
      <c r="J25" s="8"/>
      <c r="K25" s="8"/>
    </row>
    <row r="26" spans="1:11" ht="15.75" hidden="1" customHeight="1">
      <c r="A26" s="39"/>
      <c r="B26" s="43" t="s">
        <v>152</v>
      </c>
      <c r="C26" s="57" t="s">
        <v>54</v>
      </c>
      <c r="D26" s="43" t="s">
        <v>55</v>
      </c>
      <c r="E26" s="39"/>
      <c r="F26" s="42">
        <v>231.03</v>
      </c>
      <c r="G26" s="86">
        <v>0</v>
      </c>
      <c r="H26" s="32"/>
      <c r="I26" s="8"/>
      <c r="J26" s="8"/>
      <c r="K26" s="8"/>
    </row>
    <row r="27" spans="1:11" ht="16.5" customHeight="1">
      <c r="A27" s="58">
        <v>5</v>
      </c>
      <c r="B27" s="43" t="s">
        <v>70</v>
      </c>
      <c r="C27" s="57" t="s">
        <v>33</v>
      </c>
      <c r="D27" s="43" t="s">
        <v>142</v>
      </c>
      <c r="E27" s="22">
        <v>506.1</v>
      </c>
      <c r="F27" s="42">
        <v>157.18</v>
      </c>
      <c r="G27" s="86">
        <v>478.09</v>
      </c>
      <c r="H27" s="32"/>
      <c r="I27" s="8"/>
      <c r="J27" s="8"/>
      <c r="K27" s="8"/>
    </row>
    <row r="28" spans="1:11" ht="15" customHeight="1">
      <c r="A28" s="58">
        <v>6</v>
      </c>
      <c r="B28" s="13" t="s">
        <v>23</v>
      </c>
      <c r="C28" s="14" t="s">
        <v>24</v>
      </c>
      <c r="D28" s="39"/>
      <c r="E28" s="22">
        <v>506.1</v>
      </c>
      <c r="F28" s="42">
        <v>4.7</v>
      </c>
      <c r="G28" s="86">
        <v>12344.55</v>
      </c>
      <c r="H28" s="32"/>
      <c r="I28" s="8"/>
      <c r="J28" s="8"/>
      <c r="K28" s="8"/>
    </row>
    <row r="29" spans="1:11" ht="15" customHeight="1">
      <c r="A29" s="168" t="s">
        <v>98</v>
      </c>
      <c r="B29" s="168"/>
      <c r="C29" s="168"/>
      <c r="D29" s="168"/>
      <c r="E29" s="168"/>
      <c r="F29" s="168"/>
      <c r="G29" s="168"/>
      <c r="H29" s="32"/>
      <c r="I29" s="8"/>
      <c r="J29" s="8"/>
      <c r="K29" s="8"/>
    </row>
    <row r="30" spans="1:11" ht="13.5" hidden="1" customHeight="1">
      <c r="A30" s="58"/>
      <c r="B30" s="68" t="s">
        <v>28</v>
      </c>
      <c r="C30" s="68"/>
      <c r="D30" s="68"/>
      <c r="E30" s="68"/>
      <c r="F30" s="68"/>
      <c r="G30" s="23"/>
      <c r="H30" s="32"/>
      <c r="I30" s="8"/>
      <c r="J30" s="8"/>
      <c r="K30" s="8"/>
    </row>
    <row r="31" spans="1:11" ht="31.5" hidden="1" customHeight="1">
      <c r="A31" s="58">
        <v>2</v>
      </c>
      <c r="B31" s="43" t="s">
        <v>124</v>
      </c>
      <c r="C31" s="57" t="s">
        <v>107</v>
      </c>
      <c r="D31" s="43" t="s">
        <v>121</v>
      </c>
      <c r="E31" s="17">
        <v>2.31</v>
      </c>
      <c r="F31" s="42">
        <v>155.88999999999999</v>
      </c>
      <c r="G31" s="16">
        <v>0</v>
      </c>
      <c r="H31" s="32"/>
      <c r="I31" s="8"/>
      <c r="J31" s="8"/>
      <c r="K31" s="8"/>
    </row>
    <row r="32" spans="1:11" ht="15" hidden="1" customHeight="1">
      <c r="A32" s="58">
        <v>3</v>
      </c>
      <c r="B32" s="43" t="s">
        <v>144</v>
      </c>
      <c r="C32" s="57" t="s">
        <v>107</v>
      </c>
      <c r="D32" s="43" t="s">
        <v>122</v>
      </c>
      <c r="E32" s="16">
        <f>0.0024*3*4.5</f>
        <v>3.2399999999999998E-2</v>
      </c>
      <c r="F32" s="42">
        <v>258.63</v>
      </c>
      <c r="G32" s="23">
        <v>0</v>
      </c>
      <c r="H32" s="32"/>
      <c r="I32" s="8"/>
      <c r="J32" s="8"/>
      <c r="K32" s="8"/>
    </row>
    <row r="33" spans="1:12" ht="15" hidden="1" customHeight="1">
      <c r="A33" s="58">
        <v>4</v>
      </c>
      <c r="B33" s="43" t="s">
        <v>27</v>
      </c>
      <c r="C33" s="57" t="s">
        <v>107</v>
      </c>
      <c r="D33" s="43" t="s">
        <v>55</v>
      </c>
      <c r="E33" s="21">
        <v>0</v>
      </c>
      <c r="F33" s="42">
        <v>3020.33</v>
      </c>
      <c r="G33" s="23">
        <v>0</v>
      </c>
      <c r="H33" s="32"/>
      <c r="I33" s="8"/>
    </row>
    <row r="34" spans="1:12" ht="15.75" hidden="1" customHeight="1">
      <c r="A34" s="58">
        <v>5</v>
      </c>
      <c r="B34" s="43" t="s">
        <v>143</v>
      </c>
      <c r="C34" s="57" t="s">
        <v>40</v>
      </c>
      <c r="D34" s="43" t="s">
        <v>69</v>
      </c>
      <c r="E34" s="21">
        <v>0</v>
      </c>
      <c r="F34" s="42">
        <v>1302.02</v>
      </c>
      <c r="G34" s="23">
        <v>0</v>
      </c>
      <c r="H34" s="33"/>
    </row>
    <row r="35" spans="1:12" ht="15.75" hidden="1" customHeight="1">
      <c r="A35" s="58">
        <v>4</v>
      </c>
      <c r="B35" s="43" t="s">
        <v>123</v>
      </c>
      <c r="C35" s="57" t="s">
        <v>31</v>
      </c>
      <c r="D35" s="43" t="s">
        <v>69</v>
      </c>
      <c r="E35" s="16">
        <v>3.75</v>
      </c>
      <c r="F35" s="42">
        <v>56.69</v>
      </c>
      <c r="G35" s="16">
        <v>0</v>
      </c>
      <c r="H35" s="33"/>
    </row>
    <row r="36" spans="1:12" ht="15.75" hidden="1" customHeight="1">
      <c r="A36" s="58"/>
      <c r="B36" s="43" t="s">
        <v>71</v>
      </c>
      <c r="C36" s="57" t="s">
        <v>33</v>
      </c>
      <c r="D36" s="43" t="s">
        <v>73</v>
      </c>
      <c r="E36" s="16"/>
      <c r="F36" s="42">
        <v>204.52</v>
      </c>
      <c r="G36" s="16">
        <v>0</v>
      </c>
      <c r="H36" s="33"/>
    </row>
    <row r="37" spans="1:12" ht="15.75" hidden="1" customHeight="1">
      <c r="A37" s="39">
        <v>8</v>
      </c>
      <c r="B37" s="43" t="s">
        <v>72</v>
      </c>
      <c r="C37" s="57" t="s">
        <v>32</v>
      </c>
      <c r="D37" s="43" t="s">
        <v>73</v>
      </c>
      <c r="E37" s="16"/>
      <c r="F37" s="42">
        <v>1214.73</v>
      </c>
      <c r="G37" s="16">
        <v>0</v>
      </c>
      <c r="H37" s="33"/>
    </row>
    <row r="38" spans="1:12" ht="15.75" customHeight="1">
      <c r="A38" s="58"/>
      <c r="B38" s="66" t="s">
        <v>5</v>
      </c>
      <c r="C38" s="66"/>
      <c r="D38" s="66"/>
      <c r="E38" s="16"/>
      <c r="F38" s="17"/>
      <c r="G38" s="23"/>
      <c r="H38" s="33"/>
    </row>
    <row r="39" spans="1:12" ht="15.75" customHeight="1">
      <c r="A39" s="44">
        <v>7</v>
      </c>
      <c r="B39" s="45" t="s">
        <v>26</v>
      </c>
      <c r="C39" s="57" t="s">
        <v>32</v>
      </c>
      <c r="D39" s="43"/>
      <c r="E39" s="16">
        <v>0</v>
      </c>
      <c r="F39" s="42">
        <v>1632.6</v>
      </c>
      <c r="G39" s="16">
        <v>2176.8000000000002</v>
      </c>
      <c r="H39" s="33"/>
    </row>
    <row r="40" spans="1:12" ht="15.75" customHeight="1">
      <c r="A40" s="44">
        <v>8</v>
      </c>
      <c r="B40" s="45" t="s">
        <v>125</v>
      </c>
      <c r="C40" s="81" t="s">
        <v>29</v>
      </c>
      <c r="D40" s="43" t="s">
        <v>153</v>
      </c>
      <c r="E40" s="16">
        <v>0</v>
      </c>
      <c r="F40" s="42">
        <v>2247.8000000000002</v>
      </c>
      <c r="G40" s="16">
        <v>915.98</v>
      </c>
      <c r="H40" s="33"/>
    </row>
    <row r="41" spans="1:12" ht="15.75" hidden="1" customHeight="1">
      <c r="A41" s="44">
        <v>10</v>
      </c>
      <c r="B41" s="43" t="s">
        <v>145</v>
      </c>
      <c r="C41" s="57" t="s">
        <v>146</v>
      </c>
      <c r="D41" s="43" t="s">
        <v>154</v>
      </c>
      <c r="E41" s="16">
        <v>0</v>
      </c>
      <c r="F41" s="42">
        <v>213.2</v>
      </c>
      <c r="G41" s="16">
        <v>0</v>
      </c>
      <c r="H41" s="33"/>
      <c r="J41" s="25"/>
      <c r="K41" s="26"/>
      <c r="L41" s="27"/>
    </row>
    <row r="42" spans="1:12" ht="15.75" customHeight="1">
      <c r="A42" s="44">
        <v>9</v>
      </c>
      <c r="B42" s="43" t="s">
        <v>74</v>
      </c>
      <c r="C42" s="57" t="s">
        <v>29</v>
      </c>
      <c r="D42" s="43" t="s">
        <v>106</v>
      </c>
      <c r="E42" s="16">
        <v>0</v>
      </c>
      <c r="F42" s="42">
        <v>375.95</v>
      </c>
      <c r="G42" s="16">
        <v>1485.94</v>
      </c>
      <c r="H42" s="33"/>
      <c r="J42" s="25"/>
      <c r="K42" s="26"/>
      <c r="L42" s="27"/>
    </row>
    <row r="43" spans="1:12" ht="47.25" customHeight="1">
      <c r="A43" s="44">
        <v>10</v>
      </c>
      <c r="B43" s="43" t="s">
        <v>96</v>
      </c>
      <c r="C43" s="57" t="s">
        <v>107</v>
      </c>
      <c r="D43" s="43" t="s">
        <v>155</v>
      </c>
      <c r="E43" s="16">
        <v>0</v>
      </c>
      <c r="F43" s="42">
        <v>6203.7</v>
      </c>
      <c r="G43" s="16">
        <v>2949.34</v>
      </c>
      <c r="H43" s="33"/>
      <c r="J43" s="25"/>
      <c r="K43" s="26"/>
      <c r="L43" s="27"/>
    </row>
    <row r="44" spans="1:12" ht="15.75" customHeight="1">
      <c r="A44" s="44">
        <v>11</v>
      </c>
      <c r="B44" s="43" t="s">
        <v>108</v>
      </c>
      <c r="C44" s="57" t="s">
        <v>107</v>
      </c>
      <c r="D44" s="43" t="s">
        <v>75</v>
      </c>
      <c r="E44" s="16"/>
      <c r="F44" s="42">
        <v>458.28</v>
      </c>
      <c r="G44" s="16">
        <v>280.12</v>
      </c>
      <c r="H44" s="33"/>
      <c r="J44" s="25"/>
      <c r="K44" s="26"/>
      <c r="L44" s="27"/>
    </row>
    <row r="45" spans="1:12" ht="15.75" customHeight="1">
      <c r="A45" s="44">
        <v>12</v>
      </c>
      <c r="B45" s="45" t="s">
        <v>76</v>
      </c>
      <c r="C45" s="81" t="s">
        <v>33</v>
      </c>
      <c r="D45" s="45"/>
      <c r="E45" s="16"/>
      <c r="F45" s="46">
        <v>853.06</v>
      </c>
      <c r="G45" s="16">
        <v>127.96</v>
      </c>
      <c r="H45" s="33"/>
      <c r="J45" s="25"/>
      <c r="K45" s="26"/>
      <c r="L45" s="27"/>
    </row>
    <row r="46" spans="1:12" ht="15" customHeight="1">
      <c r="A46" s="169" t="s">
        <v>170</v>
      </c>
      <c r="B46" s="170"/>
      <c r="C46" s="170"/>
      <c r="D46" s="170"/>
      <c r="E46" s="170"/>
      <c r="F46" s="170"/>
      <c r="G46" s="171"/>
      <c r="H46" s="33"/>
      <c r="J46" s="25"/>
      <c r="K46" s="26"/>
      <c r="L46" s="27"/>
    </row>
    <row r="47" spans="1:12" ht="15.75" hidden="1" customHeight="1">
      <c r="A47" s="58">
        <v>15</v>
      </c>
      <c r="B47" s="43" t="s">
        <v>156</v>
      </c>
      <c r="C47" s="57" t="s">
        <v>107</v>
      </c>
      <c r="D47" s="43" t="s">
        <v>42</v>
      </c>
      <c r="E47" s="23">
        <v>0.42</v>
      </c>
      <c r="F47" s="49">
        <v>865.61</v>
      </c>
      <c r="G47" s="24">
        <v>0</v>
      </c>
      <c r="H47" s="33"/>
      <c r="J47" s="25"/>
      <c r="K47" s="26"/>
      <c r="L47" s="27"/>
    </row>
    <row r="48" spans="1:12" ht="15.75" hidden="1" customHeight="1">
      <c r="A48" s="58">
        <v>16</v>
      </c>
      <c r="B48" s="43" t="s">
        <v>35</v>
      </c>
      <c r="C48" s="57" t="s">
        <v>107</v>
      </c>
      <c r="D48" s="43" t="s">
        <v>42</v>
      </c>
      <c r="E48" s="23">
        <v>1.35</v>
      </c>
      <c r="F48" s="49">
        <v>619.46</v>
      </c>
      <c r="G48" s="24">
        <v>0</v>
      </c>
      <c r="H48" s="33"/>
      <c r="J48" s="25"/>
      <c r="K48" s="26"/>
      <c r="L48" s="27"/>
    </row>
    <row r="49" spans="1:12" ht="15.75" hidden="1" customHeight="1">
      <c r="A49" s="58">
        <v>17</v>
      </c>
      <c r="B49" s="43" t="s">
        <v>36</v>
      </c>
      <c r="C49" s="57" t="s">
        <v>107</v>
      </c>
      <c r="D49" s="43" t="s">
        <v>42</v>
      </c>
      <c r="E49" s="23">
        <v>0.03</v>
      </c>
      <c r="F49" s="49">
        <v>619.46</v>
      </c>
      <c r="G49" s="24">
        <v>0</v>
      </c>
      <c r="H49" s="33"/>
      <c r="J49" s="25"/>
      <c r="K49" s="26"/>
      <c r="L49" s="27"/>
    </row>
    <row r="50" spans="1:12" ht="15.75" hidden="1" customHeight="1">
      <c r="A50" s="58">
        <v>18</v>
      </c>
      <c r="B50" s="43" t="s">
        <v>37</v>
      </c>
      <c r="C50" s="57" t="s">
        <v>107</v>
      </c>
      <c r="D50" s="43" t="s">
        <v>42</v>
      </c>
      <c r="E50" s="23">
        <v>0.33</v>
      </c>
      <c r="F50" s="49">
        <v>648.64</v>
      </c>
      <c r="G50" s="24">
        <v>0</v>
      </c>
      <c r="H50" s="33"/>
      <c r="J50" s="25"/>
      <c r="K50" s="26"/>
      <c r="L50" s="27"/>
    </row>
    <row r="51" spans="1:12" ht="15.75" hidden="1" customHeight="1">
      <c r="A51" s="58">
        <v>19</v>
      </c>
      <c r="B51" s="43" t="s">
        <v>34</v>
      </c>
      <c r="C51" s="57" t="s">
        <v>54</v>
      </c>
      <c r="D51" s="43" t="s">
        <v>42</v>
      </c>
      <c r="E51" s="23">
        <v>0.22</v>
      </c>
      <c r="F51" s="49">
        <v>77.84</v>
      </c>
      <c r="G51" s="16">
        <v>0</v>
      </c>
      <c r="H51" s="33"/>
      <c r="J51" s="25"/>
      <c r="K51" s="26"/>
      <c r="L51" s="27"/>
    </row>
    <row r="52" spans="1:12" ht="31.5" customHeight="1">
      <c r="A52" s="58">
        <v>13</v>
      </c>
      <c r="B52" s="43" t="s">
        <v>59</v>
      </c>
      <c r="C52" s="57" t="s">
        <v>107</v>
      </c>
      <c r="D52" s="43" t="s">
        <v>126</v>
      </c>
      <c r="E52" s="23">
        <v>0.22</v>
      </c>
      <c r="F52" s="49">
        <v>1297.28</v>
      </c>
      <c r="G52" s="24">
        <v>2241.6999999999998</v>
      </c>
      <c r="H52" s="33"/>
      <c r="J52" s="25"/>
      <c r="K52" s="26"/>
      <c r="L52" s="27"/>
    </row>
    <row r="53" spans="1:12" ht="31.5" hidden="1" customHeight="1">
      <c r="A53" s="58">
        <v>14</v>
      </c>
      <c r="B53" s="43" t="s">
        <v>109</v>
      </c>
      <c r="C53" s="57" t="s">
        <v>107</v>
      </c>
      <c r="D53" s="43" t="s">
        <v>42</v>
      </c>
      <c r="E53" s="23">
        <v>0.02</v>
      </c>
      <c r="F53" s="49">
        <v>1297.28</v>
      </c>
      <c r="G53" s="24">
        <v>0</v>
      </c>
      <c r="H53" s="33"/>
      <c r="J53" s="25"/>
      <c r="K53" s="26"/>
      <c r="L53" s="27"/>
    </row>
    <row r="54" spans="1:12" ht="31.5" hidden="1" customHeight="1">
      <c r="A54" s="58">
        <v>15</v>
      </c>
      <c r="B54" s="43" t="s">
        <v>110</v>
      </c>
      <c r="C54" s="57" t="s">
        <v>38</v>
      </c>
      <c r="D54" s="43" t="s">
        <v>42</v>
      </c>
      <c r="E54" s="23">
        <v>0.01</v>
      </c>
      <c r="F54" s="49">
        <v>2918.89</v>
      </c>
      <c r="G54" s="24">
        <v>0</v>
      </c>
      <c r="H54" s="33"/>
      <c r="J54" s="25"/>
      <c r="K54" s="26"/>
      <c r="L54" s="27"/>
    </row>
    <row r="55" spans="1:12" ht="15.75" hidden="1" customHeight="1">
      <c r="A55" s="58">
        <v>23</v>
      </c>
      <c r="B55" s="43" t="s">
        <v>39</v>
      </c>
      <c r="C55" s="57" t="s">
        <v>40</v>
      </c>
      <c r="D55" s="43" t="s">
        <v>42</v>
      </c>
      <c r="E55" s="23">
        <v>8</v>
      </c>
      <c r="F55" s="49">
        <v>6042.12</v>
      </c>
      <c r="G55" s="16">
        <v>0</v>
      </c>
      <c r="H55" s="33"/>
      <c r="J55" s="25"/>
      <c r="K55" s="26"/>
      <c r="L55" s="27"/>
    </row>
    <row r="56" spans="1:12" ht="15.75" hidden="1" customHeight="1">
      <c r="A56" s="58">
        <v>24</v>
      </c>
      <c r="B56" s="43" t="s">
        <v>41</v>
      </c>
      <c r="C56" s="57" t="s">
        <v>127</v>
      </c>
      <c r="D56" s="43" t="s">
        <v>77</v>
      </c>
      <c r="E56" s="23">
        <v>16</v>
      </c>
      <c r="F56" s="50">
        <v>70.209999999999994</v>
      </c>
      <c r="G56" s="16">
        <v>0</v>
      </c>
      <c r="H56" s="33"/>
      <c r="J56" s="25"/>
      <c r="K56" s="26"/>
      <c r="L56" s="27"/>
    </row>
    <row r="57" spans="1:12" ht="15.75" customHeight="1">
      <c r="A57" s="169" t="s">
        <v>171</v>
      </c>
      <c r="B57" s="170"/>
      <c r="C57" s="170"/>
      <c r="D57" s="170"/>
      <c r="E57" s="170"/>
      <c r="F57" s="170"/>
      <c r="G57" s="171"/>
      <c r="H57" s="33"/>
      <c r="J57" s="25"/>
      <c r="K57" s="26"/>
      <c r="L57" s="27"/>
    </row>
    <row r="58" spans="1:12" ht="15.75" customHeight="1">
      <c r="A58" s="71"/>
      <c r="B58" s="65" t="s">
        <v>43</v>
      </c>
      <c r="C58" s="20"/>
      <c r="D58" s="19"/>
      <c r="E58" s="19"/>
      <c r="F58" s="39"/>
      <c r="G58" s="23"/>
      <c r="H58" s="33"/>
      <c r="J58" s="25"/>
      <c r="K58" s="26"/>
      <c r="L58" s="27"/>
    </row>
    <row r="59" spans="1:12" ht="31.5" customHeight="1">
      <c r="A59" s="58">
        <v>14</v>
      </c>
      <c r="B59" s="95" t="s">
        <v>147</v>
      </c>
      <c r="C59" s="70" t="s">
        <v>103</v>
      </c>
      <c r="D59" s="95" t="s">
        <v>128</v>
      </c>
      <c r="E59" s="100">
        <v>0</v>
      </c>
      <c r="F59" s="101">
        <v>1654.04</v>
      </c>
      <c r="G59" s="24">
        <v>1835.98</v>
      </c>
      <c r="H59" s="33"/>
      <c r="J59" s="25"/>
      <c r="K59" s="26"/>
      <c r="L59" s="27"/>
    </row>
    <row r="60" spans="1:12" ht="15.75" customHeight="1">
      <c r="A60" s="58"/>
      <c r="B60" s="93" t="s">
        <v>44</v>
      </c>
      <c r="C60" s="93"/>
      <c r="D60" s="93"/>
      <c r="E60" s="93"/>
      <c r="F60" s="93"/>
      <c r="G60" s="48"/>
      <c r="H60" s="33"/>
      <c r="J60" s="25"/>
      <c r="K60" s="26"/>
      <c r="L60" s="27"/>
    </row>
    <row r="61" spans="1:12" ht="15.75" hidden="1" customHeight="1">
      <c r="A61" s="58">
        <v>27</v>
      </c>
      <c r="B61" s="104" t="s">
        <v>148</v>
      </c>
      <c r="C61" s="105" t="s">
        <v>54</v>
      </c>
      <c r="D61" s="104" t="s">
        <v>55</v>
      </c>
      <c r="E61" s="106">
        <v>0</v>
      </c>
      <c r="F61" s="107">
        <v>848.37</v>
      </c>
      <c r="G61" s="24">
        <f>E61/2</f>
        <v>0</v>
      </c>
      <c r="H61" s="33"/>
      <c r="J61" s="25"/>
      <c r="K61" s="26"/>
      <c r="L61" s="27"/>
    </row>
    <row r="62" spans="1:12" ht="16.5" customHeight="1">
      <c r="A62" s="58">
        <v>15</v>
      </c>
      <c r="B62" s="95" t="s">
        <v>149</v>
      </c>
      <c r="C62" s="70" t="s">
        <v>25</v>
      </c>
      <c r="D62" s="95" t="s">
        <v>30</v>
      </c>
      <c r="E62" s="23"/>
      <c r="F62" s="96">
        <v>2.6</v>
      </c>
      <c r="G62" s="24">
        <v>338</v>
      </c>
      <c r="H62" s="33"/>
      <c r="J62" s="25"/>
      <c r="K62" s="26"/>
      <c r="L62" s="27"/>
    </row>
    <row r="63" spans="1:12" ht="15" customHeight="1">
      <c r="A63" s="58"/>
      <c r="B63" s="93" t="s">
        <v>46</v>
      </c>
      <c r="C63" s="20"/>
      <c r="D63" s="19"/>
      <c r="E63" s="19"/>
      <c r="F63" s="39"/>
      <c r="G63" s="23"/>
      <c r="H63" s="33"/>
      <c r="J63" s="25"/>
      <c r="K63" s="26"/>
      <c r="L63" s="27"/>
    </row>
    <row r="64" spans="1:12" ht="15" customHeight="1">
      <c r="A64" s="58">
        <v>16</v>
      </c>
      <c r="B64" s="84" t="s">
        <v>47</v>
      </c>
      <c r="C64" s="53" t="s">
        <v>127</v>
      </c>
      <c r="D64" s="52" t="s">
        <v>73</v>
      </c>
      <c r="E64" s="23">
        <v>0</v>
      </c>
      <c r="F64" s="49">
        <v>237.74</v>
      </c>
      <c r="G64" s="24">
        <v>950.96</v>
      </c>
      <c r="H64" s="33"/>
      <c r="J64" s="25"/>
    </row>
    <row r="65" spans="1:20" ht="15" hidden="1" customHeight="1">
      <c r="A65" s="39">
        <v>29</v>
      </c>
      <c r="B65" s="84" t="s">
        <v>48</v>
      </c>
      <c r="C65" s="53" t="s">
        <v>127</v>
      </c>
      <c r="D65" s="52" t="s">
        <v>73</v>
      </c>
      <c r="E65" s="23">
        <v>0</v>
      </c>
      <c r="F65" s="49">
        <v>81.510000000000005</v>
      </c>
      <c r="G65" s="24">
        <v>0</v>
      </c>
    </row>
    <row r="66" spans="1:20" ht="15" hidden="1" customHeight="1">
      <c r="A66" s="39">
        <v>8</v>
      </c>
      <c r="B66" s="84" t="s">
        <v>49</v>
      </c>
      <c r="C66" s="55" t="s">
        <v>129</v>
      </c>
      <c r="D66" s="52" t="s">
        <v>55</v>
      </c>
      <c r="E66" s="23">
        <v>13.47</v>
      </c>
      <c r="F66" s="49">
        <v>226.79</v>
      </c>
      <c r="G66" s="23">
        <v>0</v>
      </c>
    </row>
    <row r="67" spans="1:20" ht="15" hidden="1" customHeight="1">
      <c r="A67" s="39">
        <v>9</v>
      </c>
      <c r="B67" s="84" t="s">
        <v>50</v>
      </c>
      <c r="C67" s="53" t="s">
        <v>130</v>
      </c>
      <c r="D67" s="52"/>
      <c r="E67" s="23">
        <v>1.35</v>
      </c>
      <c r="F67" s="49">
        <v>176.61</v>
      </c>
      <c r="G67" s="23">
        <v>0</v>
      </c>
    </row>
    <row r="68" spans="1:20" ht="15.75" hidden="1" customHeight="1">
      <c r="A68" s="39">
        <v>10</v>
      </c>
      <c r="B68" s="84" t="s">
        <v>51</v>
      </c>
      <c r="C68" s="53" t="s">
        <v>83</v>
      </c>
      <c r="D68" s="52" t="s">
        <v>55</v>
      </c>
      <c r="E68" s="23">
        <v>0</v>
      </c>
      <c r="F68" s="49">
        <v>2217.7800000000002</v>
      </c>
      <c r="G68" s="23"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9"/>
    </row>
    <row r="69" spans="1:20" ht="15.75" hidden="1" customHeight="1">
      <c r="A69" s="39">
        <v>11</v>
      </c>
      <c r="B69" s="72" t="s">
        <v>131</v>
      </c>
      <c r="C69" s="53" t="s">
        <v>33</v>
      </c>
      <c r="D69" s="52"/>
      <c r="E69" s="15">
        <v>0</v>
      </c>
      <c r="F69" s="49">
        <v>42.67</v>
      </c>
      <c r="G69" s="23">
        <v>0</v>
      </c>
      <c r="H69" s="35"/>
      <c r="I69" s="35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20" ht="15.75" hidden="1" customHeight="1">
      <c r="A70" s="39">
        <v>12</v>
      </c>
      <c r="B70" s="72" t="s">
        <v>132</v>
      </c>
      <c r="C70" s="53" t="s">
        <v>33</v>
      </c>
      <c r="D70" s="52"/>
      <c r="E70" s="15"/>
      <c r="F70" s="49">
        <v>39.81</v>
      </c>
      <c r="G70" s="23">
        <v>0</v>
      </c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</row>
    <row r="71" spans="1:20" ht="15.75" hidden="1" customHeight="1">
      <c r="A71" s="39">
        <v>13</v>
      </c>
      <c r="B71" s="52" t="s">
        <v>60</v>
      </c>
      <c r="C71" s="53" t="s">
        <v>61</v>
      </c>
      <c r="D71" s="52" t="s">
        <v>55</v>
      </c>
      <c r="E71" s="15"/>
      <c r="F71" s="49">
        <v>53.32</v>
      </c>
      <c r="G71" s="23">
        <v>0</v>
      </c>
      <c r="H71" s="5"/>
      <c r="I71" s="5"/>
      <c r="J71" s="5"/>
      <c r="K71" s="5"/>
      <c r="L71" s="5"/>
      <c r="M71" s="5"/>
      <c r="N71" s="5"/>
      <c r="O71" s="5"/>
      <c r="P71" s="161"/>
      <c r="Q71" s="161"/>
      <c r="R71" s="161"/>
      <c r="S71" s="161"/>
    </row>
    <row r="72" spans="1:20" ht="15.75" hidden="1" customHeight="1">
      <c r="A72" s="71"/>
      <c r="B72" s="178" t="s">
        <v>111</v>
      </c>
      <c r="C72" s="179"/>
      <c r="D72" s="179"/>
      <c r="E72" s="179"/>
      <c r="F72" s="180"/>
      <c r="G72" s="23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20" ht="15.75" hidden="1" customHeight="1">
      <c r="A73" s="39">
        <v>36</v>
      </c>
      <c r="B73" s="43" t="s">
        <v>133</v>
      </c>
      <c r="C73" s="85"/>
      <c r="D73" s="52" t="s">
        <v>55</v>
      </c>
      <c r="E73" s="23">
        <v>0</v>
      </c>
      <c r="F73" s="51">
        <v>7634.7</v>
      </c>
      <c r="G73" s="23">
        <v>0</v>
      </c>
    </row>
    <row r="74" spans="1:20" ht="15" hidden="1" customHeight="1">
      <c r="A74" s="39"/>
      <c r="B74" s="66" t="s">
        <v>78</v>
      </c>
      <c r="C74" s="66"/>
      <c r="D74" s="66"/>
      <c r="E74" s="23"/>
      <c r="F74" s="39"/>
      <c r="G74" s="23"/>
    </row>
    <row r="75" spans="1:20" ht="15.75" hidden="1" customHeight="1">
      <c r="A75" s="39">
        <v>17</v>
      </c>
      <c r="B75" s="52" t="s">
        <v>79</v>
      </c>
      <c r="C75" s="53" t="s">
        <v>81</v>
      </c>
      <c r="D75" s="52" t="s">
        <v>73</v>
      </c>
      <c r="E75" s="23"/>
      <c r="F75" s="49">
        <v>536.23</v>
      </c>
      <c r="G75" s="23">
        <v>0</v>
      </c>
    </row>
    <row r="76" spans="1:20" ht="15" hidden="1" customHeight="1">
      <c r="A76" s="39"/>
      <c r="B76" s="52" t="s">
        <v>80</v>
      </c>
      <c r="C76" s="53" t="s">
        <v>31</v>
      </c>
      <c r="D76" s="52" t="s">
        <v>73</v>
      </c>
      <c r="E76" s="23"/>
      <c r="F76" s="49">
        <v>911.85</v>
      </c>
      <c r="G76" s="23">
        <v>0</v>
      </c>
    </row>
    <row r="77" spans="1:20" ht="15" hidden="1" customHeight="1">
      <c r="A77" s="39">
        <v>38</v>
      </c>
      <c r="B77" s="52" t="s">
        <v>134</v>
      </c>
      <c r="C77" s="53" t="s">
        <v>31</v>
      </c>
      <c r="D77" s="52" t="s">
        <v>73</v>
      </c>
      <c r="E77" s="23"/>
      <c r="F77" s="49">
        <v>383.25</v>
      </c>
      <c r="G77" s="23">
        <v>0</v>
      </c>
    </row>
    <row r="78" spans="1:20" ht="15" hidden="1" customHeight="1">
      <c r="A78" s="39"/>
      <c r="B78" s="67" t="s">
        <v>82</v>
      </c>
      <c r="C78" s="53"/>
      <c r="D78" s="39"/>
      <c r="E78" s="23"/>
      <c r="F78" s="49"/>
      <c r="G78" s="23"/>
    </row>
    <row r="79" spans="1:20" ht="15.75" hidden="1" customHeight="1">
      <c r="A79" s="39">
        <v>39</v>
      </c>
      <c r="B79" s="54" t="s">
        <v>157</v>
      </c>
      <c r="C79" s="55" t="s">
        <v>83</v>
      </c>
      <c r="D79" s="84"/>
      <c r="E79" s="23"/>
      <c r="F79" s="50">
        <v>2949.85</v>
      </c>
      <c r="G79" s="23">
        <v>0</v>
      </c>
    </row>
    <row r="80" spans="1:20" ht="15" customHeight="1">
      <c r="A80" s="162" t="s">
        <v>172</v>
      </c>
      <c r="B80" s="163"/>
      <c r="C80" s="163"/>
      <c r="D80" s="163"/>
      <c r="E80" s="163"/>
      <c r="F80" s="163"/>
      <c r="G80" s="164"/>
    </row>
    <row r="81" spans="1:7" ht="15" customHeight="1">
      <c r="A81" s="39">
        <v>17</v>
      </c>
      <c r="B81" s="43" t="s">
        <v>135</v>
      </c>
      <c r="C81" s="53" t="s">
        <v>57</v>
      </c>
      <c r="D81" s="148" t="s">
        <v>235</v>
      </c>
      <c r="E81" s="19">
        <v>327.9</v>
      </c>
      <c r="F81" s="49">
        <v>2.2400000000000002</v>
      </c>
      <c r="G81" s="16">
        <v>5883.36</v>
      </c>
    </row>
    <row r="82" spans="1:7" ht="31.5" customHeight="1">
      <c r="A82" s="39">
        <v>18</v>
      </c>
      <c r="B82" s="52" t="s">
        <v>84</v>
      </c>
      <c r="C82" s="53"/>
      <c r="D82" s="148" t="s">
        <v>235</v>
      </c>
      <c r="E82" s="19"/>
      <c r="F82" s="49">
        <v>1.74</v>
      </c>
      <c r="G82" s="16">
        <v>4570.1099999999997</v>
      </c>
    </row>
    <row r="83" spans="1:7">
      <c r="A83" s="71"/>
      <c r="B83" s="56" t="s">
        <v>88</v>
      </c>
      <c r="C83" s="58"/>
      <c r="D83" s="19"/>
      <c r="E83" s="19"/>
      <c r="F83" s="23"/>
      <c r="G83" s="41">
        <f>SUM(G16+G17+G18+G20+G27+G28+G39+G40+G42+G43+G44+G45+G52+G59+G62+G64+G81+G82)</f>
        <v>43728.06</v>
      </c>
    </row>
    <row r="84" spans="1:7">
      <c r="A84" s="71"/>
      <c r="B84" s="82" t="s">
        <v>63</v>
      </c>
      <c r="C84" s="82"/>
      <c r="D84" s="82"/>
      <c r="E84" s="82"/>
      <c r="F84" s="82"/>
      <c r="G84" s="82"/>
    </row>
    <row r="85" spans="1:7">
      <c r="A85" s="39">
        <v>19</v>
      </c>
      <c r="B85" s="87" t="s">
        <v>160</v>
      </c>
      <c r="C85" s="88" t="s">
        <v>97</v>
      </c>
      <c r="D85" s="82"/>
      <c r="E85" s="39"/>
      <c r="F85" s="39">
        <v>185.81</v>
      </c>
      <c r="G85" s="39">
        <v>185.81</v>
      </c>
    </row>
    <row r="86" spans="1:7" ht="31.5" customHeight="1">
      <c r="A86" s="39">
        <v>20</v>
      </c>
      <c r="B86" s="83" t="s">
        <v>161</v>
      </c>
      <c r="C86" s="97" t="s">
        <v>38</v>
      </c>
      <c r="D86" s="82"/>
      <c r="E86" s="19"/>
      <c r="F86" s="49">
        <f>3397.65</f>
        <v>3397.65</v>
      </c>
      <c r="G86" s="16">
        <v>33.979999999999997</v>
      </c>
    </row>
    <row r="87" spans="1:7" ht="16.5" customHeight="1">
      <c r="A87" s="39">
        <v>21</v>
      </c>
      <c r="B87" s="83" t="s">
        <v>150</v>
      </c>
      <c r="C87" s="88" t="s">
        <v>127</v>
      </c>
      <c r="D87" s="82"/>
      <c r="E87" s="19"/>
      <c r="F87" s="49">
        <v>50.68</v>
      </c>
      <c r="G87" s="16">
        <v>2331.2800000000002</v>
      </c>
    </row>
    <row r="88" spans="1:7" ht="31.5" customHeight="1">
      <c r="A88" s="39">
        <v>22</v>
      </c>
      <c r="B88" s="98" t="s">
        <v>162</v>
      </c>
      <c r="C88" s="58" t="s">
        <v>113</v>
      </c>
      <c r="D88" s="82"/>
      <c r="E88" s="19"/>
      <c r="F88" s="49">
        <v>39222.99</v>
      </c>
      <c r="G88" s="16">
        <v>2745.61</v>
      </c>
    </row>
    <row r="89" spans="1:7" ht="31.5" customHeight="1">
      <c r="A89" s="39">
        <v>23</v>
      </c>
      <c r="B89" s="87" t="s">
        <v>163</v>
      </c>
      <c r="C89" s="88" t="s">
        <v>164</v>
      </c>
      <c r="D89" s="82"/>
      <c r="E89" s="19"/>
      <c r="F89" s="49">
        <v>9750.4599999999991</v>
      </c>
      <c r="G89" s="16">
        <v>682.53</v>
      </c>
    </row>
    <row r="90" spans="1:7" ht="16.5" customHeight="1">
      <c r="A90" s="39"/>
      <c r="B90" s="63" t="s">
        <v>52</v>
      </c>
      <c r="C90" s="59"/>
      <c r="D90" s="73"/>
      <c r="E90" s="59">
        <v>1</v>
      </c>
      <c r="F90" s="59"/>
      <c r="G90" s="41">
        <f>SUM(G85:G89)</f>
        <v>5979.21</v>
      </c>
    </row>
    <row r="91" spans="1:7" ht="15.75" customHeight="1">
      <c r="A91" s="39"/>
      <c r="B91" s="69" t="s">
        <v>85</v>
      </c>
      <c r="C91" s="19"/>
      <c r="D91" s="19"/>
      <c r="E91" s="60"/>
      <c r="F91" s="61"/>
      <c r="G91" s="22">
        <v>0</v>
      </c>
    </row>
    <row r="92" spans="1:7" ht="15.75" customHeight="1">
      <c r="A92" s="74"/>
      <c r="B92" s="64" t="s">
        <v>53</v>
      </c>
      <c r="C92" s="47"/>
      <c r="D92" s="47"/>
      <c r="E92" s="47"/>
      <c r="F92" s="47"/>
      <c r="G92" s="62">
        <f>G83+G90</f>
        <v>49707.27</v>
      </c>
    </row>
    <row r="93" spans="1:7" ht="15.75" customHeight="1">
      <c r="A93" s="165" t="s">
        <v>166</v>
      </c>
      <c r="B93" s="165"/>
      <c r="C93" s="165"/>
      <c r="D93" s="165"/>
      <c r="E93" s="165"/>
      <c r="F93" s="165"/>
      <c r="G93" s="165"/>
    </row>
    <row r="94" spans="1:7" ht="15.75">
      <c r="A94" s="94"/>
      <c r="B94" s="166" t="s">
        <v>167</v>
      </c>
      <c r="C94" s="166"/>
      <c r="D94" s="166"/>
      <c r="E94" s="166"/>
      <c r="F94" s="166"/>
      <c r="G94" s="3"/>
    </row>
    <row r="95" spans="1:7">
      <c r="A95" s="91"/>
      <c r="B95" s="159" t="s">
        <v>6</v>
      </c>
      <c r="C95" s="159"/>
      <c r="D95" s="159"/>
      <c r="E95" s="159"/>
      <c r="F95" s="159"/>
      <c r="G95" s="5"/>
    </row>
    <row r="96" spans="1:7" ht="15.75" customHeight="1">
      <c r="A96" s="10"/>
      <c r="B96" s="10"/>
      <c r="C96" s="10"/>
      <c r="D96" s="10"/>
      <c r="E96" s="10"/>
      <c r="F96" s="10"/>
      <c r="G96" s="10"/>
    </row>
    <row r="97" spans="1:7" ht="15.75" customHeight="1">
      <c r="A97" s="167" t="s">
        <v>7</v>
      </c>
      <c r="B97" s="167"/>
      <c r="C97" s="167"/>
      <c r="D97" s="167"/>
      <c r="E97" s="167"/>
      <c r="F97" s="167"/>
      <c r="G97" s="167"/>
    </row>
    <row r="98" spans="1:7" ht="15.75">
      <c r="A98" s="167" t="s">
        <v>8</v>
      </c>
      <c r="B98" s="167"/>
      <c r="C98" s="167"/>
      <c r="D98" s="167"/>
      <c r="E98" s="167"/>
      <c r="F98" s="167"/>
      <c r="G98" s="167"/>
    </row>
    <row r="99" spans="1:7" ht="15.75">
      <c r="A99" s="156" t="s">
        <v>64</v>
      </c>
      <c r="B99" s="156"/>
      <c r="C99" s="156"/>
      <c r="D99" s="156"/>
      <c r="E99" s="156"/>
      <c r="F99" s="156"/>
      <c r="G99" s="156"/>
    </row>
    <row r="100" spans="1:7" ht="15.75">
      <c r="A100" s="11"/>
    </row>
    <row r="101" spans="1:7" ht="15.75">
      <c r="A101" s="157" t="s">
        <v>9</v>
      </c>
      <c r="B101" s="157"/>
      <c r="C101" s="157"/>
      <c r="D101" s="157"/>
      <c r="E101" s="157"/>
      <c r="F101" s="157"/>
      <c r="G101" s="157"/>
    </row>
    <row r="102" spans="1:7" ht="15.75" customHeight="1">
      <c r="A102" s="4"/>
    </row>
    <row r="103" spans="1:7" ht="15.75">
      <c r="B103" s="92" t="s">
        <v>10</v>
      </c>
      <c r="C103" s="158" t="s">
        <v>173</v>
      </c>
      <c r="D103" s="158"/>
      <c r="E103" s="158"/>
      <c r="G103" s="90"/>
    </row>
    <row r="104" spans="1:7">
      <c r="A104" s="91"/>
      <c r="C104" s="159" t="s">
        <v>11</v>
      </c>
      <c r="D104" s="159"/>
      <c r="E104" s="159"/>
      <c r="G104" s="89" t="s">
        <v>12</v>
      </c>
    </row>
    <row r="105" spans="1:7" ht="15.75" customHeight="1">
      <c r="A105" s="35"/>
      <c r="C105" s="12"/>
      <c r="D105" s="12"/>
      <c r="F105" s="12"/>
    </row>
    <row r="106" spans="1:7" ht="15.75" customHeight="1">
      <c r="B106" s="92" t="s">
        <v>13</v>
      </c>
      <c r="C106" s="160"/>
      <c r="D106" s="160"/>
      <c r="E106" s="160"/>
      <c r="G106" s="90"/>
    </row>
    <row r="107" spans="1:7" ht="15.75" customHeight="1">
      <c r="A107" s="91"/>
      <c r="C107" s="161" t="s">
        <v>11</v>
      </c>
      <c r="D107" s="161"/>
      <c r="E107" s="161"/>
      <c r="G107" s="89" t="s">
        <v>12</v>
      </c>
    </row>
    <row r="108" spans="1:7" ht="15.75">
      <c r="A108" s="4" t="s">
        <v>14</v>
      </c>
    </row>
    <row r="109" spans="1:7">
      <c r="A109" s="154" t="s">
        <v>15</v>
      </c>
      <c r="B109" s="154"/>
      <c r="C109" s="154"/>
      <c r="D109" s="154"/>
      <c r="E109" s="154"/>
      <c r="F109" s="154"/>
      <c r="G109" s="154"/>
    </row>
    <row r="110" spans="1:7" ht="45" customHeight="1">
      <c r="A110" s="155" t="s">
        <v>16</v>
      </c>
      <c r="B110" s="155"/>
      <c r="C110" s="155"/>
      <c r="D110" s="155"/>
      <c r="E110" s="155"/>
      <c r="F110" s="155"/>
      <c r="G110" s="155"/>
    </row>
    <row r="111" spans="1:7" ht="30" customHeight="1">
      <c r="A111" s="155" t="s">
        <v>17</v>
      </c>
      <c r="B111" s="155"/>
      <c r="C111" s="155"/>
      <c r="D111" s="155"/>
      <c r="E111" s="155"/>
      <c r="F111" s="155"/>
      <c r="G111" s="155"/>
    </row>
    <row r="112" spans="1:7" ht="30" customHeight="1">
      <c r="A112" s="155" t="s">
        <v>21</v>
      </c>
      <c r="B112" s="155"/>
      <c r="C112" s="155"/>
      <c r="D112" s="155"/>
      <c r="E112" s="155"/>
      <c r="F112" s="155"/>
      <c r="G112" s="155"/>
    </row>
    <row r="113" spans="1:7" ht="15" customHeight="1">
      <c r="A113" s="155" t="s">
        <v>20</v>
      </c>
      <c r="B113" s="155"/>
      <c r="C113" s="155"/>
      <c r="D113" s="155"/>
      <c r="E113" s="155"/>
      <c r="F113" s="155"/>
      <c r="G113" s="155"/>
    </row>
  </sheetData>
  <autoFilter ref="G12:G66"/>
  <mergeCells count="29">
    <mergeCell ref="C106:E106"/>
    <mergeCell ref="C107:E107"/>
    <mergeCell ref="A29:G29"/>
    <mergeCell ref="B72:F72"/>
    <mergeCell ref="A93:G93"/>
    <mergeCell ref="B94:F94"/>
    <mergeCell ref="B95:F95"/>
    <mergeCell ref="A97:G97"/>
    <mergeCell ref="A98:G98"/>
    <mergeCell ref="A99:G99"/>
    <mergeCell ref="C103:E103"/>
    <mergeCell ref="C104:E104"/>
    <mergeCell ref="A101:G101"/>
    <mergeCell ref="A80:G80"/>
    <mergeCell ref="A3:G3"/>
    <mergeCell ref="A4:G4"/>
    <mergeCell ref="A8:G8"/>
    <mergeCell ref="A10:G10"/>
    <mergeCell ref="A5:G5"/>
    <mergeCell ref="A14:G14"/>
    <mergeCell ref="A15:G15"/>
    <mergeCell ref="P71:S71"/>
    <mergeCell ref="A46:G46"/>
    <mergeCell ref="A57:G57"/>
    <mergeCell ref="A112:G112"/>
    <mergeCell ref="A113:G113"/>
    <mergeCell ref="A109:G109"/>
    <mergeCell ref="A110:G110"/>
    <mergeCell ref="A111:G11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208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89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42429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hidden="1" customHeight="1">
      <c r="A19" s="39"/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v>0</v>
      </c>
      <c r="J19" s="32"/>
      <c r="K19" s="8"/>
      <c r="L19" s="8"/>
      <c r="M19" s="8"/>
    </row>
    <row r="20" spans="1:13" ht="15.75" customHeight="1">
      <c r="A20" s="39">
        <v>4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hidden="1" customHeight="1">
      <c r="A21" s="39">
        <v>5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hidden="1" customHeight="1">
      <c r="A22" s="39"/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v>0</v>
      </c>
      <c r="J22" s="32"/>
      <c r="K22" s="8"/>
      <c r="L22" s="8"/>
      <c r="M22" s="8"/>
    </row>
    <row r="23" spans="1:13" ht="15.75" hidden="1" customHeight="1">
      <c r="A23" s="39"/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v>0</v>
      </c>
      <c r="J23" s="32"/>
      <c r="K23" s="8"/>
      <c r="L23" s="8"/>
      <c r="M23" s="8"/>
    </row>
    <row r="24" spans="1:13" ht="15.75" hidden="1" customHeight="1">
      <c r="A24" s="39"/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v>0</v>
      </c>
      <c r="J24" s="32"/>
      <c r="K24" s="8"/>
      <c r="L24" s="8"/>
      <c r="M24" s="8"/>
    </row>
    <row r="25" spans="1:13" ht="15.75" hidden="1" customHeight="1">
      <c r="A25" s="39"/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v>0</v>
      </c>
      <c r="J25" s="32"/>
      <c r="K25" s="8"/>
      <c r="L25" s="8"/>
      <c r="M25" s="8"/>
    </row>
    <row r="26" spans="1:13" ht="15.75" hidden="1" customHeight="1">
      <c r="A26" s="39"/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v>0</v>
      </c>
      <c r="J26" s="32"/>
      <c r="K26" s="8"/>
      <c r="L26" s="8"/>
      <c r="M26" s="8"/>
    </row>
    <row r="27" spans="1:13" ht="15.75" customHeight="1">
      <c r="A27" s="39">
        <v>5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6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hidden="1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hidden="1" customHeight="1">
      <c r="A31" s="39">
        <v>8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1">SUM(F31*G31/1000)</f>
        <v>5.7627569999999997</v>
      </c>
      <c r="I31" s="16">
        <f t="shared" ref="I31:I35" si="2">F31/6*G31</f>
        <v>960.45949999999993</v>
      </c>
      <c r="J31" s="32"/>
      <c r="K31" s="8"/>
      <c r="L31" s="8"/>
      <c r="M31" s="8"/>
    </row>
    <row r="32" spans="1:13" ht="31.5" hidden="1" customHeight="1">
      <c r="A32" s="39">
        <v>9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1"/>
        <v>1.7575833600000001</v>
      </c>
      <c r="I32" s="16">
        <f t="shared" si="2"/>
        <v>292.93056000000007</v>
      </c>
      <c r="J32" s="32"/>
      <c r="K32" s="8"/>
      <c r="L32" s="8"/>
      <c r="M32" s="8"/>
    </row>
    <row r="33" spans="1:14" ht="15.75" hidden="1" customHeight="1">
      <c r="A33" s="39"/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1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hidden="1" customHeight="1">
      <c r="A34" s="39">
        <v>10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2"/>
        <v>1078.6914999999999</v>
      </c>
      <c r="J34" s="32"/>
      <c r="K34" s="8"/>
    </row>
    <row r="35" spans="1:14" ht="15.75" hidden="1" customHeight="1">
      <c r="A35" s="39">
        <v>11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2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1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1"/>
        <v>2.4294600000000002</v>
      </c>
      <c r="I37" s="16">
        <v>0</v>
      </c>
      <c r="J37" s="33"/>
    </row>
    <row r="38" spans="1:14" ht="15.75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customHeight="1">
      <c r="A39" s="39">
        <v>7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3">SUM(F39*G39/1000)</f>
        <v>13.060799999999999</v>
      </c>
      <c r="I39" s="16">
        <f t="shared" ref="I39:I45" si="4">F39/6*G39</f>
        <v>2176.7999999999997</v>
      </c>
      <c r="J39" s="33"/>
      <c r="L39" s="25"/>
      <c r="M39" s="26"/>
      <c r="N39" s="27"/>
    </row>
    <row r="40" spans="1:14" ht="15.75" customHeight="1">
      <c r="A40" s="39">
        <v>8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4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customHeight="1">
      <c r="A42" s="39">
        <v>9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3"/>
        <v>8.9156542499999993</v>
      </c>
      <c r="I42" s="16">
        <f t="shared" si="4"/>
        <v>1485.9423750000001</v>
      </c>
      <c r="J42" s="33"/>
      <c r="L42" s="25"/>
      <c r="M42" s="26"/>
      <c r="N42" s="27"/>
    </row>
    <row r="43" spans="1:14" ht="47.25" customHeight="1">
      <c r="A43" s="39">
        <v>10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3"/>
        <v>17.69605425</v>
      </c>
      <c r="I43" s="16">
        <f t="shared" si="4"/>
        <v>2949.3423749999997</v>
      </c>
      <c r="J43" s="33"/>
      <c r="L43" s="25"/>
      <c r="M43" s="26"/>
      <c r="N43" s="27"/>
    </row>
    <row r="44" spans="1:14" ht="15.75" customHeight="1">
      <c r="A44" s="39">
        <v>11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3"/>
        <v>1.6807418999999999</v>
      </c>
      <c r="I44" s="16">
        <f t="shared" si="4"/>
        <v>280.12364999999994</v>
      </c>
      <c r="J44" s="33"/>
      <c r="L44" s="25"/>
      <c r="M44" s="26"/>
      <c r="N44" s="27"/>
    </row>
    <row r="45" spans="1:14" ht="15.75" customHeight="1">
      <c r="A45" s="39">
        <v>12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3"/>
        <v>0.76775400000000005</v>
      </c>
      <c r="I45" s="16">
        <f t="shared" si="4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hidden="1" customHeight="1">
      <c r="A48" s="39"/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5">SUM(F48*G48/1000)</f>
        <v>1.8697176000000002</v>
      </c>
      <c r="I48" s="16">
        <v>0</v>
      </c>
      <c r="J48" s="33"/>
      <c r="L48" s="25"/>
      <c r="M48" s="26"/>
      <c r="N48" s="27"/>
    </row>
    <row r="49" spans="1:22" ht="15.75" hidden="1" customHeight="1">
      <c r="A49" s="39"/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5"/>
        <v>4.8317880000000001E-2</v>
      </c>
      <c r="I49" s="16">
        <v>0</v>
      </c>
      <c r="J49" s="33"/>
      <c r="L49" s="25"/>
      <c r="M49" s="26"/>
      <c r="N49" s="27"/>
    </row>
    <row r="50" spans="1:22" ht="15.75" hidden="1" customHeight="1">
      <c r="A50" s="39"/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5"/>
        <v>1.2847600399999999</v>
      </c>
      <c r="I50" s="16">
        <v>0</v>
      </c>
      <c r="J50" s="33"/>
      <c r="L50" s="25"/>
      <c r="M50" s="26"/>
      <c r="N50" s="27"/>
    </row>
    <row r="51" spans="1:22" ht="15.75" hidden="1" customHeight="1">
      <c r="A51" s="39"/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5"/>
        <v>2.95001472</v>
      </c>
      <c r="I51" s="16">
        <v>0</v>
      </c>
      <c r="J51" s="33"/>
      <c r="L51" s="25"/>
      <c r="M51" s="26"/>
      <c r="N51" s="27"/>
    </row>
    <row r="52" spans="1:22" ht="15.75" hidden="1" customHeight="1">
      <c r="A52" s="39"/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v>0</v>
      </c>
      <c r="J52" s="33"/>
      <c r="L52" s="25"/>
      <c r="M52" s="26"/>
      <c r="N52" s="27"/>
    </row>
    <row r="53" spans="1:22" ht="15.75" customHeight="1">
      <c r="A53" s="39">
        <v>13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hidden="1" customHeight="1">
      <c r="A54" s="39"/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v>0</v>
      </c>
      <c r="J54" s="33"/>
      <c r="L54" s="25"/>
      <c r="M54" s="26"/>
      <c r="N54" s="27"/>
    </row>
    <row r="55" spans="1:22" ht="31.5" hidden="1" customHeight="1">
      <c r="A55" s="39"/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v>0</v>
      </c>
      <c r="J55" s="33"/>
      <c r="L55" s="25"/>
      <c r="M55" s="26"/>
      <c r="N55" s="27"/>
    </row>
    <row r="56" spans="1:22" ht="15.75" customHeight="1">
      <c r="A56" s="39">
        <v>14</v>
      </c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5"/>
        <v>0.1208424</v>
      </c>
      <c r="I56" s="16">
        <f>F56/2*G56</f>
        <v>60.421199999999999</v>
      </c>
      <c r="J56" s="33"/>
      <c r="L56" s="25"/>
      <c r="M56" s="26"/>
      <c r="N56" s="27"/>
    </row>
    <row r="57" spans="1:22" ht="15.75" hidden="1" customHeight="1">
      <c r="A57" s="39">
        <v>15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171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customHeight="1">
      <c r="A60" s="39">
        <v>15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16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hidden="1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9">
        <v>18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6">SUM(F65*G65/1000)</f>
        <v>2.3774000000000002</v>
      </c>
      <c r="I65" s="16">
        <f>G65*2</f>
        <v>475.48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6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9"/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6"/>
        <v>30.133587299999999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9"/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6"/>
        <v>2.3466170700000002</v>
      </c>
      <c r="I68" s="16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9"/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v>0</v>
      </c>
    </row>
    <row r="70" spans="1:21" ht="15.75" hidden="1" customHeight="1">
      <c r="A70" s="39"/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6"/>
        <v>0.36696200000000001</v>
      </c>
      <c r="I70" s="16">
        <v>0</v>
      </c>
    </row>
    <row r="71" spans="1:21" ht="15.75" hidden="1" customHeight="1">
      <c r="A71" s="39"/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6"/>
        <v>0.342366</v>
      </c>
      <c r="I71" s="16">
        <v>0</v>
      </c>
    </row>
    <row r="72" spans="1:21" ht="15.75" hidden="1" customHeight="1">
      <c r="A72" s="39"/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6"/>
        <v>0.31992000000000004</v>
      </c>
      <c r="I72" s="16">
        <v>0</v>
      </c>
    </row>
    <row r="73" spans="1:21" ht="15.75" hidden="1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hidden="1" customHeight="1">
      <c r="A74" s="39"/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6"/>
        <v>0.10724600000000001</v>
      </c>
      <c r="I74" s="16">
        <v>0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6"/>
        <v>1.474925</v>
      </c>
      <c r="I78" s="16">
        <v>0</v>
      </c>
    </row>
    <row r="79" spans="1:21" ht="15.75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customHeight="1">
      <c r="A80" s="39">
        <v>17</v>
      </c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f>G80</f>
        <v>7634.7</v>
      </c>
    </row>
    <row r="81" spans="1:9" ht="15" customHeight="1">
      <c r="A81" s="162" t="s">
        <v>172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18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19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I16+I17+I18+I20+I27+I28+I39+I40+I42+I43+I44+I45+I53+I56+I60+I63+I80+I82+I83</f>
        <v>50472.217429333337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15.75" customHeight="1">
      <c r="A86" s="39">
        <v>20</v>
      </c>
      <c r="B86" s="83" t="s">
        <v>150</v>
      </c>
      <c r="C86" s="97" t="s">
        <v>127</v>
      </c>
      <c r="D86" s="18"/>
      <c r="E86" s="23"/>
      <c r="F86" s="16">
        <v>552</v>
      </c>
      <c r="G86" s="16">
        <v>50.68</v>
      </c>
      <c r="H86" s="143">
        <f>G86*F86/1000</f>
        <v>27.975360000000002</v>
      </c>
      <c r="I86" s="16">
        <f>G86*46</f>
        <v>2331.2800000000002</v>
      </c>
    </row>
    <row r="87" spans="1:9" ht="15.75" customHeight="1">
      <c r="A87" s="39">
        <v>21</v>
      </c>
      <c r="B87" s="83" t="s">
        <v>160</v>
      </c>
      <c r="C87" s="97" t="s">
        <v>97</v>
      </c>
      <c r="D87" s="18"/>
      <c r="E87" s="23"/>
      <c r="F87" s="16">
        <v>10</v>
      </c>
      <c r="G87" s="16">
        <v>185.81</v>
      </c>
      <c r="H87" s="143">
        <f>G87*F87/1000</f>
        <v>1.8580999999999999</v>
      </c>
      <c r="I87" s="16">
        <f>G87</f>
        <v>185.81</v>
      </c>
    </row>
    <row r="88" spans="1:9" ht="15.75" customHeight="1">
      <c r="A88" s="39">
        <v>22</v>
      </c>
      <c r="B88" s="18" t="s">
        <v>183</v>
      </c>
      <c r="C88" s="20" t="s">
        <v>184</v>
      </c>
      <c r="D88" s="18"/>
      <c r="E88" s="23"/>
      <c r="F88" s="16">
        <v>6.5</v>
      </c>
      <c r="G88" s="16">
        <v>1501</v>
      </c>
      <c r="H88" s="143">
        <f t="shared" ref="H88:H89" si="7">G88*F88/1000</f>
        <v>9.7565000000000008</v>
      </c>
      <c r="I88" s="16">
        <f>G88*5</f>
        <v>7505</v>
      </c>
    </row>
    <row r="89" spans="1:9" ht="31.5" customHeight="1">
      <c r="A89" s="39">
        <v>23</v>
      </c>
      <c r="B89" s="122" t="s">
        <v>185</v>
      </c>
      <c r="C89" s="39" t="s">
        <v>186</v>
      </c>
      <c r="D89" s="18"/>
      <c r="E89" s="23"/>
      <c r="F89" s="16">
        <v>1</v>
      </c>
      <c r="G89" s="16">
        <v>383.01</v>
      </c>
      <c r="H89" s="143">
        <f t="shared" si="7"/>
        <v>0.38301000000000002</v>
      </c>
      <c r="I89" s="16">
        <f>G89</f>
        <v>383.01</v>
      </c>
    </row>
    <row r="90" spans="1:9" ht="16.5" customHeight="1">
      <c r="A90" s="39"/>
      <c r="B90" s="63" t="s">
        <v>52</v>
      </c>
      <c r="C90" s="59"/>
      <c r="D90" s="73"/>
      <c r="E90" s="59">
        <v>1</v>
      </c>
      <c r="F90" s="59"/>
      <c r="G90" s="59"/>
      <c r="H90" s="59"/>
      <c r="I90" s="41">
        <f>SUM(I86:I89)</f>
        <v>10405.1</v>
      </c>
    </row>
    <row r="91" spans="1:9" ht="15.75" customHeight="1">
      <c r="A91" s="39"/>
      <c r="B91" s="69" t="s">
        <v>85</v>
      </c>
      <c r="C91" s="19"/>
      <c r="D91" s="19"/>
      <c r="E91" s="60"/>
      <c r="F91" s="60"/>
      <c r="G91" s="61"/>
      <c r="H91" s="61"/>
      <c r="I91" s="22">
        <v>0</v>
      </c>
    </row>
    <row r="92" spans="1:9" ht="15.75" customHeight="1">
      <c r="A92" s="74"/>
      <c r="B92" s="64" t="s">
        <v>53</v>
      </c>
      <c r="C92" s="47"/>
      <c r="D92" s="47"/>
      <c r="E92" s="47"/>
      <c r="F92" s="47"/>
      <c r="G92" s="47"/>
      <c r="H92" s="47"/>
      <c r="I92" s="62">
        <f>I84+I90</f>
        <v>60877.317429333336</v>
      </c>
    </row>
    <row r="93" spans="1:9" ht="15.75" customHeight="1">
      <c r="A93" s="165" t="s">
        <v>209</v>
      </c>
      <c r="B93" s="165"/>
      <c r="C93" s="165"/>
      <c r="D93" s="165"/>
      <c r="E93" s="165"/>
      <c r="F93" s="165"/>
      <c r="G93" s="165"/>
      <c r="H93" s="165"/>
      <c r="I93" s="165"/>
    </row>
    <row r="94" spans="1:9" ht="15.75">
      <c r="A94" s="116"/>
      <c r="B94" s="166" t="s">
        <v>210</v>
      </c>
      <c r="C94" s="166"/>
      <c r="D94" s="166"/>
      <c r="E94" s="166"/>
      <c r="F94" s="166"/>
      <c r="G94" s="166"/>
      <c r="H94" s="121"/>
      <c r="I94" s="3"/>
    </row>
    <row r="95" spans="1:9">
      <c r="A95" s="115"/>
      <c r="B95" s="159" t="s">
        <v>6</v>
      </c>
      <c r="C95" s="159"/>
      <c r="D95" s="159"/>
      <c r="E95" s="159"/>
      <c r="F95" s="159"/>
      <c r="G95" s="159"/>
      <c r="H95" s="3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67" t="s">
        <v>7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67" t="s">
        <v>8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>
      <c r="A99" s="156" t="s">
        <v>64</v>
      </c>
      <c r="B99" s="156"/>
      <c r="C99" s="156"/>
      <c r="D99" s="156"/>
      <c r="E99" s="156"/>
      <c r="F99" s="156"/>
      <c r="G99" s="156"/>
      <c r="H99" s="156"/>
      <c r="I99" s="156"/>
    </row>
    <row r="100" spans="1:9" ht="15.75">
      <c r="A100" s="11"/>
    </row>
    <row r="101" spans="1:9" ht="15.75">
      <c r="A101" s="157" t="s">
        <v>9</v>
      </c>
      <c r="B101" s="157"/>
      <c r="C101" s="157"/>
      <c r="D101" s="157"/>
      <c r="E101" s="157"/>
      <c r="F101" s="157"/>
      <c r="G101" s="157"/>
      <c r="H101" s="157"/>
      <c r="I101" s="157"/>
    </row>
    <row r="102" spans="1:9" ht="15.75" customHeight="1">
      <c r="A102" s="4"/>
    </row>
    <row r="103" spans="1:9" ht="15.75">
      <c r="B103" s="112" t="s">
        <v>10</v>
      </c>
      <c r="C103" s="158" t="s">
        <v>173</v>
      </c>
      <c r="D103" s="158"/>
      <c r="E103" s="158"/>
      <c r="F103" s="119"/>
      <c r="I103" s="114"/>
    </row>
    <row r="104" spans="1:9">
      <c r="A104" s="115"/>
      <c r="C104" s="159" t="s">
        <v>11</v>
      </c>
      <c r="D104" s="159"/>
      <c r="E104" s="159"/>
      <c r="F104" s="34"/>
      <c r="I104" s="113" t="s">
        <v>12</v>
      </c>
    </row>
    <row r="105" spans="1:9" ht="15.75" customHeight="1">
      <c r="A105" s="35"/>
      <c r="C105" s="12"/>
      <c r="D105" s="12"/>
      <c r="G105" s="12"/>
      <c r="H105" s="12"/>
    </row>
    <row r="106" spans="1:9" ht="15.75" customHeight="1">
      <c r="B106" s="112" t="s">
        <v>13</v>
      </c>
      <c r="C106" s="160"/>
      <c r="D106" s="160"/>
      <c r="E106" s="160"/>
      <c r="F106" s="120"/>
      <c r="I106" s="114"/>
    </row>
    <row r="107" spans="1:9" ht="15.75" customHeight="1">
      <c r="A107" s="115"/>
      <c r="C107" s="161" t="s">
        <v>11</v>
      </c>
      <c r="D107" s="161"/>
      <c r="E107" s="161"/>
      <c r="F107" s="115"/>
      <c r="I107" s="113" t="s">
        <v>12</v>
      </c>
    </row>
    <row r="108" spans="1:9" ht="15.75">
      <c r="A108" s="4" t="s">
        <v>14</v>
      </c>
    </row>
    <row r="109" spans="1:9">
      <c r="A109" s="154" t="s">
        <v>15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45" customHeight="1">
      <c r="A110" s="155" t="s">
        <v>16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30" customHeight="1">
      <c r="A111" s="155" t="s">
        <v>17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30" customHeight="1">
      <c r="A112" s="155" t="s">
        <v>21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" customHeight="1">
      <c r="A113" s="155" t="s">
        <v>20</v>
      </c>
      <c r="B113" s="155"/>
      <c r="C113" s="155"/>
      <c r="D113" s="155"/>
      <c r="E113" s="155"/>
      <c r="F113" s="155"/>
      <c r="G113" s="155"/>
      <c r="H113" s="155"/>
      <c r="I113" s="155"/>
    </row>
  </sheetData>
  <autoFilter ref="I12:I62"/>
  <mergeCells count="28">
    <mergeCell ref="R67:U67"/>
    <mergeCell ref="A81:I81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7:I47"/>
    <mergeCell ref="A58:I58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211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91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42460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hidden="1" customHeight="1">
      <c r="A19" s="39"/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v>0</v>
      </c>
      <c r="J19" s="32"/>
      <c r="K19" s="8"/>
      <c r="L19" s="8"/>
      <c r="M19" s="8"/>
    </row>
    <row r="20" spans="1:13" ht="15.75" customHeight="1">
      <c r="A20" s="39">
        <v>4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customHeight="1">
      <c r="A21" s="39">
        <v>5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hidden="1" customHeight="1">
      <c r="A22" s="39"/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v>0</v>
      </c>
      <c r="J22" s="32"/>
      <c r="K22" s="8"/>
      <c r="L22" s="8"/>
      <c r="M22" s="8"/>
    </row>
    <row r="23" spans="1:13" ht="15.75" hidden="1" customHeight="1">
      <c r="A23" s="39"/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v>0</v>
      </c>
      <c r="J23" s="32"/>
      <c r="K23" s="8"/>
      <c r="L23" s="8"/>
      <c r="M23" s="8"/>
    </row>
    <row r="24" spans="1:13" ht="15.75" hidden="1" customHeight="1">
      <c r="A24" s="39"/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v>0</v>
      </c>
      <c r="J24" s="32"/>
      <c r="K24" s="8"/>
      <c r="L24" s="8"/>
      <c r="M24" s="8"/>
    </row>
    <row r="25" spans="1:13" ht="15.75" hidden="1" customHeight="1">
      <c r="A25" s="39"/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v>0</v>
      </c>
      <c r="J25" s="32"/>
      <c r="K25" s="8"/>
      <c r="L25" s="8"/>
      <c r="M25" s="8"/>
    </row>
    <row r="26" spans="1:13" ht="15.75" hidden="1" customHeight="1">
      <c r="A26" s="39"/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v>0</v>
      </c>
      <c r="J26" s="32"/>
      <c r="K26" s="8"/>
      <c r="L26" s="8"/>
      <c r="M26" s="8"/>
    </row>
    <row r="27" spans="1:13" ht="15.75" customHeight="1">
      <c r="A27" s="39">
        <v>6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7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hidden="1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hidden="1" customHeight="1">
      <c r="A31" s="39">
        <v>8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1">SUM(F31*G31/1000)</f>
        <v>5.7627569999999997</v>
      </c>
      <c r="I31" s="16">
        <f t="shared" ref="I31:I35" si="2">F31/6*G31</f>
        <v>960.45949999999993</v>
      </c>
      <c r="J31" s="32"/>
      <c r="K31" s="8"/>
      <c r="L31" s="8"/>
      <c r="M31" s="8"/>
    </row>
    <row r="32" spans="1:13" ht="31.5" hidden="1" customHeight="1">
      <c r="A32" s="39">
        <v>9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1"/>
        <v>1.7575833600000001</v>
      </c>
      <c r="I32" s="16">
        <f t="shared" si="2"/>
        <v>292.93056000000007</v>
      </c>
      <c r="J32" s="32"/>
      <c r="K32" s="8"/>
      <c r="L32" s="8"/>
      <c r="M32" s="8"/>
    </row>
    <row r="33" spans="1:14" ht="15.75" hidden="1" customHeight="1">
      <c r="A33" s="39"/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1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hidden="1" customHeight="1">
      <c r="A34" s="39">
        <v>10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2"/>
        <v>1078.6914999999999</v>
      </c>
      <c r="J34" s="32"/>
      <c r="K34" s="8"/>
    </row>
    <row r="35" spans="1:14" ht="15.75" hidden="1" customHeight="1">
      <c r="A35" s="39">
        <v>11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2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1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1"/>
        <v>2.4294600000000002</v>
      </c>
      <c r="I37" s="16">
        <v>0</v>
      </c>
      <c r="J37" s="33"/>
    </row>
    <row r="38" spans="1:14" ht="15.75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customHeight="1">
      <c r="A39" s="39">
        <v>8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3">SUM(F39*G39/1000)</f>
        <v>13.060799999999999</v>
      </c>
      <c r="I39" s="16">
        <f t="shared" ref="I39:I45" si="4">F39/6*G39</f>
        <v>2176.7999999999997</v>
      </c>
      <c r="J39" s="33"/>
      <c r="L39" s="25"/>
      <c r="M39" s="26"/>
      <c r="N39" s="27"/>
    </row>
    <row r="40" spans="1:14" ht="15.75" customHeight="1">
      <c r="A40" s="39">
        <v>9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4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customHeight="1">
      <c r="A42" s="39">
        <v>10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3"/>
        <v>8.9156542499999993</v>
      </c>
      <c r="I42" s="16">
        <f t="shared" si="4"/>
        <v>1485.9423750000001</v>
      </c>
      <c r="J42" s="33"/>
      <c r="L42" s="25"/>
      <c r="M42" s="26"/>
      <c r="N42" s="27"/>
    </row>
    <row r="43" spans="1:14" ht="47.25" customHeight="1">
      <c r="A43" s="39">
        <v>11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3"/>
        <v>17.69605425</v>
      </c>
      <c r="I43" s="16">
        <f t="shared" si="4"/>
        <v>2949.3423749999997</v>
      </c>
      <c r="J43" s="33"/>
      <c r="L43" s="25"/>
      <c r="M43" s="26"/>
      <c r="N43" s="27"/>
    </row>
    <row r="44" spans="1:14" ht="15.75" customHeight="1">
      <c r="A44" s="39">
        <v>12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3"/>
        <v>1.6807418999999999</v>
      </c>
      <c r="I44" s="16">
        <f t="shared" si="4"/>
        <v>280.12364999999994</v>
      </c>
      <c r="J44" s="33"/>
      <c r="L44" s="25"/>
      <c r="M44" s="26"/>
      <c r="N44" s="27"/>
    </row>
    <row r="45" spans="1:14" ht="15.75" customHeight="1">
      <c r="A45" s="39">
        <v>13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3"/>
        <v>0.76775400000000005</v>
      </c>
      <c r="I45" s="16">
        <f t="shared" si="4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hidden="1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hidden="1" customHeight="1">
      <c r="A48" s="39"/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5">SUM(F48*G48/1000)</f>
        <v>1.8697176000000002</v>
      </c>
      <c r="I48" s="16">
        <v>0</v>
      </c>
      <c r="J48" s="33"/>
      <c r="L48" s="25"/>
      <c r="M48" s="26"/>
      <c r="N48" s="27"/>
    </row>
    <row r="49" spans="1:22" ht="15.75" hidden="1" customHeight="1">
      <c r="A49" s="39"/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5"/>
        <v>4.8317880000000001E-2</v>
      </c>
      <c r="I49" s="16">
        <v>0</v>
      </c>
      <c r="J49" s="33"/>
      <c r="L49" s="25"/>
      <c r="M49" s="26"/>
      <c r="N49" s="27"/>
    </row>
    <row r="50" spans="1:22" ht="15.75" hidden="1" customHeight="1">
      <c r="A50" s="39"/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5"/>
        <v>1.2847600399999999</v>
      </c>
      <c r="I50" s="16">
        <v>0</v>
      </c>
      <c r="J50" s="33"/>
      <c r="L50" s="25"/>
      <c r="M50" s="26"/>
      <c r="N50" s="27"/>
    </row>
    <row r="51" spans="1:22" ht="15.75" hidden="1" customHeight="1">
      <c r="A51" s="39"/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5"/>
        <v>2.95001472</v>
      </c>
      <c r="I51" s="16">
        <v>0</v>
      </c>
      <c r="J51" s="33"/>
      <c r="L51" s="25"/>
      <c r="M51" s="26"/>
      <c r="N51" s="27"/>
    </row>
    <row r="52" spans="1:22" ht="15.75" hidden="1" customHeight="1">
      <c r="A52" s="39"/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v>0</v>
      </c>
      <c r="J52" s="33"/>
      <c r="L52" s="25"/>
      <c r="M52" s="26"/>
      <c r="N52" s="27"/>
    </row>
    <row r="53" spans="1:22" ht="15.75" hidden="1" customHeight="1">
      <c r="A53" s="39">
        <v>14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hidden="1" customHeight="1">
      <c r="A54" s="39"/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v>0</v>
      </c>
      <c r="J54" s="33"/>
      <c r="L54" s="25"/>
      <c r="M54" s="26"/>
      <c r="N54" s="27"/>
    </row>
    <row r="55" spans="1:22" ht="31.5" hidden="1" customHeight="1">
      <c r="A55" s="39"/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v>0</v>
      </c>
      <c r="J55" s="33"/>
      <c r="L55" s="25"/>
      <c r="M55" s="26"/>
      <c r="N55" s="27"/>
    </row>
    <row r="56" spans="1:22" ht="15.75" hidden="1" customHeight="1">
      <c r="A56" s="39"/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5"/>
        <v>0.1208424</v>
      </c>
      <c r="I56" s="16">
        <v>0</v>
      </c>
      <c r="J56" s="33"/>
      <c r="L56" s="25"/>
      <c r="M56" s="26"/>
      <c r="N56" s="27"/>
    </row>
    <row r="57" spans="1:22" ht="15.75" hidden="1" customHeight="1">
      <c r="A57" s="39">
        <v>15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175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customHeight="1">
      <c r="A60" s="39">
        <v>14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15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hidden="1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9">
        <v>18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6">SUM(F65*G65/1000)</f>
        <v>2.3774000000000002</v>
      </c>
      <c r="I65" s="16">
        <f>G65*2</f>
        <v>475.48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6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9"/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6"/>
        <v>30.133587299999999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9"/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6"/>
        <v>2.3466170700000002</v>
      </c>
      <c r="I68" s="16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9"/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v>0</v>
      </c>
    </row>
    <row r="70" spans="1:21" ht="15.75" hidden="1" customHeight="1">
      <c r="A70" s="39"/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6"/>
        <v>0.36696200000000001</v>
      </c>
      <c r="I70" s="16">
        <v>0</v>
      </c>
    </row>
    <row r="71" spans="1:21" ht="15.75" hidden="1" customHeight="1">
      <c r="A71" s="39"/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6"/>
        <v>0.342366</v>
      </c>
      <c r="I71" s="16">
        <v>0</v>
      </c>
    </row>
    <row r="72" spans="1:21" ht="15.75" hidden="1" customHeight="1">
      <c r="A72" s="39"/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6"/>
        <v>0.31992000000000004</v>
      </c>
      <c r="I72" s="16">
        <v>0</v>
      </c>
    </row>
    <row r="73" spans="1:21" ht="15.75" hidden="1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hidden="1" customHeight="1">
      <c r="A74" s="39"/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6"/>
        <v>0.10724600000000001</v>
      </c>
      <c r="I74" s="16">
        <v>0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6"/>
        <v>1.474925</v>
      </c>
      <c r="I78" s="16">
        <v>0</v>
      </c>
    </row>
    <row r="79" spans="1:21" ht="15.75" hidden="1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hidden="1" customHeight="1">
      <c r="A80" s="39"/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v>0</v>
      </c>
    </row>
    <row r="81" spans="1:9" ht="15" customHeight="1">
      <c r="A81" s="162" t="s">
        <v>174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16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17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I16+I17+I18+I20+I21+I27+I28+I39+I40+I42+I43+I44+I45+I60+I63+I82+I83</f>
        <v>40541.634199333334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15.75" customHeight="1">
      <c r="A86" s="39">
        <v>18</v>
      </c>
      <c r="B86" s="83" t="s">
        <v>150</v>
      </c>
      <c r="C86" s="97" t="s">
        <v>127</v>
      </c>
      <c r="D86" s="18"/>
      <c r="E86" s="23"/>
      <c r="F86" s="16">
        <v>552</v>
      </c>
      <c r="G86" s="16">
        <v>50.68</v>
      </c>
      <c r="H86" s="143">
        <f>G86*F86/1000</f>
        <v>27.975360000000002</v>
      </c>
      <c r="I86" s="16">
        <f>G86*46</f>
        <v>2331.2800000000002</v>
      </c>
    </row>
    <row r="87" spans="1:9" ht="15.75" customHeight="1">
      <c r="A87" s="39">
        <v>19</v>
      </c>
      <c r="B87" s="18" t="s">
        <v>183</v>
      </c>
      <c r="C87" s="20" t="s">
        <v>184</v>
      </c>
      <c r="D87" s="18"/>
      <c r="E87" s="23"/>
      <c r="F87" s="16">
        <v>6.5</v>
      </c>
      <c r="G87" s="16">
        <v>1501</v>
      </c>
      <c r="H87" s="143">
        <f t="shared" ref="H87:H89" si="7">G87*F87/1000</f>
        <v>9.7565000000000008</v>
      </c>
      <c r="I87" s="16">
        <f>G87*1.5</f>
        <v>2251.5</v>
      </c>
    </row>
    <row r="88" spans="1:9" ht="15.75" customHeight="1">
      <c r="A88" s="39">
        <v>20</v>
      </c>
      <c r="B88" s="83" t="s">
        <v>187</v>
      </c>
      <c r="C88" s="97" t="s">
        <v>182</v>
      </c>
      <c r="D88" s="18"/>
      <c r="E88" s="23"/>
      <c r="F88" s="16">
        <v>3</v>
      </c>
      <c r="G88" s="16">
        <v>251.02</v>
      </c>
      <c r="H88" s="143">
        <f t="shared" si="7"/>
        <v>0.75306000000000006</v>
      </c>
      <c r="I88" s="16">
        <f>G88*3</f>
        <v>753.06000000000006</v>
      </c>
    </row>
    <row r="89" spans="1:9" ht="31.5" customHeight="1">
      <c r="A89" s="39">
        <v>21</v>
      </c>
      <c r="B89" s="83" t="s">
        <v>188</v>
      </c>
      <c r="C89" s="97" t="s">
        <v>189</v>
      </c>
      <c r="D89" s="18"/>
      <c r="E89" s="23"/>
      <c r="F89" s="16">
        <v>3</v>
      </c>
      <c r="G89" s="16">
        <v>559.62</v>
      </c>
      <c r="H89" s="143">
        <f t="shared" si="7"/>
        <v>1.67886</v>
      </c>
      <c r="I89" s="16">
        <f>G89*2</f>
        <v>1119.24</v>
      </c>
    </row>
    <row r="90" spans="1:9" ht="16.5" customHeight="1">
      <c r="A90" s="39"/>
      <c r="B90" s="63" t="s">
        <v>52</v>
      </c>
      <c r="C90" s="59"/>
      <c r="D90" s="73"/>
      <c r="E90" s="59">
        <v>1</v>
      </c>
      <c r="F90" s="59"/>
      <c r="G90" s="59"/>
      <c r="H90" s="59"/>
      <c r="I90" s="41">
        <f>SUM(I86:I89)</f>
        <v>6455.0800000000008</v>
      </c>
    </row>
    <row r="91" spans="1:9" ht="15.75" customHeight="1">
      <c r="A91" s="39"/>
      <c r="B91" s="69" t="s">
        <v>85</v>
      </c>
      <c r="C91" s="19"/>
      <c r="D91" s="19"/>
      <c r="E91" s="60"/>
      <c r="F91" s="60"/>
      <c r="G91" s="61"/>
      <c r="H91" s="61"/>
      <c r="I91" s="22">
        <v>0</v>
      </c>
    </row>
    <row r="92" spans="1:9" ht="15.75" customHeight="1">
      <c r="A92" s="74"/>
      <c r="B92" s="64" t="s">
        <v>53</v>
      </c>
      <c r="C92" s="47"/>
      <c r="D92" s="47"/>
      <c r="E92" s="47"/>
      <c r="F92" s="47"/>
      <c r="G92" s="47"/>
      <c r="H92" s="47"/>
      <c r="I92" s="62">
        <f>I84+I90</f>
        <v>46996.714199333335</v>
      </c>
    </row>
    <row r="93" spans="1:9" ht="15.75" customHeight="1">
      <c r="A93" s="165" t="s">
        <v>212</v>
      </c>
      <c r="B93" s="165"/>
      <c r="C93" s="165"/>
      <c r="D93" s="165"/>
      <c r="E93" s="165"/>
      <c r="F93" s="165"/>
      <c r="G93" s="165"/>
      <c r="H93" s="165"/>
      <c r="I93" s="165"/>
    </row>
    <row r="94" spans="1:9" ht="15.75">
      <c r="A94" s="116"/>
      <c r="B94" s="166" t="s">
        <v>213</v>
      </c>
      <c r="C94" s="166"/>
      <c r="D94" s="166"/>
      <c r="E94" s="166"/>
      <c r="F94" s="166"/>
      <c r="G94" s="166"/>
      <c r="H94" s="121"/>
      <c r="I94" s="3"/>
    </row>
    <row r="95" spans="1:9">
      <c r="A95" s="115"/>
      <c r="B95" s="159" t="s">
        <v>6</v>
      </c>
      <c r="C95" s="159"/>
      <c r="D95" s="159"/>
      <c r="E95" s="159"/>
      <c r="F95" s="159"/>
      <c r="G95" s="159"/>
      <c r="H95" s="3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67" t="s">
        <v>7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67" t="s">
        <v>8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>
      <c r="A99" s="156" t="s">
        <v>64</v>
      </c>
      <c r="B99" s="156"/>
      <c r="C99" s="156"/>
      <c r="D99" s="156"/>
      <c r="E99" s="156"/>
      <c r="F99" s="156"/>
      <c r="G99" s="156"/>
      <c r="H99" s="156"/>
      <c r="I99" s="156"/>
    </row>
    <row r="100" spans="1:9" ht="15.75">
      <c r="A100" s="11"/>
    </row>
    <row r="101" spans="1:9" ht="15.75">
      <c r="A101" s="157" t="s">
        <v>9</v>
      </c>
      <c r="B101" s="157"/>
      <c r="C101" s="157"/>
      <c r="D101" s="157"/>
      <c r="E101" s="157"/>
      <c r="F101" s="157"/>
      <c r="G101" s="157"/>
      <c r="H101" s="157"/>
      <c r="I101" s="157"/>
    </row>
    <row r="102" spans="1:9" ht="15.75" customHeight="1">
      <c r="A102" s="4"/>
    </row>
    <row r="103" spans="1:9" ht="15.75">
      <c r="B103" s="112" t="s">
        <v>10</v>
      </c>
      <c r="C103" s="158" t="s">
        <v>173</v>
      </c>
      <c r="D103" s="158"/>
      <c r="E103" s="158"/>
      <c r="F103" s="119"/>
      <c r="I103" s="114"/>
    </row>
    <row r="104" spans="1:9">
      <c r="A104" s="115"/>
      <c r="C104" s="159" t="s">
        <v>11</v>
      </c>
      <c r="D104" s="159"/>
      <c r="E104" s="159"/>
      <c r="F104" s="34"/>
      <c r="I104" s="113" t="s">
        <v>12</v>
      </c>
    </row>
    <row r="105" spans="1:9" ht="15.75" customHeight="1">
      <c r="A105" s="35"/>
      <c r="C105" s="12"/>
      <c r="D105" s="12"/>
      <c r="G105" s="12"/>
      <c r="H105" s="12"/>
    </row>
    <row r="106" spans="1:9" ht="15.75" customHeight="1">
      <c r="B106" s="112" t="s">
        <v>13</v>
      </c>
      <c r="C106" s="160"/>
      <c r="D106" s="160"/>
      <c r="E106" s="160"/>
      <c r="F106" s="120"/>
      <c r="I106" s="114"/>
    </row>
    <row r="107" spans="1:9" ht="15.75" customHeight="1">
      <c r="A107" s="115"/>
      <c r="C107" s="161" t="s">
        <v>11</v>
      </c>
      <c r="D107" s="161"/>
      <c r="E107" s="161"/>
      <c r="F107" s="115"/>
      <c r="I107" s="113" t="s">
        <v>12</v>
      </c>
    </row>
    <row r="108" spans="1:9" ht="15.75">
      <c r="A108" s="4" t="s">
        <v>14</v>
      </c>
    </row>
    <row r="109" spans="1:9">
      <c r="A109" s="154" t="s">
        <v>15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45" customHeight="1">
      <c r="A110" s="155" t="s">
        <v>16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30" customHeight="1">
      <c r="A111" s="155" t="s">
        <v>17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30" customHeight="1">
      <c r="A112" s="155" t="s">
        <v>21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" customHeight="1">
      <c r="A113" s="155" t="s">
        <v>20</v>
      </c>
      <c r="B113" s="155"/>
      <c r="C113" s="155"/>
      <c r="D113" s="155"/>
      <c r="E113" s="155"/>
      <c r="F113" s="155"/>
      <c r="G113" s="155"/>
      <c r="H113" s="155"/>
      <c r="I113" s="155"/>
    </row>
  </sheetData>
  <autoFilter ref="I12:I62"/>
  <mergeCells count="28">
    <mergeCell ref="R67:U67"/>
    <mergeCell ref="A81:I81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7:I47"/>
    <mergeCell ref="A58:I58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214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92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42490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hidden="1" customHeight="1">
      <c r="A19" s="39"/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v>0</v>
      </c>
      <c r="J19" s="32"/>
      <c r="K19" s="8"/>
      <c r="L19" s="8"/>
      <c r="M19" s="8"/>
    </row>
    <row r="20" spans="1:13" ht="15.75" customHeight="1">
      <c r="A20" s="39">
        <v>4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hidden="1" customHeight="1">
      <c r="A21" s="39">
        <v>5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hidden="1" customHeight="1">
      <c r="A22" s="39"/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v>0</v>
      </c>
      <c r="J22" s="32"/>
      <c r="K22" s="8"/>
      <c r="L22" s="8"/>
      <c r="M22" s="8"/>
    </row>
    <row r="23" spans="1:13" ht="15.75" hidden="1" customHeight="1">
      <c r="A23" s="39"/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v>0</v>
      </c>
      <c r="J23" s="32"/>
      <c r="K23" s="8"/>
      <c r="L23" s="8"/>
      <c r="M23" s="8"/>
    </row>
    <row r="24" spans="1:13" ht="15.75" hidden="1" customHeight="1">
      <c r="A24" s="39"/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v>0</v>
      </c>
      <c r="J24" s="32"/>
      <c r="K24" s="8"/>
      <c r="L24" s="8"/>
      <c r="M24" s="8"/>
    </row>
    <row r="25" spans="1:13" ht="15.75" hidden="1" customHeight="1">
      <c r="A25" s="39"/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v>0</v>
      </c>
      <c r="J25" s="32"/>
      <c r="K25" s="8"/>
      <c r="L25" s="8"/>
      <c r="M25" s="8"/>
    </row>
    <row r="26" spans="1:13" ht="15.75" hidden="1" customHeight="1">
      <c r="A26" s="39"/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v>0</v>
      </c>
      <c r="J26" s="32"/>
      <c r="K26" s="8"/>
      <c r="L26" s="8"/>
      <c r="M26" s="8"/>
    </row>
    <row r="27" spans="1:13" ht="15.75" customHeight="1">
      <c r="A27" s="39">
        <v>5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6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hidden="1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hidden="1" customHeight="1">
      <c r="A31" s="39">
        <v>8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1">SUM(F31*G31/1000)</f>
        <v>5.7627569999999997</v>
      </c>
      <c r="I31" s="16">
        <f t="shared" ref="I31:I35" si="2">F31/6*G31</f>
        <v>960.45949999999993</v>
      </c>
      <c r="J31" s="32"/>
      <c r="K31" s="8"/>
      <c r="L31" s="8"/>
      <c r="M31" s="8"/>
    </row>
    <row r="32" spans="1:13" ht="31.5" hidden="1" customHeight="1">
      <c r="A32" s="39">
        <v>9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1"/>
        <v>1.7575833600000001</v>
      </c>
      <c r="I32" s="16">
        <f t="shared" si="2"/>
        <v>292.93056000000007</v>
      </c>
      <c r="J32" s="32"/>
      <c r="K32" s="8"/>
      <c r="L32" s="8"/>
      <c r="M32" s="8"/>
    </row>
    <row r="33" spans="1:14" ht="15.75" hidden="1" customHeight="1">
      <c r="A33" s="39"/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1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hidden="1" customHeight="1">
      <c r="A34" s="39">
        <v>10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2"/>
        <v>1078.6914999999999</v>
      </c>
      <c r="J34" s="32"/>
      <c r="K34" s="8"/>
    </row>
    <row r="35" spans="1:14" ht="15.75" hidden="1" customHeight="1">
      <c r="A35" s="39">
        <v>11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2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1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1"/>
        <v>2.4294600000000002</v>
      </c>
      <c r="I37" s="16">
        <v>0</v>
      </c>
      <c r="J37" s="33"/>
    </row>
    <row r="38" spans="1:14" ht="15.75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customHeight="1">
      <c r="A39" s="39">
        <v>7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3">SUM(F39*G39/1000)</f>
        <v>13.060799999999999</v>
      </c>
      <c r="I39" s="16">
        <f t="shared" ref="I39:I45" si="4">F39/6*G39</f>
        <v>2176.7999999999997</v>
      </c>
      <c r="J39" s="33"/>
      <c r="L39" s="25"/>
      <c r="M39" s="26"/>
      <c r="N39" s="27"/>
    </row>
    <row r="40" spans="1:14" ht="15.75" customHeight="1">
      <c r="A40" s="39">
        <v>8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4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customHeight="1">
      <c r="A42" s="39">
        <v>9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3"/>
        <v>8.9156542499999993</v>
      </c>
      <c r="I42" s="16">
        <f t="shared" si="4"/>
        <v>1485.9423750000001</v>
      </c>
      <c r="J42" s="33"/>
      <c r="L42" s="25"/>
      <c r="M42" s="26"/>
      <c r="N42" s="27"/>
    </row>
    <row r="43" spans="1:14" ht="47.25" customHeight="1">
      <c r="A43" s="39">
        <v>10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3"/>
        <v>17.69605425</v>
      </c>
      <c r="I43" s="16">
        <f t="shared" si="4"/>
        <v>2949.3423749999997</v>
      </c>
      <c r="J43" s="33"/>
      <c r="L43" s="25"/>
      <c r="M43" s="26"/>
      <c r="N43" s="27"/>
    </row>
    <row r="44" spans="1:14" ht="15.75" customHeight="1">
      <c r="A44" s="39">
        <v>11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3"/>
        <v>1.6807418999999999</v>
      </c>
      <c r="I44" s="16">
        <f t="shared" si="4"/>
        <v>280.12364999999994</v>
      </c>
      <c r="J44" s="33"/>
      <c r="L44" s="25"/>
      <c r="M44" s="26"/>
      <c r="N44" s="27"/>
    </row>
    <row r="45" spans="1:14" ht="15.75" customHeight="1">
      <c r="A45" s="39">
        <v>12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3"/>
        <v>0.76775400000000005</v>
      </c>
      <c r="I45" s="16">
        <f t="shared" si="4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hidden="1" customHeight="1">
      <c r="A48" s="39"/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5">SUM(F48*G48/1000)</f>
        <v>1.8697176000000002</v>
      </c>
      <c r="I48" s="16">
        <v>0</v>
      </c>
      <c r="J48" s="33"/>
      <c r="L48" s="25"/>
      <c r="M48" s="26"/>
      <c r="N48" s="27"/>
    </row>
    <row r="49" spans="1:22" ht="15.75" hidden="1" customHeight="1">
      <c r="A49" s="39"/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5"/>
        <v>4.8317880000000001E-2</v>
      </c>
      <c r="I49" s="16">
        <v>0</v>
      </c>
      <c r="J49" s="33"/>
      <c r="L49" s="25"/>
      <c r="M49" s="26"/>
      <c r="N49" s="27"/>
    </row>
    <row r="50" spans="1:22" ht="15.75" hidden="1" customHeight="1">
      <c r="A50" s="39"/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5"/>
        <v>1.2847600399999999</v>
      </c>
      <c r="I50" s="16">
        <v>0</v>
      </c>
      <c r="J50" s="33"/>
      <c r="L50" s="25"/>
      <c r="M50" s="26"/>
      <c r="N50" s="27"/>
    </row>
    <row r="51" spans="1:22" ht="15.75" hidden="1" customHeight="1">
      <c r="A51" s="39"/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5"/>
        <v>2.95001472</v>
      </c>
      <c r="I51" s="16">
        <v>0</v>
      </c>
      <c r="J51" s="33"/>
      <c r="L51" s="25"/>
      <c r="M51" s="26"/>
      <c r="N51" s="27"/>
    </row>
    <row r="52" spans="1:22" ht="15.75" hidden="1" customHeight="1">
      <c r="A52" s="39"/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v>0</v>
      </c>
      <c r="J52" s="33"/>
      <c r="L52" s="25"/>
      <c r="M52" s="26"/>
      <c r="N52" s="27"/>
    </row>
    <row r="53" spans="1:22" ht="15.75" hidden="1" customHeight="1">
      <c r="A53" s="39">
        <v>14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customHeight="1">
      <c r="A54" s="39">
        <v>13</v>
      </c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f>F54/2*G54</f>
        <v>2241.6998399999998</v>
      </c>
      <c r="J54" s="33"/>
      <c r="L54" s="25"/>
      <c r="M54" s="26"/>
      <c r="N54" s="27"/>
    </row>
    <row r="55" spans="1:22" ht="31.5" customHeight="1">
      <c r="A55" s="39">
        <v>14</v>
      </c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f>F55/2*G55</f>
        <v>437.83349999999996</v>
      </c>
      <c r="J55" s="33"/>
      <c r="L55" s="25"/>
      <c r="M55" s="26"/>
      <c r="N55" s="27"/>
    </row>
    <row r="56" spans="1:22" ht="15.75" hidden="1" customHeight="1">
      <c r="A56" s="39"/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5"/>
        <v>0.1208424</v>
      </c>
      <c r="I56" s="16">
        <v>0</v>
      </c>
      <c r="J56" s="33"/>
      <c r="L56" s="25"/>
      <c r="M56" s="26"/>
      <c r="N56" s="27"/>
    </row>
    <row r="57" spans="1:22" ht="15.75" customHeight="1">
      <c r="A57" s="39">
        <v>15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171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customHeight="1">
      <c r="A60" s="39">
        <v>16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17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hidden="1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9">
        <v>18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6">SUM(F65*G65/1000)</f>
        <v>2.3774000000000002</v>
      </c>
      <c r="I65" s="16">
        <f>G65*2</f>
        <v>475.48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6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9"/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6"/>
        <v>30.133587299999999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9"/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6"/>
        <v>2.3466170700000002</v>
      </c>
      <c r="I68" s="16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9"/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v>0</v>
      </c>
    </row>
    <row r="70" spans="1:21" ht="15.75" hidden="1" customHeight="1">
      <c r="A70" s="39"/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6"/>
        <v>0.36696200000000001</v>
      </c>
      <c r="I70" s="16">
        <v>0</v>
      </c>
    </row>
    <row r="71" spans="1:21" ht="15.75" hidden="1" customHeight="1">
      <c r="A71" s="39"/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6"/>
        <v>0.342366</v>
      </c>
      <c r="I71" s="16">
        <v>0</v>
      </c>
    </row>
    <row r="72" spans="1:21" ht="15.75" hidden="1" customHeight="1">
      <c r="A72" s="39"/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6"/>
        <v>0.31992000000000004</v>
      </c>
      <c r="I72" s="16">
        <v>0</v>
      </c>
    </row>
    <row r="73" spans="1:21" ht="15.75" hidden="1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hidden="1" customHeight="1">
      <c r="A74" s="39"/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6"/>
        <v>0.10724600000000001</v>
      </c>
      <c r="I74" s="16">
        <v>0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6"/>
        <v>1.474925</v>
      </c>
      <c r="I78" s="16">
        <v>0</v>
      </c>
    </row>
    <row r="79" spans="1:21" ht="15.75" hidden="1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hidden="1" customHeight="1">
      <c r="A80" s="39"/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v>0</v>
      </c>
    </row>
    <row r="81" spans="1:9" ht="15" customHeight="1">
      <c r="A81" s="162" t="s">
        <v>172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18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19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I16+I17+I18+I20+I27+I28+I39+I40+I42+I43+I44+I45+I54+I55+I57+I60+I63+I82+I83</f>
        <v>49533.829729333338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15.75" customHeight="1">
      <c r="A86" s="39">
        <v>20</v>
      </c>
      <c r="B86" s="83" t="s">
        <v>150</v>
      </c>
      <c r="C86" s="97" t="s">
        <v>127</v>
      </c>
      <c r="D86" s="18"/>
      <c r="E86" s="23"/>
      <c r="F86" s="16">
        <v>552</v>
      </c>
      <c r="G86" s="16">
        <v>50.68</v>
      </c>
      <c r="H86" s="143">
        <f>G86*F86/1000</f>
        <v>27.975360000000002</v>
      </c>
      <c r="I86" s="16">
        <f>G86*46</f>
        <v>2331.2800000000002</v>
      </c>
    </row>
    <row r="87" spans="1:9" ht="15.75" customHeight="1">
      <c r="A87" s="39">
        <v>21</v>
      </c>
      <c r="B87" s="83" t="s">
        <v>160</v>
      </c>
      <c r="C87" s="97" t="s">
        <v>97</v>
      </c>
      <c r="D87" s="18"/>
      <c r="E87" s="23"/>
      <c r="F87" s="16">
        <v>10</v>
      </c>
      <c r="G87" s="16">
        <v>185.81</v>
      </c>
      <c r="H87" s="143">
        <f>G87*F87/1000</f>
        <v>1.8580999999999999</v>
      </c>
      <c r="I87" s="16">
        <f>G87</f>
        <v>185.81</v>
      </c>
    </row>
    <row r="88" spans="1:9" ht="31.5" customHeight="1">
      <c r="A88" s="39">
        <v>22</v>
      </c>
      <c r="B88" s="83" t="s">
        <v>190</v>
      </c>
      <c r="C88" s="97" t="s">
        <v>182</v>
      </c>
      <c r="D88" s="18"/>
      <c r="E88" s="23"/>
      <c r="F88" s="16">
        <v>1</v>
      </c>
      <c r="G88" s="16">
        <v>762.37</v>
      </c>
      <c r="H88" s="143">
        <f t="shared" ref="H88:H89" si="7">G88*F88/1000</f>
        <v>0.76236999999999999</v>
      </c>
      <c r="I88" s="16">
        <f>G88</f>
        <v>762.37</v>
      </c>
    </row>
    <row r="89" spans="1:9" ht="15.75" customHeight="1">
      <c r="A89" s="39">
        <v>23</v>
      </c>
      <c r="B89" s="83" t="s">
        <v>191</v>
      </c>
      <c r="C89" s="97" t="s">
        <v>56</v>
      </c>
      <c r="D89" s="18"/>
      <c r="E89" s="23"/>
      <c r="F89" s="16">
        <f>6/10</f>
        <v>0.6</v>
      </c>
      <c r="G89" s="16">
        <v>297.85000000000002</v>
      </c>
      <c r="H89" s="143">
        <f t="shared" si="7"/>
        <v>0.17871000000000001</v>
      </c>
      <c r="I89" s="16">
        <f>G89*0.6</f>
        <v>178.71</v>
      </c>
    </row>
    <row r="90" spans="1:9" ht="16.5" customHeight="1">
      <c r="A90" s="39"/>
      <c r="B90" s="63" t="s">
        <v>52</v>
      </c>
      <c r="C90" s="59"/>
      <c r="D90" s="73"/>
      <c r="E90" s="59">
        <v>1</v>
      </c>
      <c r="F90" s="59"/>
      <c r="G90" s="59"/>
      <c r="H90" s="59"/>
      <c r="I90" s="41">
        <f>SUM(I86:I89)</f>
        <v>3458.17</v>
      </c>
    </row>
    <row r="91" spans="1:9" ht="15.75" customHeight="1">
      <c r="A91" s="39"/>
      <c r="B91" s="69" t="s">
        <v>85</v>
      </c>
      <c r="C91" s="19"/>
      <c r="D91" s="19"/>
      <c r="E91" s="60"/>
      <c r="F91" s="60"/>
      <c r="G91" s="61"/>
      <c r="H91" s="61"/>
      <c r="I91" s="22">
        <v>0</v>
      </c>
    </row>
    <row r="92" spans="1:9" ht="15.75" customHeight="1">
      <c r="A92" s="74"/>
      <c r="B92" s="64" t="s">
        <v>53</v>
      </c>
      <c r="C92" s="47"/>
      <c r="D92" s="47"/>
      <c r="E92" s="47"/>
      <c r="F92" s="47"/>
      <c r="G92" s="47"/>
      <c r="H92" s="47"/>
      <c r="I92" s="62">
        <f>I84+I90</f>
        <v>52991.999729333336</v>
      </c>
    </row>
    <row r="93" spans="1:9" ht="15.75" customHeight="1">
      <c r="A93" s="165" t="s">
        <v>215</v>
      </c>
      <c r="B93" s="165"/>
      <c r="C93" s="165"/>
      <c r="D93" s="165"/>
      <c r="E93" s="165"/>
      <c r="F93" s="165"/>
      <c r="G93" s="165"/>
      <c r="H93" s="165"/>
      <c r="I93" s="165"/>
    </row>
    <row r="94" spans="1:9" ht="15.75">
      <c r="A94" s="116"/>
      <c r="B94" s="166" t="s">
        <v>216</v>
      </c>
      <c r="C94" s="166"/>
      <c r="D94" s="166"/>
      <c r="E94" s="166"/>
      <c r="F94" s="166"/>
      <c r="G94" s="166"/>
      <c r="H94" s="121"/>
      <c r="I94" s="3"/>
    </row>
    <row r="95" spans="1:9">
      <c r="A95" s="115"/>
      <c r="B95" s="159" t="s">
        <v>6</v>
      </c>
      <c r="C95" s="159"/>
      <c r="D95" s="159"/>
      <c r="E95" s="159"/>
      <c r="F95" s="159"/>
      <c r="G95" s="159"/>
      <c r="H95" s="3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67" t="s">
        <v>7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67" t="s">
        <v>8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>
      <c r="A99" s="156" t="s">
        <v>64</v>
      </c>
      <c r="B99" s="156"/>
      <c r="C99" s="156"/>
      <c r="D99" s="156"/>
      <c r="E99" s="156"/>
      <c r="F99" s="156"/>
      <c r="G99" s="156"/>
      <c r="H99" s="156"/>
      <c r="I99" s="156"/>
    </row>
    <row r="100" spans="1:9" ht="15.75">
      <c r="A100" s="11"/>
    </row>
    <row r="101" spans="1:9" ht="15.75">
      <c r="A101" s="157" t="s">
        <v>9</v>
      </c>
      <c r="B101" s="157"/>
      <c r="C101" s="157"/>
      <c r="D101" s="157"/>
      <c r="E101" s="157"/>
      <c r="F101" s="157"/>
      <c r="G101" s="157"/>
      <c r="H101" s="157"/>
      <c r="I101" s="157"/>
    </row>
    <row r="102" spans="1:9" ht="15.75" customHeight="1">
      <c r="A102" s="4"/>
    </row>
    <row r="103" spans="1:9" ht="15.75">
      <c r="B103" s="112" t="s">
        <v>10</v>
      </c>
      <c r="C103" s="158" t="s">
        <v>173</v>
      </c>
      <c r="D103" s="158"/>
      <c r="E103" s="158"/>
      <c r="F103" s="119"/>
      <c r="I103" s="114"/>
    </row>
    <row r="104" spans="1:9">
      <c r="A104" s="115"/>
      <c r="C104" s="159" t="s">
        <v>11</v>
      </c>
      <c r="D104" s="159"/>
      <c r="E104" s="159"/>
      <c r="F104" s="34"/>
      <c r="I104" s="113" t="s">
        <v>12</v>
      </c>
    </row>
    <row r="105" spans="1:9" ht="15.75" customHeight="1">
      <c r="A105" s="35"/>
      <c r="C105" s="12"/>
      <c r="D105" s="12"/>
      <c r="G105" s="12"/>
      <c r="H105" s="12"/>
    </row>
    <row r="106" spans="1:9" ht="15.75" customHeight="1">
      <c r="B106" s="112" t="s">
        <v>13</v>
      </c>
      <c r="C106" s="160"/>
      <c r="D106" s="160"/>
      <c r="E106" s="160"/>
      <c r="F106" s="120"/>
      <c r="I106" s="114"/>
    </row>
    <row r="107" spans="1:9" ht="15.75" customHeight="1">
      <c r="A107" s="115"/>
      <c r="C107" s="161" t="s">
        <v>11</v>
      </c>
      <c r="D107" s="161"/>
      <c r="E107" s="161"/>
      <c r="F107" s="115"/>
      <c r="I107" s="113" t="s">
        <v>12</v>
      </c>
    </row>
    <row r="108" spans="1:9" ht="15.75">
      <c r="A108" s="4" t="s">
        <v>14</v>
      </c>
    </row>
    <row r="109" spans="1:9">
      <c r="A109" s="154" t="s">
        <v>15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45" customHeight="1">
      <c r="A110" s="155" t="s">
        <v>16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30" customHeight="1">
      <c r="A111" s="155" t="s">
        <v>17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30" customHeight="1">
      <c r="A112" s="155" t="s">
        <v>21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" customHeight="1">
      <c r="A113" s="155" t="s">
        <v>20</v>
      </c>
      <c r="B113" s="155"/>
      <c r="C113" s="155"/>
      <c r="D113" s="155"/>
      <c r="E113" s="155"/>
      <c r="F113" s="155"/>
      <c r="G113" s="155"/>
      <c r="H113" s="155"/>
      <c r="I113" s="155"/>
    </row>
  </sheetData>
  <autoFilter ref="I12:I62"/>
  <mergeCells count="28">
    <mergeCell ref="R67:U67"/>
    <mergeCell ref="A81:I81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7:I47"/>
    <mergeCell ref="A58:I58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217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93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42521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customHeight="1">
      <c r="A19" s="39">
        <v>4</v>
      </c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f>F19/2*G19</f>
        <v>168.08484000000001</v>
      </c>
      <c r="J19" s="32"/>
      <c r="K19" s="8"/>
      <c r="L19" s="8"/>
      <c r="M19" s="8"/>
    </row>
    <row r="20" spans="1:13" ht="15.75" customHeight="1">
      <c r="A20" s="39">
        <v>5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customHeight="1">
      <c r="A21" s="39">
        <v>6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customHeight="1">
      <c r="A22" s="39">
        <v>7</v>
      </c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f>F22*G22</f>
        <v>770.69159999999999</v>
      </c>
      <c r="J22" s="32"/>
      <c r="K22" s="8"/>
      <c r="L22" s="8"/>
      <c r="M22" s="8"/>
    </row>
    <row r="23" spans="1:13" ht="15.75" customHeight="1">
      <c r="A23" s="39">
        <v>8</v>
      </c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f t="shared" ref="I23:I26" si="1">F23*G23</f>
        <v>17.151281999999998</v>
      </c>
      <c r="J23" s="32"/>
      <c r="K23" s="8"/>
      <c r="L23" s="8"/>
      <c r="M23" s="8"/>
    </row>
    <row r="24" spans="1:13" ht="15.75" customHeight="1">
      <c r="A24" s="39">
        <v>9</v>
      </c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f t="shared" si="1"/>
        <v>62.492999999999995</v>
      </c>
      <c r="J24" s="32"/>
      <c r="K24" s="8"/>
      <c r="L24" s="8"/>
      <c r="M24" s="8"/>
    </row>
    <row r="25" spans="1:13" ht="15.75" customHeight="1">
      <c r="A25" s="39">
        <v>10</v>
      </c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f t="shared" si="1"/>
        <v>35.520012000000001</v>
      </c>
      <c r="J25" s="32"/>
      <c r="K25" s="8"/>
      <c r="L25" s="8"/>
      <c r="M25" s="8"/>
    </row>
    <row r="26" spans="1:13" ht="15.75" customHeight="1">
      <c r="A26" s="39">
        <v>11</v>
      </c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f t="shared" si="1"/>
        <v>32.344200000000001</v>
      </c>
      <c r="J26" s="32"/>
      <c r="K26" s="8"/>
      <c r="L26" s="8"/>
      <c r="M26" s="8"/>
    </row>
    <row r="27" spans="1:13" ht="15.75" customHeight="1">
      <c r="A27" s="39">
        <v>12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13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customHeight="1">
      <c r="A31" s="39">
        <v>14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2">SUM(F31*G31/1000)</f>
        <v>5.7627569999999997</v>
      </c>
      <c r="I31" s="16">
        <f t="shared" ref="I31:I35" si="3">F31/6*G31</f>
        <v>960.45949999999993</v>
      </c>
      <c r="J31" s="32"/>
      <c r="K31" s="8"/>
      <c r="L31" s="8"/>
      <c r="M31" s="8"/>
    </row>
    <row r="32" spans="1:13" ht="31.5" customHeight="1">
      <c r="A32" s="39">
        <v>15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2"/>
        <v>1.7575833600000001</v>
      </c>
      <c r="I32" s="16">
        <f t="shared" si="3"/>
        <v>292.93056000000007</v>
      </c>
      <c r="J32" s="32"/>
      <c r="K32" s="8"/>
      <c r="L32" s="8"/>
      <c r="M32" s="8"/>
    </row>
    <row r="33" spans="1:14" ht="15.75" customHeight="1">
      <c r="A33" s="39">
        <v>16</v>
      </c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2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customHeight="1">
      <c r="A34" s="39">
        <v>17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3"/>
        <v>1078.6914999999999</v>
      </c>
      <c r="J34" s="32"/>
      <c r="K34" s="8"/>
    </row>
    <row r="35" spans="1:14" ht="15.75" customHeight="1">
      <c r="A35" s="39">
        <v>18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3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2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2"/>
        <v>2.4294600000000002</v>
      </c>
      <c r="I37" s="16">
        <v>0</v>
      </c>
      <c r="J37" s="33"/>
    </row>
    <row r="38" spans="1:14" ht="15.75" hidden="1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hidden="1" customHeight="1">
      <c r="A39" s="39">
        <v>8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4">SUM(F39*G39/1000)</f>
        <v>13.060799999999999</v>
      </c>
      <c r="I39" s="16">
        <f t="shared" ref="I39:I45" si="5">F39/6*G39</f>
        <v>2176.7999999999997</v>
      </c>
      <c r="J39" s="33"/>
      <c r="L39" s="25"/>
      <c r="M39" s="26"/>
      <c r="N39" s="27"/>
    </row>
    <row r="40" spans="1:14" ht="15.75" hidden="1" customHeight="1">
      <c r="A40" s="39">
        <v>9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5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hidden="1" customHeight="1">
      <c r="A42" s="39">
        <v>10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4"/>
        <v>8.9156542499999993</v>
      </c>
      <c r="I42" s="16">
        <f t="shared" si="5"/>
        <v>1485.9423750000001</v>
      </c>
      <c r="J42" s="33"/>
      <c r="L42" s="25"/>
      <c r="M42" s="26"/>
      <c r="N42" s="27"/>
    </row>
    <row r="43" spans="1:14" ht="47.25" hidden="1" customHeight="1">
      <c r="A43" s="39">
        <v>11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4"/>
        <v>17.69605425</v>
      </c>
      <c r="I43" s="16">
        <f t="shared" si="5"/>
        <v>2949.3423749999997</v>
      </c>
      <c r="J43" s="33"/>
      <c r="L43" s="25"/>
      <c r="M43" s="26"/>
      <c r="N43" s="27"/>
    </row>
    <row r="44" spans="1:14" ht="15.75" hidden="1" customHeight="1">
      <c r="A44" s="39">
        <v>12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4"/>
        <v>1.6807418999999999</v>
      </c>
      <c r="I44" s="16">
        <f t="shared" si="5"/>
        <v>280.12364999999994</v>
      </c>
      <c r="J44" s="33"/>
      <c r="L44" s="25"/>
      <c r="M44" s="26"/>
      <c r="N44" s="27"/>
    </row>
    <row r="45" spans="1:14" ht="15.75" hidden="1" customHeight="1">
      <c r="A45" s="39">
        <v>13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4"/>
        <v>0.76775400000000005</v>
      </c>
      <c r="I45" s="16">
        <f t="shared" si="5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customHeight="1">
      <c r="A48" s="39">
        <v>19</v>
      </c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6">SUM(F48*G48/1000)</f>
        <v>1.8697176000000002</v>
      </c>
      <c r="I48" s="16">
        <f>F48/2*G48</f>
        <v>934.85880000000009</v>
      </c>
      <c r="J48" s="33"/>
      <c r="L48" s="25"/>
      <c r="M48" s="26"/>
      <c r="N48" s="27"/>
    </row>
    <row r="49" spans="1:22" ht="15.75" customHeight="1">
      <c r="A49" s="39">
        <v>20</v>
      </c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6"/>
        <v>4.8317880000000001E-2</v>
      </c>
      <c r="I49" s="16">
        <f t="shared" ref="I49:I52" si="7">F49/2*G49</f>
        <v>24.158940000000001</v>
      </c>
      <c r="J49" s="33"/>
      <c r="L49" s="25"/>
      <c r="M49" s="26"/>
      <c r="N49" s="27"/>
    </row>
    <row r="50" spans="1:22" ht="15.75" customHeight="1">
      <c r="A50" s="39">
        <v>21</v>
      </c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6"/>
        <v>1.2847600399999999</v>
      </c>
      <c r="I50" s="16">
        <f t="shared" si="7"/>
        <v>642.38001999999994</v>
      </c>
      <c r="J50" s="33"/>
      <c r="L50" s="25"/>
      <c r="M50" s="26"/>
      <c r="N50" s="27"/>
    </row>
    <row r="51" spans="1:22" ht="15.75" customHeight="1">
      <c r="A51" s="39">
        <v>22</v>
      </c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6"/>
        <v>2.95001472</v>
      </c>
      <c r="I51" s="16">
        <f t="shared" si="7"/>
        <v>1475.0073600000001</v>
      </c>
      <c r="J51" s="33"/>
      <c r="L51" s="25"/>
      <c r="M51" s="26"/>
      <c r="N51" s="27"/>
    </row>
    <row r="52" spans="1:22" ht="15.75" customHeight="1">
      <c r="A52" s="39">
        <v>23</v>
      </c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f t="shared" si="7"/>
        <v>64.607200000000006</v>
      </c>
      <c r="J52" s="33"/>
      <c r="L52" s="25"/>
      <c r="M52" s="26"/>
      <c r="N52" s="27"/>
    </row>
    <row r="53" spans="1:22" ht="15.75" customHeight="1">
      <c r="A53" s="39">
        <v>24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hidden="1" customHeight="1">
      <c r="A54" s="39"/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v>0</v>
      </c>
      <c r="J54" s="33"/>
      <c r="L54" s="25"/>
      <c r="M54" s="26"/>
      <c r="N54" s="27"/>
    </row>
    <row r="55" spans="1:22" ht="31.5" hidden="1" customHeight="1">
      <c r="A55" s="39"/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v>0</v>
      </c>
      <c r="J55" s="33"/>
      <c r="L55" s="25"/>
      <c r="M55" s="26"/>
      <c r="N55" s="27"/>
    </row>
    <row r="56" spans="1:22" ht="15.75" hidden="1" customHeight="1">
      <c r="A56" s="39"/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6"/>
        <v>0.1208424</v>
      </c>
      <c r="I56" s="16">
        <v>0</v>
      </c>
      <c r="J56" s="33"/>
      <c r="L56" s="25"/>
      <c r="M56" s="26"/>
      <c r="N56" s="27"/>
    </row>
    <row r="57" spans="1:22" ht="15.75" hidden="1" customHeight="1">
      <c r="A57" s="39">
        <v>15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171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hidden="1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hidden="1" customHeight="1">
      <c r="A60" s="39">
        <v>16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25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39">
        <v>26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8">SUM(F65*G65/1000)</f>
        <v>2.3774000000000002</v>
      </c>
      <c r="I65" s="16">
        <f>G65*4</f>
        <v>950.96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8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customHeight="1">
      <c r="A67" s="39">
        <v>27</v>
      </c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8"/>
        <v>30.133587299999999</v>
      </c>
      <c r="I67" s="16">
        <f>F67*G67</f>
        <v>30133.587299999999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customHeight="1">
      <c r="A68" s="39">
        <v>28</v>
      </c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8"/>
        <v>2.3466170700000002</v>
      </c>
      <c r="I68" s="16">
        <f t="shared" ref="I68:I71" si="9">F68*G68</f>
        <v>2346.6170700000002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customHeight="1">
      <c r="A69" s="39">
        <v>29</v>
      </c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f t="shared" si="9"/>
        <v>46795.15800000001</v>
      </c>
    </row>
    <row r="70" spans="1:21" ht="15.75" customHeight="1">
      <c r="A70" s="39">
        <v>30</v>
      </c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8"/>
        <v>0.36696200000000001</v>
      </c>
      <c r="I70" s="16">
        <f t="shared" si="9"/>
        <v>366.96199999999999</v>
      </c>
    </row>
    <row r="71" spans="1:21" ht="15.75" customHeight="1">
      <c r="A71" s="39">
        <v>31</v>
      </c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8"/>
        <v>0.342366</v>
      </c>
      <c r="I71" s="16">
        <f t="shared" si="9"/>
        <v>342.36599999999999</v>
      </c>
    </row>
    <row r="72" spans="1:21" ht="15.75" hidden="1" customHeight="1">
      <c r="A72" s="39"/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8"/>
        <v>0.31992000000000004</v>
      </c>
      <c r="I72" s="16">
        <v>0</v>
      </c>
    </row>
    <row r="73" spans="1:21" ht="15.75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customHeight="1">
      <c r="A74" s="39">
        <v>32</v>
      </c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8"/>
        <v>0.10724600000000001</v>
      </c>
      <c r="I74" s="16">
        <f>G74*0.2</f>
        <v>107.24600000000001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8"/>
        <v>1.474925</v>
      </c>
      <c r="I78" s="16">
        <v>0</v>
      </c>
    </row>
    <row r="79" spans="1:21" ht="15.75" hidden="1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hidden="1" customHeight="1">
      <c r="A80" s="39"/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v>0</v>
      </c>
    </row>
    <row r="81" spans="1:9" ht="15" customHeight="1">
      <c r="A81" s="162" t="s">
        <v>172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33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34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I16+I17+I18+I19+I20+I21+I22+I23+I24+I25+I26+I27+I28+I31+I32+I33+I34+I35+I48+I49+I50+I51+I52+I53+I63+I65+I67+I68+I69+I70+I71+I74+I82+I83</f>
        <v>123282.41770666667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15.75" customHeight="1">
      <c r="A86" s="39">
        <v>35</v>
      </c>
      <c r="B86" s="83" t="s">
        <v>150</v>
      </c>
      <c r="C86" s="97" t="s">
        <v>127</v>
      </c>
      <c r="D86" s="18"/>
      <c r="E86" s="23"/>
      <c r="F86" s="16">
        <v>552</v>
      </c>
      <c r="G86" s="16">
        <v>50.68</v>
      </c>
      <c r="H86" s="143">
        <f>G86*F86/1000</f>
        <v>27.975360000000002</v>
      </c>
      <c r="I86" s="16">
        <f>G86*46</f>
        <v>2331.2800000000002</v>
      </c>
    </row>
    <row r="87" spans="1:9" ht="15.75" customHeight="1">
      <c r="A87" s="39">
        <v>36</v>
      </c>
      <c r="B87" s="83" t="s">
        <v>160</v>
      </c>
      <c r="C87" s="97" t="s">
        <v>97</v>
      </c>
      <c r="D87" s="18"/>
      <c r="E87" s="23"/>
      <c r="F87" s="16">
        <v>10</v>
      </c>
      <c r="G87" s="16">
        <v>185.81</v>
      </c>
      <c r="H87" s="143">
        <f>G87*F87/1000</f>
        <v>1.8580999999999999</v>
      </c>
      <c r="I87" s="16">
        <f>G87</f>
        <v>185.81</v>
      </c>
    </row>
    <row r="88" spans="1:9" ht="15.75" customHeight="1">
      <c r="A88" s="39">
        <v>37</v>
      </c>
      <c r="B88" s="18" t="s">
        <v>192</v>
      </c>
      <c r="C88" s="20" t="s">
        <v>130</v>
      </c>
      <c r="D88" s="18"/>
      <c r="E88" s="125"/>
      <c r="F88" s="16">
        <f>13287/1000</f>
        <v>13.287000000000001</v>
      </c>
      <c r="G88" s="16">
        <v>176.61</v>
      </c>
      <c r="H88" s="143">
        <f t="shared" ref="H88:H90" si="10">G88*F88/1000</f>
        <v>2.3466170700000002</v>
      </c>
      <c r="I88" s="16">
        <f>G88*(13287/1000)</f>
        <v>2346.6170700000002</v>
      </c>
    </row>
    <row r="89" spans="1:9" ht="31.5" customHeight="1">
      <c r="A89" s="39">
        <v>38</v>
      </c>
      <c r="B89" s="83" t="s">
        <v>87</v>
      </c>
      <c r="C89" s="97" t="s">
        <v>127</v>
      </c>
      <c r="D89" s="18"/>
      <c r="E89" s="23"/>
      <c r="F89" s="16">
        <v>2</v>
      </c>
      <c r="G89" s="16">
        <v>79.09</v>
      </c>
      <c r="H89" s="143">
        <f t="shared" si="10"/>
        <v>0.15818000000000002</v>
      </c>
      <c r="I89" s="16">
        <f>G89</f>
        <v>79.09</v>
      </c>
    </row>
    <row r="90" spans="1:9" ht="15.75" customHeight="1">
      <c r="A90" s="39">
        <v>39</v>
      </c>
      <c r="B90" s="83" t="s">
        <v>193</v>
      </c>
      <c r="C90" s="97" t="s">
        <v>194</v>
      </c>
      <c r="D90" s="18"/>
      <c r="E90" s="23"/>
      <c r="F90" s="16">
        <f>1/100</f>
        <v>0.01</v>
      </c>
      <c r="G90" s="16">
        <v>7033.13</v>
      </c>
      <c r="H90" s="143">
        <f t="shared" si="10"/>
        <v>7.0331299999999999E-2</v>
      </c>
      <c r="I90" s="16">
        <f>G90*0.01</f>
        <v>70.331299999999999</v>
      </c>
    </row>
    <row r="91" spans="1:9" ht="16.5" customHeight="1">
      <c r="A91" s="39"/>
      <c r="B91" s="63" t="s">
        <v>52</v>
      </c>
      <c r="C91" s="59"/>
      <c r="D91" s="73"/>
      <c r="E91" s="59">
        <v>1</v>
      </c>
      <c r="F91" s="59"/>
      <c r="G91" s="59"/>
      <c r="H91" s="59"/>
      <c r="I91" s="41">
        <f>SUM(I86:I90)</f>
        <v>5013.1283700000004</v>
      </c>
    </row>
    <row r="92" spans="1:9" ht="15.75" customHeight="1">
      <c r="A92" s="39"/>
      <c r="B92" s="69" t="s">
        <v>85</v>
      </c>
      <c r="C92" s="19"/>
      <c r="D92" s="19"/>
      <c r="E92" s="60"/>
      <c r="F92" s="60"/>
      <c r="G92" s="61"/>
      <c r="H92" s="61"/>
      <c r="I92" s="22">
        <v>0</v>
      </c>
    </row>
    <row r="93" spans="1:9" ht="15.75" customHeight="1">
      <c r="A93" s="74"/>
      <c r="B93" s="64" t="s">
        <v>53</v>
      </c>
      <c r="C93" s="47"/>
      <c r="D93" s="47"/>
      <c r="E93" s="47"/>
      <c r="F93" s="47"/>
      <c r="G93" s="47"/>
      <c r="H93" s="47"/>
      <c r="I93" s="62">
        <f>I84+I91</f>
        <v>128295.54607666668</v>
      </c>
    </row>
    <row r="94" spans="1:9" ht="15.75" customHeight="1">
      <c r="A94" s="165" t="s">
        <v>218</v>
      </c>
      <c r="B94" s="165"/>
      <c r="C94" s="165"/>
      <c r="D94" s="165"/>
      <c r="E94" s="165"/>
      <c r="F94" s="165"/>
      <c r="G94" s="165"/>
      <c r="H94" s="165"/>
      <c r="I94" s="165"/>
    </row>
    <row r="95" spans="1:9" ht="15.75">
      <c r="A95" s="116"/>
      <c r="B95" s="166" t="s">
        <v>219</v>
      </c>
      <c r="C95" s="166"/>
      <c r="D95" s="166"/>
      <c r="E95" s="166"/>
      <c r="F95" s="166"/>
      <c r="G95" s="166"/>
      <c r="H95" s="121"/>
      <c r="I95" s="3"/>
    </row>
    <row r="96" spans="1:9">
      <c r="A96" s="115"/>
      <c r="B96" s="159" t="s">
        <v>6</v>
      </c>
      <c r="C96" s="159"/>
      <c r="D96" s="159"/>
      <c r="E96" s="159"/>
      <c r="F96" s="159"/>
      <c r="G96" s="159"/>
      <c r="H96" s="3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67" t="s">
        <v>7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>
      <c r="A99" s="167" t="s">
        <v>8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>
      <c r="A100" s="156" t="s">
        <v>64</v>
      </c>
      <c r="B100" s="156"/>
      <c r="C100" s="156"/>
      <c r="D100" s="156"/>
      <c r="E100" s="156"/>
      <c r="F100" s="156"/>
      <c r="G100" s="156"/>
      <c r="H100" s="156"/>
      <c r="I100" s="156"/>
    </row>
    <row r="101" spans="1:9" ht="15.75">
      <c r="A101" s="11"/>
    </row>
    <row r="102" spans="1:9" ht="15.75">
      <c r="A102" s="157" t="s">
        <v>9</v>
      </c>
      <c r="B102" s="157"/>
      <c r="C102" s="157"/>
      <c r="D102" s="157"/>
      <c r="E102" s="157"/>
      <c r="F102" s="157"/>
      <c r="G102" s="157"/>
      <c r="H102" s="157"/>
      <c r="I102" s="157"/>
    </row>
    <row r="103" spans="1:9" ht="15.75" customHeight="1">
      <c r="A103" s="4"/>
    </row>
    <row r="104" spans="1:9" ht="15.75">
      <c r="B104" s="112" t="s">
        <v>10</v>
      </c>
      <c r="C104" s="158" t="s">
        <v>173</v>
      </c>
      <c r="D104" s="158"/>
      <c r="E104" s="158"/>
      <c r="F104" s="119"/>
      <c r="I104" s="114"/>
    </row>
    <row r="105" spans="1:9">
      <c r="A105" s="115"/>
      <c r="C105" s="159" t="s">
        <v>11</v>
      </c>
      <c r="D105" s="159"/>
      <c r="E105" s="159"/>
      <c r="F105" s="34"/>
      <c r="I105" s="113" t="s">
        <v>12</v>
      </c>
    </row>
    <row r="106" spans="1:9" ht="15.75" customHeight="1">
      <c r="A106" s="35"/>
      <c r="C106" s="12"/>
      <c r="D106" s="12"/>
      <c r="G106" s="12"/>
      <c r="H106" s="12"/>
    </row>
    <row r="107" spans="1:9" ht="15.75" customHeight="1">
      <c r="B107" s="112" t="s">
        <v>13</v>
      </c>
      <c r="C107" s="160"/>
      <c r="D107" s="160"/>
      <c r="E107" s="160"/>
      <c r="F107" s="120"/>
      <c r="I107" s="114"/>
    </row>
    <row r="108" spans="1:9" ht="15.75" customHeight="1">
      <c r="A108" s="115"/>
      <c r="C108" s="161" t="s">
        <v>11</v>
      </c>
      <c r="D108" s="161"/>
      <c r="E108" s="161"/>
      <c r="F108" s="115"/>
      <c r="I108" s="113" t="s">
        <v>12</v>
      </c>
    </row>
    <row r="109" spans="1:9" ht="15.75">
      <c r="A109" s="4" t="s">
        <v>14</v>
      </c>
    </row>
    <row r="110" spans="1:9">
      <c r="A110" s="154" t="s">
        <v>15</v>
      </c>
      <c r="B110" s="154"/>
      <c r="C110" s="154"/>
      <c r="D110" s="154"/>
      <c r="E110" s="154"/>
      <c r="F110" s="154"/>
      <c r="G110" s="154"/>
      <c r="H110" s="154"/>
      <c r="I110" s="154"/>
    </row>
    <row r="111" spans="1:9" ht="45" customHeight="1">
      <c r="A111" s="155" t="s">
        <v>16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30" customHeight="1">
      <c r="A112" s="155" t="s">
        <v>17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30" customHeight="1">
      <c r="A113" s="155" t="s">
        <v>21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15" customHeight="1">
      <c r="A114" s="155" t="s">
        <v>20</v>
      </c>
      <c r="B114" s="155"/>
      <c r="C114" s="155"/>
      <c r="D114" s="155"/>
      <c r="E114" s="155"/>
      <c r="F114" s="155"/>
      <c r="G114" s="155"/>
      <c r="H114" s="155"/>
      <c r="I114" s="155"/>
    </row>
  </sheetData>
  <autoFilter ref="I12:I62"/>
  <mergeCells count="28">
    <mergeCell ref="R67:U67"/>
    <mergeCell ref="A81:I81"/>
    <mergeCell ref="A3:I3"/>
    <mergeCell ref="A4:I4"/>
    <mergeCell ref="A5:I5"/>
    <mergeCell ref="A8:I8"/>
    <mergeCell ref="A10:I10"/>
    <mergeCell ref="A14:I14"/>
    <mergeCell ref="A100:I100"/>
    <mergeCell ref="A15:I15"/>
    <mergeCell ref="A29:I29"/>
    <mergeCell ref="A47:I47"/>
    <mergeCell ref="A58:I58"/>
    <mergeCell ref="A94:I94"/>
    <mergeCell ref="B95:G95"/>
    <mergeCell ref="B96:G96"/>
    <mergeCell ref="A98:I98"/>
    <mergeCell ref="A99:I99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220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58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42551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hidden="1" customHeight="1">
      <c r="A19" s="39"/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v>0</v>
      </c>
      <c r="J19" s="32"/>
      <c r="K19" s="8"/>
      <c r="L19" s="8"/>
      <c r="M19" s="8"/>
    </row>
    <row r="20" spans="1:13" ht="15.75" customHeight="1">
      <c r="A20" s="39">
        <v>4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hidden="1" customHeight="1">
      <c r="A21" s="39">
        <v>5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hidden="1" customHeight="1">
      <c r="A22" s="39"/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v>0</v>
      </c>
      <c r="J22" s="32"/>
      <c r="K22" s="8"/>
      <c r="L22" s="8"/>
      <c r="M22" s="8"/>
    </row>
    <row r="23" spans="1:13" ht="15.75" hidden="1" customHeight="1">
      <c r="A23" s="39"/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v>0</v>
      </c>
      <c r="J23" s="32"/>
      <c r="K23" s="8"/>
      <c r="L23" s="8"/>
      <c r="M23" s="8"/>
    </row>
    <row r="24" spans="1:13" ht="15.75" hidden="1" customHeight="1">
      <c r="A24" s="39"/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v>0</v>
      </c>
      <c r="J24" s="32"/>
      <c r="K24" s="8"/>
      <c r="L24" s="8"/>
      <c r="M24" s="8"/>
    </row>
    <row r="25" spans="1:13" ht="15.75" hidden="1" customHeight="1">
      <c r="A25" s="39"/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v>0</v>
      </c>
      <c r="J25" s="32"/>
      <c r="K25" s="8"/>
      <c r="L25" s="8"/>
      <c r="M25" s="8"/>
    </row>
    <row r="26" spans="1:13" ht="15.75" hidden="1" customHeight="1">
      <c r="A26" s="39"/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v>0</v>
      </c>
      <c r="J26" s="32"/>
      <c r="K26" s="8"/>
      <c r="L26" s="8"/>
      <c r="M26" s="8"/>
    </row>
    <row r="27" spans="1:13" ht="15.75" customHeight="1">
      <c r="A27" s="39">
        <v>5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6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customHeight="1">
      <c r="A31" s="39">
        <v>7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1">SUM(F31*G31/1000)</f>
        <v>5.7627569999999997</v>
      </c>
      <c r="I31" s="16">
        <f t="shared" ref="I31:I35" si="2">F31/6*G31</f>
        <v>960.45949999999993</v>
      </c>
      <c r="J31" s="32"/>
      <c r="K31" s="8"/>
      <c r="L31" s="8"/>
      <c r="M31" s="8"/>
    </row>
    <row r="32" spans="1:13" ht="31.5" customHeight="1">
      <c r="A32" s="39">
        <v>8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1"/>
        <v>1.7575833600000001</v>
      </c>
      <c r="I32" s="16">
        <f t="shared" si="2"/>
        <v>292.93056000000007</v>
      </c>
      <c r="J32" s="32"/>
      <c r="K32" s="8"/>
      <c r="L32" s="8"/>
      <c r="M32" s="8"/>
    </row>
    <row r="33" spans="1:14" ht="15.75" hidden="1" customHeight="1">
      <c r="A33" s="39"/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1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customHeight="1">
      <c r="A34" s="39">
        <v>9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2"/>
        <v>1078.6914999999999</v>
      </c>
      <c r="J34" s="32"/>
      <c r="K34" s="8"/>
    </row>
    <row r="35" spans="1:14" ht="15.75" customHeight="1">
      <c r="A35" s="39">
        <v>10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2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1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1"/>
        <v>2.4294600000000002</v>
      </c>
      <c r="I37" s="16">
        <v>0</v>
      </c>
      <c r="J37" s="33"/>
    </row>
    <row r="38" spans="1:14" ht="15.75" hidden="1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hidden="1" customHeight="1">
      <c r="A39" s="39">
        <v>8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3">SUM(F39*G39/1000)</f>
        <v>13.060799999999999</v>
      </c>
      <c r="I39" s="16">
        <f t="shared" ref="I39:I45" si="4">F39/6*G39</f>
        <v>2176.7999999999997</v>
      </c>
      <c r="J39" s="33"/>
      <c r="L39" s="25"/>
      <c r="M39" s="26"/>
      <c r="N39" s="27"/>
    </row>
    <row r="40" spans="1:14" ht="15.75" hidden="1" customHeight="1">
      <c r="A40" s="39">
        <v>9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4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hidden="1" customHeight="1">
      <c r="A42" s="39">
        <v>10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3"/>
        <v>8.9156542499999993</v>
      </c>
      <c r="I42" s="16">
        <f t="shared" si="4"/>
        <v>1485.9423750000001</v>
      </c>
      <c r="J42" s="33"/>
      <c r="L42" s="25"/>
      <c r="M42" s="26"/>
      <c r="N42" s="27"/>
    </row>
    <row r="43" spans="1:14" ht="47.25" hidden="1" customHeight="1">
      <c r="A43" s="39">
        <v>11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3"/>
        <v>17.69605425</v>
      </c>
      <c r="I43" s="16">
        <f t="shared" si="4"/>
        <v>2949.3423749999997</v>
      </c>
      <c r="J43" s="33"/>
      <c r="L43" s="25"/>
      <c r="M43" s="26"/>
      <c r="N43" s="27"/>
    </row>
    <row r="44" spans="1:14" ht="15.75" hidden="1" customHeight="1">
      <c r="A44" s="39">
        <v>12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3"/>
        <v>1.6807418999999999</v>
      </c>
      <c r="I44" s="16">
        <f t="shared" si="4"/>
        <v>280.12364999999994</v>
      </c>
      <c r="J44" s="33"/>
      <c r="L44" s="25"/>
      <c r="M44" s="26"/>
      <c r="N44" s="27"/>
    </row>
    <row r="45" spans="1:14" ht="15.75" hidden="1" customHeight="1">
      <c r="A45" s="39">
        <v>13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3"/>
        <v>0.76775400000000005</v>
      </c>
      <c r="I45" s="16">
        <f t="shared" si="4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hidden="1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hidden="1" customHeight="1">
      <c r="A48" s="39"/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5">SUM(F48*G48/1000)</f>
        <v>1.8697176000000002</v>
      </c>
      <c r="I48" s="16">
        <v>0</v>
      </c>
      <c r="J48" s="33"/>
      <c r="L48" s="25"/>
      <c r="M48" s="26"/>
      <c r="N48" s="27"/>
    </row>
    <row r="49" spans="1:22" ht="15.75" hidden="1" customHeight="1">
      <c r="A49" s="39"/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5"/>
        <v>4.8317880000000001E-2</v>
      </c>
      <c r="I49" s="16">
        <v>0</v>
      </c>
      <c r="J49" s="33"/>
      <c r="L49" s="25"/>
      <c r="M49" s="26"/>
      <c r="N49" s="27"/>
    </row>
    <row r="50" spans="1:22" ht="15.75" hidden="1" customHeight="1">
      <c r="A50" s="39"/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5"/>
        <v>1.2847600399999999</v>
      </c>
      <c r="I50" s="16">
        <v>0</v>
      </c>
      <c r="J50" s="33"/>
      <c r="L50" s="25"/>
      <c r="M50" s="26"/>
      <c r="N50" s="27"/>
    </row>
    <row r="51" spans="1:22" ht="15.75" hidden="1" customHeight="1">
      <c r="A51" s="39"/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5"/>
        <v>2.95001472</v>
      </c>
      <c r="I51" s="16">
        <v>0</v>
      </c>
      <c r="J51" s="33"/>
      <c r="L51" s="25"/>
      <c r="M51" s="26"/>
      <c r="N51" s="27"/>
    </row>
    <row r="52" spans="1:22" ht="15.75" hidden="1" customHeight="1">
      <c r="A52" s="39"/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v>0</v>
      </c>
      <c r="J52" s="33"/>
      <c r="L52" s="25"/>
      <c r="M52" s="26"/>
      <c r="N52" s="27"/>
    </row>
    <row r="53" spans="1:22" ht="15.75" hidden="1" customHeight="1">
      <c r="A53" s="39">
        <v>14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hidden="1" customHeight="1">
      <c r="A54" s="39"/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v>0</v>
      </c>
      <c r="J54" s="33"/>
      <c r="L54" s="25"/>
      <c r="M54" s="26"/>
      <c r="N54" s="27"/>
    </row>
    <row r="55" spans="1:22" ht="31.5" hidden="1" customHeight="1">
      <c r="A55" s="39"/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v>0</v>
      </c>
      <c r="J55" s="33"/>
      <c r="L55" s="25"/>
      <c r="M55" s="26"/>
      <c r="N55" s="27"/>
    </row>
    <row r="56" spans="1:22" ht="15.75" hidden="1" customHeight="1">
      <c r="A56" s="39"/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5"/>
        <v>0.1208424</v>
      </c>
      <c r="I56" s="16">
        <v>0</v>
      </c>
      <c r="J56" s="33"/>
      <c r="L56" s="25"/>
      <c r="M56" s="26"/>
      <c r="N56" s="27"/>
    </row>
    <row r="57" spans="1:22" ht="15.75" hidden="1" customHeight="1">
      <c r="A57" s="39">
        <v>15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175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hidden="1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hidden="1" customHeight="1">
      <c r="A60" s="39">
        <v>16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11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39">
        <v>12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6">SUM(F65*G65/1000)</f>
        <v>2.3774000000000002</v>
      </c>
      <c r="I65" s="16">
        <f>G65</f>
        <v>237.74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6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9"/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6"/>
        <v>30.133587299999999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9"/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6"/>
        <v>2.3466170700000002</v>
      </c>
      <c r="I68" s="16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9"/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v>0</v>
      </c>
    </row>
    <row r="70" spans="1:21" ht="15.75" hidden="1" customHeight="1">
      <c r="A70" s="39"/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6"/>
        <v>0.36696200000000001</v>
      </c>
      <c r="I70" s="16">
        <v>0</v>
      </c>
    </row>
    <row r="71" spans="1:21" ht="15.75" hidden="1" customHeight="1">
      <c r="A71" s="39"/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6"/>
        <v>0.342366</v>
      </c>
      <c r="I71" s="16">
        <v>0</v>
      </c>
    </row>
    <row r="72" spans="1:21" ht="15.75" hidden="1" customHeight="1">
      <c r="A72" s="39"/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6"/>
        <v>0.31992000000000004</v>
      </c>
      <c r="I72" s="16">
        <v>0</v>
      </c>
    </row>
    <row r="73" spans="1:21" ht="15.75" hidden="1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hidden="1" customHeight="1">
      <c r="A74" s="39"/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6"/>
        <v>0.10724600000000001</v>
      </c>
      <c r="I74" s="16">
        <v>0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6"/>
        <v>1.474925</v>
      </c>
      <c r="I78" s="16">
        <v>0</v>
      </c>
    </row>
    <row r="79" spans="1:21" ht="15.75" hidden="1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hidden="1" customHeight="1">
      <c r="A80" s="39"/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v>0</v>
      </c>
    </row>
    <row r="81" spans="1:9" ht="15" customHeight="1">
      <c r="A81" s="162" t="s">
        <v>174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13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14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I16+I17+I18+I20+I27+I28+I31+I32+I34+I35+I63+I65+I82+I83</f>
        <v>33854.92098266667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15.75" customHeight="1">
      <c r="A86" s="39">
        <v>15</v>
      </c>
      <c r="B86" s="83" t="s">
        <v>150</v>
      </c>
      <c r="C86" s="97" t="s">
        <v>127</v>
      </c>
      <c r="D86" s="18"/>
      <c r="E86" s="23"/>
      <c r="F86" s="16">
        <v>552</v>
      </c>
      <c r="G86" s="16">
        <v>50.68</v>
      </c>
      <c r="H86" s="143">
        <f>G86*F86/1000</f>
        <v>27.975360000000002</v>
      </c>
      <c r="I86" s="16">
        <f>G86*46</f>
        <v>2331.2800000000002</v>
      </c>
    </row>
    <row r="87" spans="1:9" ht="15.75" customHeight="1">
      <c r="A87" s="39">
        <v>16</v>
      </c>
      <c r="B87" s="83" t="s">
        <v>160</v>
      </c>
      <c r="C87" s="97" t="s">
        <v>97</v>
      </c>
      <c r="D87" s="18"/>
      <c r="E87" s="23"/>
      <c r="F87" s="16">
        <v>10</v>
      </c>
      <c r="G87" s="16">
        <v>185.81</v>
      </c>
      <c r="H87" s="143">
        <f>G87*F87/1000</f>
        <v>1.8580999999999999</v>
      </c>
      <c r="I87" s="16">
        <f>G87*2</f>
        <v>371.62</v>
      </c>
    </row>
    <row r="88" spans="1:9" ht="15.75" customHeight="1">
      <c r="A88" s="39">
        <v>17</v>
      </c>
      <c r="B88" s="18" t="s">
        <v>183</v>
      </c>
      <c r="C88" s="20" t="s">
        <v>184</v>
      </c>
      <c r="D88" s="18"/>
      <c r="E88" s="23"/>
      <c r="F88" s="16">
        <v>6.5</v>
      </c>
      <c r="G88" s="16">
        <v>1501</v>
      </c>
      <c r="H88" s="143">
        <f t="shared" ref="H88:H89" si="7">G88*F88/1000</f>
        <v>9.7565000000000008</v>
      </c>
      <c r="I88" s="16">
        <f>G88</f>
        <v>1501</v>
      </c>
    </row>
    <row r="89" spans="1:9" ht="15.75" customHeight="1">
      <c r="A89" s="39">
        <v>18</v>
      </c>
      <c r="B89" s="83" t="s">
        <v>195</v>
      </c>
      <c r="C89" s="97" t="s">
        <v>164</v>
      </c>
      <c r="D89" s="18"/>
      <c r="E89" s="23"/>
      <c r="F89" s="16">
        <f>1.5/10</f>
        <v>0.15</v>
      </c>
      <c r="G89" s="16">
        <v>444.8</v>
      </c>
      <c r="H89" s="143">
        <f t="shared" si="7"/>
        <v>6.6720000000000002E-2</v>
      </c>
      <c r="I89" s="16">
        <f>G89*0.15</f>
        <v>66.72</v>
      </c>
    </row>
    <row r="90" spans="1:9" ht="16.5" customHeight="1">
      <c r="A90" s="39"/>
      <c r="B90" s="63" t="s">
        <v>52</v>
      </c>
      <c r="C90" s="59"/>
      <c r="D90" s="73"/>
      <c r="E90" s="59">
        <v>1</v>
      </c>
      <c r="F90" s="59"/>
      <c r="G90" s="59"/>
      <c r="H90" s="59"/>
      <c r="I90" s="41">
        <f>SUM(I86:I89)</f>
        <v>4270.62</v>
      </c>
    </row>
    <row r="91" spans="1:9" ht="15.75" customHeight="1">
      <c r="A91" s="39"/>
      <c r="B91" s="69" t="s">
        <v>85</v>
      </c>
      <c r="C91" s="19"/>
      <c r="D91" s="19"/>
      <c r="E91" s="60"/>
      <c r="F91" s="60"/>
      <c r="G91" s="61"/>
      <c r="H91" s="61"/>
      <c r="I91" s="22">
        <v>0</v>
      </c>
    </row>
    <row r="92" spans="1:9" ht="15.75" customHeight="1">
      <c r="A92" s="74"/>
      <c r="B92" s="64" t="s">
        <v>53</v>
      </c>
      <c r="C92" s="47"/>
      <c r="D92" s="47"/>
      <c r="E92" s="47"/>
      <c r="F92" s="47"/>
      <c r="G92" s="47"/>
      <c r="H92" s="47"/>
      <c r="I92" s="62">
        <f>I84+I90</f>
        <v>38125.540982666673</v>
      </c>
    </row>
    <row r="93" spans="1:9" ht="15.75" customHeight="1">
      <c r="A93" s="165" t="s">
        <v>221</v>
      </c>
      <c r="B93" s="165"/>
      <c r="C93" s="165"/>
      <c r="D93" s="165"/>
      <c r="E93" s="165"/>
      <c r="F93" s="165"/>
      <c r="G93" s="165"/>
      <c r="H93" s="165"/>
      <c r="I93" s="165"/>
    </row>
    <row r="94" spans="1:9" ht="15.75">
      <c r="A94" s="116"/>
      <c r="B94" s="166" t="s">
        <v>222</v>
      </c>
      <c r="C94" s="166"/>
      <c r="D94" s="166"/>
      <c r="E94" s="166"/>
      <c r="F94" s="166"/>
      <c r="G94" s="166"/>
      <c r="H94" s="121"/>
      <c r="I94" s="3"/>
    </row>
    <row r="95" spans="1:9">
      <c r="A95" s="115"/>
      <c r="B95" s="159" t="s">
        <v>6</v>
      </c>
      <c r="C95" s="159"/>
      <c r="D95" s="159"/>
      <c r="E95" s="159"/>
      <c r="F95" s="159"/>
      <c r="G95" s="159"/>
      <c r="H95" s="3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67" t="s">
        <v>7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67" t="s">
        <v>8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>
      <c r="A99" s="156" t="s">
        <v>64</v>
      </c>
      <c r="B99" s="156"/>
      <c r="C99" s="156"/>
      <c r="D99" s="156"/>
      <c r="E99" s="156"/>
      <c r="F99" s="156"/>
      <c r="G99" s="156"/>
      <c r="H99" s="156"/>
      <c r="I99" s="156"/>
    </row>
    <row r="100" spans="1:9" ht="15.75">
      <c r="A100" s="11"/>
    </row>
    <row r="101" spans="1:9" ht="15.75">
      <c r="A101" s="157" t="s">
        <v>9</v>
      </c>
      <c r="B101" s="157"/>
      <c r="C101" s="157"/>
      <c r="D101" s="157"/>
      <c r="E101" s="157"/>
      <c r="F101" s="157"/>
      <c r="G101" s="157"/>
      <c r="H101" s="157"/>
      <c r="I101" s="157"/>
    </row>
    <row r="102" spans="1:9" ht="15.75" customHeight="1">
      <c r="A102" s="4"/>
    </row>
    <row r="103" spans="1:9" ht="15.75">
      <c r="B103" s="112" t="s">
        <v>10</v>
      </c>
      <c r="C103" s="158" t="s">
        <v>173</v>
      </c>
      <c r="D103" s="158"/>
      <c r="E103" s="158"/>
      <c r="F103" s="119"/>
      <c r="I103" s="114"/>
    </row>
    <row r="104" spans="1:9">
      <c r="A104" s="115"/>
      <c r="C104" s="159" t="s">
        <v>11</v>
      </c>
      <c r="D104" s="159"/>
      <c r="E104" s="159"/>
      <c r="F104" s="34"/>
      <c r="I104" s="113" t="s">
        <v>12</v>
      </c>
    </row>
    <row r="105" spans="1:9" ht="15.75" customHeight="1">
      <c r="A105" s="35"/>
      <c r="C105" s="12"/>
      <c r="D105" s="12"/>
      <c r="G105" s="12"/>
      <c r="H105" s="12"/>
    </row>
    <row r="106" spans="1:9" ht="15.75" customHeight="1">
      <c r="B106" s="112" t="s">
        <v>13</v>
      </c>
      <c r="C106" s="160"/>
      <c r="D106" s="160"/>
      <c r="E106" s="160"/>
      <c r="F106" s="120"/>
      <c r="I106" s="114"/>
    </row>
    <row r="107" spans="1:9" ht="15.75" customHeight="1">
      <c r="A107" s="115"/>
      <c r="C107" s="161" t="s">
        <v>11</v>
      </c>
      <c r="D107" s="161"/>
      <c r="E107" s="161"/>
      <c r="F107" s="115"/>
      <c r="I107" s="113" t="s">
        <v>12</v>
      </c>
    </row>
    <row r="108" spans="1:9" ht="15.75">
      <c r="A108" s="4" t="s">
        <v>14</v>
      </c>
    </row>
    <row r="109" spans="1:9">
      <c r="A109" s="154" t="s">
        <v>15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45" customHeight="1">
      <c r="A110" s="155" t="s">
        <v>16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30" customHeight="1">
      <c r="A111" s="155" t="s">
        <v>17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30" customHeight="1">
      <c r="A112" s="155" t="s">
        <v>21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" customHeight="1">
      <c r="A113" s="155" t="s">
        <v>20</v>
      </c>
      <c r="B113" s="155"/>
      <c r="C113" s="155"/>
      <c r="D113" s="155"/>
      <c r="E113" s="155"/>
      <c r="F113" s="155"/>
      <c r="G113" s="155"/>
      <c r="H113" s="155"/>
      <c r="I113" s="155"/>
    </row>
  </sheetData>
  <autoFilter ref="I12:I62"/>
  <mergeCells count="28">
    <mergeCell ref="R67:U67"/>
    <mergeCell ref="A81:I81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7:I47"/>
    <mergeCell ref="A58:I58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223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94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42582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hidden="1" customHeight="1">
      <c r="A19" s="39"/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v>0</v>
      </c>
      <c r="J19" s="32"/>
      <c r="K19" s="8"/>
      <c r="L19" s="8"/>
      <c r="M19" s="8"/>
    </row>
    <row r="20" spans="1:13" ht="15.75" customHeight="1">
      <c r="A20" s="39">
        <v>4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customHeight="1">
      <c r="A21" s="39">
        <v>5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hidden="1" customHeight="1">
      <c r="A22" s="39"/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v>0</v>
      </c>
      <c r="J22" s="32"/>
      <c r="K22" s="8"/>
      <c r="L22" s="8"/>
      <c r="M22" s="8"/>
    </row>
    <row r="23" spans="1:13" ht="15.75" hidden="1" customHeight="1">
      <c r="A23" s="39"/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v>0</v>
      </c>
      <c r="J23" s="32"/>
      <c r="K23" s="8"/>
      <c r="L23" s="8"/>
      <c r="M23" s="8"/>
    </row>
    <row r="24" spans="1:13" ht="15.75" hidden="1" customHeight="1">
      <c r="A24" s="39"/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v>0</v>
      </c>
      <c r="J24" s="32"/>
      <c r="K24" s="8"/>
      <c r="L24" s="8"/>
      <c r="M24" s="8"/>
    </row>
    <row r="25" spans="1:13" ht="15.75" hidden="1" customHeight="1">
      <c r="A25" s="39"/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v>0</v>
      </c>
      <c r="J25" s="32"/>
      <c r="K25" s="8"/>
      <c r="L25" s="8"/>
      <c r="M25" s="8"/>
    </row>
    <row r="26" spans="1:13" ht="15.75" hidden="1" customHeight="1">
      <c r="A26" s="39"/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v>0</v>
      </c>
      <c r="J26" s="32"/>
      <c r="K26" s="8"/>
      <c r="L26" s="8"/>
      <c r="M26" s="8"/>
    </row>
    <row r="27" spans="1:13" ht="15.75" customHeight="1">
      <c r="A27" s="39">
        <v>6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7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customHeight="1">
      <c r="A31" s="39">
        <v>8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1">SUM(F31*G31/1000)</f>
        <v>5.7627569999999997</v>
      </c>
      <c r="I31" s="16">
        <f t="shared" ref="I31:I35" si="2">F31/6*G31</f>
        <v>960.45949999999993</v>
      </c>
      <c r="J31" s="32"/>
      <c r="K31" s="8"/>
      <c r="L31" s="8"/>
      <c r="M31" s="8"/>
    </row>
    <row r="32" spans="1:13" ht="31.5" customHeight="1">
      <c r="A32" s="39">
        <v>9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1"/>
        <v>1.7575833600000001</v>
      </c>
      <c r="I32" s="16">
        <f t="shared" si="2"/>
        <v>292.93056000000007</v>
      </c>
      <c r="J32" s="32"/>
      <c r="K32" s="8"/>
      <c r="L32" s="8"/>
      <c r="M32" s="8"/>
    </row>
    <row r="33" spans="1:14" ht="15.75" hidden="1" customHeight="1">
      <c r="A33" s="39"/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1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customHeight="1">
      <c r="A34" s="39">
        <v>10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2"/>
        <v>1078.6914999999999</v>
      </c>
      <c r="J34" s="32"/>
      <c r="K34" s="8"/>
    </row>
    <row r="35" spans="1:14" ht="15.75" customHeight="1">
      <c r="A35" s="39">
        <v>11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2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1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1"/>
        <v>2.4294600000000002</v>
      </c>
      <c r="I37" s="16">
        <v>0</v>
      </c>
      <c r="J37" s="33"/>
    </row>
    <row r="38" spans="1:14" ht="15.75" hidden="1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hidden="1" customHeight="1">
      <c r="A39" s="39">
        <v>8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3">SUM(F39*G39/1000)</f>
        <v>13.060799999999999</v>
      </c>
      <c r="I39" s="16">
        <f t="shared" ref="I39:I45" si="4">F39/6*G39</f>
        <v>2176.7999999999997</v>
      </c>
      <c r="J39" s="33"/>
      <c r="L39" s="25"/>
      <c r="M39" s="26"/>
      <c r="N39" s="27"/>
    </row>
    <row r="40" spans="1:14" ht="15.75" hidden="1" customHeight="1">
      <c r="A40" s="39">
        <v>9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4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hidden="1" customHeight="1">
      <c r="A42" s="39">
        <v>10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3"/>
        <v>8.9156542499999993</v>
      </c>
      <c r="I42" s="16">
        <f t="shared" si="4"/>
        <v>1485.9423750000001</v>
      </c>
      <c r="J42" s="33"/>
      <c r="L42" s="25"/>
      <c r="M42" s="26"/>
      <c r="N42" s="27"/>
    </row>
    <row r="43" spans="1:14" ht="47.25" hidden="1" customHeight="1">
      <c r="A43" s="39">
        <v>11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3"/>
        <v>17.69605425</v>
      </c>
      <c r="I43" s="16">
        <f t="shared" si="4"/>
        <v>2949.3423749999997</v>
      </c>
      <c r="J43" s="33"/>
      <c r="L43" s="25"/>
      <c r="M43" s="26"/>
      <c r="N43" s="27"/>
    </row>
    <row r="44" spans="1:14" ht="15.75" hidden="1" customHeight="1">
      <c r="A44" s="39">
        <v>12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3"/>
        <v>1.6807418999999999</v>
      </c>
      <c r="I44" s="16">
        <f t="shared" si="4"/>
        <v>280.12364999999994</v>
      </c>
      <c r="J44" s="33"/>
      <c r="L44" s="25"/>
      <c r="M44" s="26"/>
      <c r="N44" s="27"/>
    </row>
    <row r="45" spans="1:14" ht="15.75" hidden="1" customHeight="1">
      <c r="A45" s="39">
        <v>13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3"/>
        <v>0.76775400000000005</v>
      </c>
      <c r="I45" s="16">
        <f t="shared" si="4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hidden="1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hidden="1" customHeight="1">
      <c r="A48" s="39"/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5">SUM(F48*G48/1000)</f>
        <v>1.8697176000000002</v>
      </c>
      <c r="I48" s="16">
        <v>0</v>
      </c>
      <c r="J48" s="33"/>
      <c r="L48" s="25"/>
      <c r="M48" s="26"/>
      <c r="N48" s="27"/>
    </row>
    <row r="49" spans="1:22" ht="15.75" hidden="1" customHeight="1">
      <c r="A49" s="39"/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5"/>
        <v>4.8317880000000001E-2</v>
      </c>
      <c r="I49" s="16">
        <v>0</v>
      </c>
      <c r="J49" s="33"/>
      <c r="L49" s="25"/>
      <c r="M49" s="26"/>
      <c r="N49" s="27"/>
    </row>
    <row r="50" spans="1:22" ht="15.75" hidden="1" customHeight="1">
      <c r="A50" s="39"/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5"/>
        <v>1.2847600399999999</v>
      </c>
      <c r="I50" s="16">
        <v>0</v>
      </c>
      <c r="J50" s="33"/>
      <c r="L50" s="25"/>
      <c r="M50" s="26"/>
      <c r="N50" s="27"/>
    </row>
    <row r="51" spans="1:22" ht="15.75" hidden="1" customHeight="1">
      <c r="A51" s="39"/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5"/>
        <v>2.95001472</v>
      </c>
      <c r="I51" s="16">
        <v>0</v>
      </c>
      <c r="J51" s="33"/>
      <c r="L51" s="25"/>
      <c r="M51" s="26"/>
      <c r="N51" s="27"/>
    </row>
    <row r="52" spans="1:22" ht="15.75" hidden="1" customHeight="1">
      <c r="A52" s="39"/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v>0</v>
      </c>
      <c r="J52" s="33"/>
      <c r="L52" s="25"/>
      <c r="M52" s="26"/>
      <c r="N52" s="27"/>
    </row>
    <row r="53" spans="1:22" ht="15.75" hidden="1" customHeight="1">
      <c r="A53" s="39">
        <v>14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hidden="1" customHeight="1">
      <c r="A54" s="39"/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v>0</v>
      </c>
      <c r="J54" s="33"/>
      <c r="L54" s="25"/>
      <c r="M54" s="26"/>
      <c r="N54" s="27"/>
    </row>
    <row r="55" spans="1:22" ht="31.5" hidden="1" customHeight="1">
      <c r="A55" s="39"/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v>0</v>
      </c>
      <c r="J55" s="33"/>
      <c r="L55" s="25"/>
      <c r="M55" s="26"/>
      <c r="N55" s="27"/>
    </row>
    <row r="56" spans="1:22" ht="15.75" hidden="1" customHeight="1">
      <c r="A56" s="39"/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5"/>
        <v>0.1208424</v>
      </c>
      <c r="I56" s="16">
        <v>0</v>
      </c>
      <c r="J56" s="33"/>
      <c r="L56" s="25"/>
      <c r="M56" s="26"/>
      <c r="N56" s="27"/>
    </row>
    <row r="57" spans="1:22" ht="15.75" hidden="1" customHeight="1">
      <c r="A57" s="39">
        <v>15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175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hidden="1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hidden="1" customHeight="1">
      <c r="A60" s="39">
        <v>16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12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hidden="1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9">
        <v>18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6">SUM(F65*G65/1000)</f>
        <v>2.3774000000000002</v>
      </c>
      <c r="I65" s="16">
        <f>G65*2</f>
        <v>475.48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6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9"/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6"/>
        <v>30.133587299999999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9"/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6"/>
        <v>2.3466170700000002</v>
      </c>
      <c r="I68" s="16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9"/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v>0</v>
      </c>
    </row>
    <row r="70" spans="1:21" ht="15.75" hidden="1" customHeight="1">
      <c r="A70" s="39"/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6"/>
        <v>0.36696200000000001</v>
      </c>
      <c r="I70" s="16">
        <v>0</v>
      </c>
    </row>
    <row r="71" spans="1:21" ht="15.75" hidden="1" customHeight="1">
      <c r="A71" s="39"/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6"/>
        <v>0.342366</v>
      </c>
      <c r="I71" s="16">
        <v>0</v>
      </c>
    </row>
    <row r="72" spans="1:21" ht="15.75" hidden="1" customHeight="1">
      <c r="A72" s="39"/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6"/>
        <v>0.31992000000000004</v>
      </c>
      <c r="I72" s="16">
        <v>0</v>
      </c>
    </row>
    <row r="73" spans="1:21" ht="15.75" hidden="1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hidden="1" customHeight="1">
      <c r="A74" s="39"/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6"/>
        <v>0.10724600000000001</v>
      </c>
      <c r="I74" s="16">
        <v>0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6"/>
        <v>1.474925</v>
      </c>
      <c r="I78" s="16">
        <v>0</v>
      </c>
    </row>
    <row r="79" spans="1:21" ht="15.75" hidden="1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hidden="1" customHeight="1">
      <c r="A80" s="39"/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v>0</v>
      </c>
    </row>
    <row r="81" spans="1:9" ht="15" customHeight="1">
      <c r="A81" s="162" t="s">
        <v>174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13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14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I16+I17+I18+I20+I21+I27+I28+I31+I32+I34+I35+I63+I82+I83</f>
        <v>33623.418792666671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15.75" customHeight="1">
      <c r="A86" s="39">
        <v>15</v>
      </c>
      <c r="B86" s="83" t="s">
        <v>150</v>
      </c>
      <c r="C86" s="97" t="s">
        <v>127</v>
      </c>
      <c r="D86" s="18"/>
      <c r="E86" s="23"/>
      <c r="F86" s="16">
        <v>552</v>
      </c>
      <c r="G86" s="16">
        <v>50.68</v>
      </c>
      <c r="H86" s="143">
        <f>G86*F86/1000</f>
        <v>27.975360000000002</v>
      </c>
      <c r="I86" s="16">
        <f>G86*46</f>
        <v>2331.2800000000002</v>
      </c>
    </row>
    <row r="87" spans="1:9" ht="15.75" customHeight="1">
      <c r="A87" s="39">
        <v>16</v>
      </c>
      <c r="B87" s="83" t="s">
        <v>160</v>
      </c>
      <c r="C87" s="97" t="s">
        <v>97</v>
      </c>
      <c r="D87" s="18"/>
      <c r="E87" s="23"/>
      <c r="F87" s="16">
        <v>10</v>
      </c>
      <c r="G87" s="16">
        <v>185.81</v>
      </c>
      <c r="H87" s="143">
        <f>G87*F87/1000</f>
        <v>1.8580999999999999</v>
      </c>
      <c r="I87" s="16">
        <f>G87*3</f>
        <v>557.43000000000006</v>
      </c>
    </row>
    <row r="88" spans="1:9" ht="31.5" customHeight="1">
      <c r="A88" s="39">
        <v>17</v>
      </c>
      <c r="B88" s="122" t="s">
        <v>196</v>
      </c>
      <c r="C88" s="39" t="s">
        <v>90</v>
      </c>
      <c r="D88" s="18"/>
      <c r="E88" s="23"/>
      <c r="F88" s="16">
        <v>2.5</v>
      </c>
      <c r="G88" s="16">
        <v>1272</v>
      </c>
      <c r="H88" s="143">
        <f t="shared" ref="H88" si="7">G88*F88/1000</f>
        <v>3.18</v>
      </c>
      <c r="I88" s="16">
        <f>G88*2</f>
        <v>2544</v>
      </c>
    </row>
    <row r="89" spans="1:9" ht="16.5" customHeight="1">
      <c r="A89" s="39"/>
      <c r="B89" s="63" t="s">
        <v>52</v>
      </c>
      <c r="C89" s="59"/>
      <c r="D89" s="73"/>
      <c r="E89" s="59">
        <v>1</v>
      </c>
      <c r="F89" s="59"/>
      <c r="G89" s="59"/>
      <c r="H89" s="59"/>
      <c r="I89" s="41">
        <f>SUM(I86:I88)</f>
        <v>5432.71</v>
      </c>
    </row>
    <row r="90" spans="1:9" ht="15.75" customHeight="1">
      <c r="A90" s="39"/>
      <c r="B90" s="69" t="s">
        <v>85</v>
      </c>
      <c r="C90" s="19"/>
      <c r="D90" s="19"/>
      <c r="E90" s="60"/>
      <c r="F90" s="60"/>
      <c r="G90" s="61"/>
      <c r="H90" s="61"/>
      <c r="I90" s="22">
        <v>0</v>
      </c>
    </row>
    <row r="91" spans="1:9" ht="15.75" customHeight="1">
      <c r="A91" s="74"/>
      <c r="B91" s="64" t="s">
        <v>53</v>
      </c>
      <c r="C91" s="47"/>
      <c r="D91" s="47"/>
      <c r="E91" s="47"/>
      <c r="F91" s="47"/>
      <c r="G91" s="47"/>
      <c r="H91" s="47"/>
      <c r="I91" s="62">
        <f>I84+I89</f>
        <v>39056.12879266667</v>
      </c>
    </row>
    <row r="92" spans="1:9" ht="15.75" customHeight="1">
      <c r="A92" s="165" t="s">
        <v>224</v>
      </c>
      <c r="B92" s="165"/>
      <c r="C92" s="165"/>
      <c r="D92" s="165"/>
      <c r="E92" s="165"/>
      <c r="F92" s="165"/>
      <c r="G92" s="165"/>
      <c r="H92" s="165"/>
      <c r="I92" s="165"/>
    </row>
    <row r="93" spans="1:9" ht="15.75">
      <c r="A93" s="116"/>
      <c r="B93" s="166" t="s">
        <v>225</v>
      </c>
      <c r="C93" s="166"/>
      <c r="D93" s="166"/>
      <c r="E93" s="166"/>
      <c r="F93" s="166"/>
      <c r="G93" s="166"/>
      <c r="H93" s="121"/>
      <c r="I93" s="3"/>
    </row>
    <row r="94" spans="1:9">
      <c r="A94" s="115"/>
      <c r="B94" s="159" t="s">
        <v>6</v>
      </c>
      <c r="C94" s="159"/>
      <c r="D94" s="159"/>
      <c r="E94" s="159"/>
      <c r="F94" s="159"/>
      <c r="G94" s="159"/>
      <c r="H94" s="34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67" t="s">
        <v>7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>
      <c r="A97" s="167" t="s">
        <v>8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56" t="s">
        <v>64</v>
      </c>
      <c r="B98" s="156"/>
      <c r="C98" s="156"/>
      <c r="D98" s="156"/>
      <c r="E98" s="156"/>
      <c r="F98" s="156"/>
      <c r="G98" s="156"/>
      <c r="H98" s="156"/>
      <c r="I98" s="156"/>
    </row>
    <row r="99" spans="1:9" ht="15.75">
      <c r="A99" s="11"/>
    </row>
    <row r="100" spans="1:9" ht="15.75">
      <c r="A100" s="157" t="s">
        <v>9</v>
      </c>
      <c r="B100" s="157"/>
      <c r="C100" s="157"/>
      <c r="D100" s="157"/>
      <c r="E100" s="157"/>
      <c r="F100" s="157"/>
      <c r="G100" s="157"/>
      <c r="H100" s="157"/>
      <c r="I100" s="157"/>
    </row>
    <row r="101" spans="1:9" ht="15.75" customHeight="1">
      <c r="A101" s="4"/>
    </row>
    <row r="102" spans="1:9" ht="15.75">
      <c r="B102" s="112" t="s">
        <v>10</v>
      </c>
      <c r="C102" s="158" t="s">
        <v>173</v>
      </c>
      <c r="D102" s="158"/>
      <c r="E102" s="158"/>
      <c r="F102" s="119"/>
      <c r="I102" s="114"/>
    </row>
    <row r="103" spans="1:9">
      <c r="A103" s="115"/>
      <c r="C103" s="159" t="s">
        <v>11</v>
      </c>
      <c r="D103" s="159"/>
      <c r="E103" s="159"/>
      <c r="F103" s="34"/>
      <c r="I103" s="113" t="s">
        <v>12</v>
      </c>
    </row>
    <row r="104" spans="1:9" ht="15.75" customHeight="1">
      <c r="A104" s="35"/>
      <c r="C104" s="12"/>
      <c r="D104" s="12"/>
      <c r="G104" s="12"/>
      <c r="H104" s="12"/>
    </row>
    <row r="105" spans="1:9" ht="15.75" customHeight="1">
      <c r="B105" s="112" t="s">
        <v>13</v>
      </c>
      <c r="C105" s="160"/>
      <c r="D105" s="160"/>
      <c r="E105" s="160"/>
      <c r="F105" s="120"/>
      <c r="I105" s="114"/>
    </row>
    <row r="106" spans="1:9" ht="15.75" customHeight="1">
      <c r="A106" s="115"/>
      <c r="C106" s="161" t="s">
        <v>11</v>
      </c>
      <c r="D106" s="161"/>
      <c r="E106" s="161"/>
      <c r="F106" s="115"/>
      <c r="I106" s="113" t="s">
        <v>12</v>
      </c>
    </row>
    <row r="107" spans="1:9" ht="15.75">
      <c r="A107" s="4" t="s">
        <v>14</v>
      </c>
    </row>
    <row r="108" spans="1:9">
      <c r="A108" s="154" t="s">
        <v>15</v>
      </c>
      <c r="B108" s="154"/>
      <c r="C108" s="154"/>
      <c r="D108" s="154"/>
      <c r="E108" s="154"/>
      <c r="F108" s="154"/>
      <c r="G108" s="154"/>
      <c r="H108" s="154"/>
      <c r="I108" s="154"/>
    </row>
    <row r="109" spans="1:9" ht="45" customHeight="1">
      <c r="A109" s="155" t="s">
        <v>16</v>
      </c>
      <c r="B109" s="155"/>
      <c r="C109" s="155"/>
      <c r="D109" s="155"/>
      <c r="E109" s="155"/>
      <c r="F109" s="155"/>
      <c r="G109" s="155"/>
      <c r="H109" s="155"/>
      <c r="I109" s="155"/>
    </row>
    <row r="110" spans="1:9" ht="30" customHeight="1">
      <c r="A110" s="155" t="s">
        <v>17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30" customHeight="1">
      <c r="A111" s="155" t="s">
        <v>21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15" customHeight="1">
      <c r="A112" s="155" t="s">
        <v>20</v>
      </c>
      <c r="B112" s="155"/>
      <c r="C112" s="155"/>
      <c r="D112" s="155"/>
      <c r="E112" s="155"/>
      <c r="F112" s="155"/>
      <c r="G112" s="155"/>
      <c r="H112" s="155"/>
      <c r="I112" s="155"/>
    </row>
  </sheetData>
  <autoFilter ref="I12:I62"/>
  <mergeCells count="28">
    <mergeCell ref="R67:U67"/>
    <mergeCell ref="A81:I81"/>
    <mergeCell ref="A3:I3"/>
    <mergeCell ref="A4:I4"/>
    <mergeCell ref="A5:I5"/>
    <mergeCell ref="A8:I8"/>
    <mergeCell ref="A10:I10"/>
    <mergeCell ref="A14:I14"/>
    <mergeCell ref="A98:I98"/>
    <mergeCell ref="A15:I15"/>
    <mergeCell ref="A29:I29"/>
    <mergeCell ref="A47:I47"/>
    <mergeCell ref="A58:I58"/>
    <mergeCell ref="A92:I92"/>
    <mergeCell ref="B93:G93"/>
    <mergeCell ref="B94:G94"/>
    <mergeCell ref="A96:I96"/>
    <mergeCell ref="A97:I9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226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65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42613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hidden="1" customHeight="1">
      <c r="A19" s="39"/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v>0</v>
      </c>
      <c r="J19" s="32"/>
      <c r="K19" s="8"/>
      <c r="L19" s="8"/>
      <c r="M19" s="8"/>
    </row>
    <row r="20" spans="1:13" ht="15.75" customHeight="1">
      <c r="A20" s="39">
        <v>4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hidden="1" customHeight="1">
      <c r="A21" s="39">
        <v>5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hidden="1" customHeight="1">
      <c r="A22" s="39"/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v>0</v>
      </c>
      <c r="J22" s="32"/>
      <c r="K22" s="8"/>
      <c r="L22" s="8"/>
      <c r="M22" s="8"/>
    </row>
    <row r="23" spans="1:13" ht="15.75" hidden="1" customHeight="1">
      <c r="A23" s="39"/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v>0</v>
      </c>
      <c r="J23" s="32"/>
      <c r="K23" s="8"/>
      <c r="L23" s="8"/>
      <c r="M23" s="8"/>
    </row>
    <row r="24" spans="1:13" ht="15.75" hidden="1" customHeight="1">
      <c r="A24" s="39"/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v>0</v>
      </c>
      <c r="J24" s="32"/>
      <c r="K24" s="8"/>
      <c r="L24" s="8"/>
      <c r="M24" s="8"/>
    </row>
    <row r="25" spans="1:13" ht="15.75" hidden="1" customHeight="1">
      <c r="A25" s="39"/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v>0</v>
      </c>
      <c r="J25" s="32"/>
      <c r="K25" s="8"/>
      <c r="L25" s="8"/>
      <c r="M25" s="8"/>
    </row>
    <row r="26" spans="1:13" ht="15.75" hidden="1" customHeight="1">
      <c r="A26" s="39"/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v>0</v>
      </c>
      <c r="J26" s="32"/>
      <c r="K26" s="8"/>
      <c r="L26" s="8"/>
      <c r="M26" s="8"/>
    </row>
    <row r="27" spans="1:13" ht="15.75" customHeight="1">
      <c r="A27" s="39">
        <v>5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6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customHeight="1">
      <c r="A31" s="39">
        <v>7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1">SUM(F31*G31/1000)</f>
        <v>5.7627569999999997</v>
      </c>
      <c r="I31" s="16">
        <f t="shared" ref="I31:I35" si="2">F31/6*G31</f>
        <v>960.45949999999993</v>
      </c>
      <c r="J31" s="32"/>
      <c r="K31" s="8"/>
      <c r="L31" s="8"/>
      <c r="M31" s="8"/>
    </row>
    <row r="32" spans="1:13" ht="31.5" customHeight="1">
      <c r="A32" s="39">
        <v>8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1"/>
        <v>1.7575833600000001</v>
      </c>
      <c r="I32" s="16">
        <f t="shared" si="2"/>
        <v>292.93056000000007</v>
      </c>
      <c r="J32" s="32"/>
      <c r="K32" s="8"/>
      <c r="L32" s="8"/>
      <c r="M32" s="8"/>
    </row>
    <row r="33" spans="1:14" ht="15.75" hidden="1" customHeight="1">
      <c r="A33" s="39"/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1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customHeight="1">
      <c r="A34" s="39">
        <v>9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2"/>
        <v>1078.6914999999999</v>
      </c>
      <c r="J34" s="32"/>
      <c r="K34" s="8"/>
    </row>
    <row r="35" spans="1:14" ht="15.75" customHeight="1">
      <c r="A35" s="39">
        <v>10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2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1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1"/>
        <v>2.4294600000000002</v>
      </c>
      <c r="I37" s="16">
        <v>0</v>
      </c>
      <c r="J37" s="33"/>
    </row>
    <row r="38" spans="1:14" ht="15.75" hidden="1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hidden="1" customHeight="1">
      <c r="A39" s="39">
        <v>8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3">SUM(F39*G39/1000)</f>
        <v>13.060799999999999</v>
      </c>
      <c r="I39" s="16">
        <f t="shared" ref="I39:I45" si="4">F39/6*G39</f>
        <v>2176.7999999999997</v>
      </c>
      <c r="J39" s="33"/>
      <c r="L39" s="25"/>
      <c r="M39" s="26"/>
      <c r="N39" s="27"/>
    </row>
    <row r="40" spans="1:14" ht="15.75" hidden="1" customHeight="1">
      <c r="A40" s="39">
        <v>9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4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hidden="1" customHeight="1">
      <c r="A42" s="39">
        <v>10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3"/>
        <v>8.9156542499999993</v>
      </c>
      <c r="I42" s="16">
        <f t="shared" si="4"/>
        <v>1485.9423750000001</v>
      </c>
      <c r="J42" s="33"/>
      <c r="L42" s="25"/>
      <c r="M42" s="26"/>
      <c r="N42" s="27"/>
    </row>
    <row r="43" spans="1:14" ht="47.25" hidden="1" customHeight="1">
      <c r="A43" s="39">
        <v>11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3"/>
        <v>17.69605425</v>
      </c>
      <c r="I43" s="16">
        <f t="shared" si="4"/>
        <v>2949.3423749999997</v>
      </c>
      <c r="J43" s="33"/>
      <c r="L43" s="25"/>
      <c r="M43" s="26"/>
      <c r="N43" s="27"/>
    </row>
    <row r="44" spans="1:14" ht="15.75" hidden="1" customHeight="1">
      <c r="A44" s="39">
        <v>12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3"/>
        <v>1.6807418999999999</v>
      </c>
      <c r="I44" s="16">
        <f t="shared" si="4"/>
        <v>280.12364999999994</v>
      </c>
      <c r="J44" s="33"/>
      <c r="L44" s="25"/>
      <c r="M44" s="26"/>
      <c r="N44" s="27"/>
    </row>
    <row r="45" spans="1:14" ht="15.75" hidden="1" customHeight="1">
      <c r="A45" s="39">
        <v>13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3"/>
        <v>0.76775400000000005</v>
      </c>
      <c r="I45" s="16">
        <f t="shared" si="4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hidden="1" customHeight="1">
      <c r="A48" s="39"/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5">SUM(F48*G48/1000)</f>
        <v>1.8697176000000002</v>
      </c>
      <c r="I48" s="16">
        <v>0</v>
      </c>
      <c r="J48" s="33"/>
      <c r="L48" s="25"/>
      <c r="M48" s="26"/>
      <c r="N48" s="27"/>
    </row>
    <row r="49" spans="1:22" ht="15.75" hidden="1" customHeight="1">
      <c r="A49" s="39"/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5"/>
        <v>4.8317880000000001E-2</v>
      </c>
      <c r="I49" s="16">
        <v>0</v>
      </c>
      <c r="J49" s="33"/>
      <c r="L49" s="25"/>
      <c r="M49" s="26"/>
      <c r="N49" s="27"/>
    </row>
    <row r="50" spans="1:22" ht="15.75" hidden="1" customHeight="1">
      <c r="A50" s="39"/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5"/>
        <v>1.2847600399999999</v>
      </c>
      <c r="I50" s="16">
        <v>0</v>
      </c>
      <c r="J50" s="33"/>
      <c r="L50" s="25"/>
      <c r="M50" s="26"/>
      <c r="N50" s="27"/>
    </row>
    <row r="51" spans="1:22" ht="15.75" hidden="1" customHeight="1">
      <c r="A51" s="39"/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5"/>
        <v>2.95001472</v>
      </c>
      <c r="I51" s="16">
        <v>0</v>
      </c>
      <c r="J51" s="33"/>
      <c r="L51" s="25"/>
      <c r="M51" s="26"/>
      <c r="N51" s="27"/>
    </row>
    <row r="52" spans="1:22" ht="15.75" hidden="1" customHeight="1">
      <c r="A52" s="39"/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v>0</v>
      </c>
      <c r="J52" s="33"/>
      <c r="L52" s="25"/>
      <c r="M52" s="26"/>
      <c r="N52" s="27"/>
    </row>
    <row r="53" spans="1:22" ht="15.75" hidden="1" customHeight="1">
      <c r="A53" s="39">
        <v>14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hidden="1" customHeight="1">
      <c r="A54" s="39"/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v>0</v>
      </c>
      <c r="J54" s="33"/>
      <c r="L54" s="25"/>
      <c r="M54" s="26"/>
      <c r="N54" s="27"/>
    </row>
    <row r="55" spans="1:22" ht="31.5" hidden="1" customHeight="1">
      <c r="A55" s="39"/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v>0</v>
      </c>
      <c r="J55" s="33"/>
      <c r="L55" s="25"/>
      <c r="M55" s="26"/>
      <c r="N55" s="27"/>
    </row>
    <row r="56" spans="1:22" ht="15.75" hidden="1" customHeight="1">
      <c r="A56" s="39"/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5"/>
        <v>0.1208424</v>
      </c>
      <c r="I56" s="16">
        <v>0</v>
      </c>
      <c r="J56" s="33"/>
      <c r="L56" s="25"/>
      <c r="M56" s="26"/>
      <c r="N56" s="27"/>
    </row>
    <row r="57" spans="1:22" ht="15.75" customHeight="1">
      <c r="A57" s="39">
        <v>11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171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hidden="1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hidden="1" customHeight="1">
      <c r="A60" s="39">
        <v>16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12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hidden="1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9">
        <v>18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6">SUM(F65*G65/1000)</f>
        <v>2.3774000000000002</v>
      </c>
      <c r="I65" s="16">
        <f>G65*2</f>
        <v>475.48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6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9"/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6"/>
        <v>30.133587299999999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9"/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6"/>
        <v>2.3466170700000002</v>
      </c>
      <c r="I68" s="16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9"/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v>0</v>
      </c>
    </row>
    <row r="70" spans="1:21" ht="15.75" hidden="1" customHeight="1">
      <c r="A70" s="39"/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6"/>
        <v>0.36696200000000001</v>
      </c>
      <c r="I70" s="16">
        <v>0</v>
      </c>
    </row>
    <row r="71" spans="1:21" ht="15.75" hidden="1" customHeight="1">
      <c r="A71" s="39"/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6"/>
        <v>0.342366</v>
      </c>
      <c r="I71" s="16">
        <v>0</v>
      </c>
    </row>
    <row r="72" spans="1:21" ht="15.75" hidden="1" customHeight="1">
      <c r="A72" s="39"/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6"/>
        <v>0.31992000000000004</v>
      </c>
      <c r="I72" s="16">
        <v>0</v>
      </c>
    </row>
    <row r="73" spans="1:21" ht="15.75" hidden="1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hidden="1" customHeight="1">
      <c r="A74" s="39"/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6"/>
        <v>0.10724600000000001</v>
      </c>
      <c r="I74" s="16">
        <v>0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6"/>
        <v>1.474925</v>
      </c>
      <c r="I78" s="16">
        <v>0</v>
      </c>
    </row>
    <row r="79" spans="1:21" ht="15.75" hidden="1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hidden="1" customHeight="1">
      <c r="A80" s="39"/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v>0</v>
      </c>
    </row>
    <row r="81" spans="1:9" ht="15" customHeight="1">
      <c r="A81" s="162" t="s">
        <v>172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13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14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I16+I17+I18+I20+I27+I28+I31+I32+I34+I35+I57+I63+I82+I83</f>
        <v>39936.080982666666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15.75" customHeight="1">
      <c r="A86" s="39">
        <v>15</v>
      </c>
      <c r="B86" s="83" t="s">
        <v>150</v>
      </c>
      <c r="C86" s="97" t="s">
        <v>127</v>
      </c>
      <c r="D86" s="18"/>
      <c r="E86" s="23"/>
      <c r="F86" s="16">
        <v>552</v>
      </c>
      <c r="G86" s="16">
        <v>50.68</v>
      </c>
      <c r="H86" s="143">
        <f>G86*F86/1000</f>
        <v>27.975360000000002</v>
      </c>
      <c r="I86" s="16">
        <f>G86*46</f>
        <v>2331.2800000000002</v>
      </c>
    </row>
    <row r="87" spans="1:9" ht="31.5" customHeight="1">
      <c r="A87" s="39">
        <v>16</v>
      </c>
      <c r="B87" s="83" t="s">
        <v>188</v>
      </c>
      <c r="C87" s="97" t="s">
        <v>189</v>
      </c>
      <c r="D87" s="18"/>
      <c r="E87" s="23"/>
      <c r="F87" s="16">
        <v>3</v>
      </c>
      <c r="G87" s="16">
        <v>559.62</v>
      </c>
      <c r="H87" s="143">
        <f t="shared" ref="H87:H90" si="7">G87*F87/1000</f>
        <v>1.67886</v>
      </c>
      <c r="I87" s="16">
        <f>G87</f>
        <v>559.62</v>
      </c>
    </row>
    <row r="88" spans="1:9" ht="31.5" customHeight="1">
      <c r="A88" s="39">
        <v>17</v>
      </c>
      <c r="B88" s="83" t="s">
        <v>87</v>
      </c>
      <c r="C88" s="97" t="s">
        <v>127</v>
      </c>
      <c r="D88" s="18"/>
      <c r="E88" s="23"/>
      <c r="F88" s="16">
        <v>2</v>
      </c>
      <c r="G88" s="16">
        <v>79.09</v>
      </c>
      <c r="H88" s="143">
        <f t="shared" si="7"/>
        <v>0.15818000000000002</v>
      </c>
      <c r="I88" s="16">
        <f>G88</f>
        <v>79.09</v>
      </c>
    </row>
    <row r="89" spans="1:9" ht="31.5" customHeight="1">
      <c r="A89" s="39">
        <v>18</v>
      </c>
      <c r="B89" s="122" t="s">
        <v>196</v>
      </c>
      <c r="C89" s="39" t="s">
        <v>90</v>
      </c>
      <c r="D89" s="18"/>
      <c r="E89" s="23"/>
      <c r="F89" s="16">
        <v>2.5</v>
      </c>
      <c r="G89" s="16">
        <v>1272</v>
      </c>
      <c r="H89" s="143">
        <f t="shared" si="7"/>
        <v>3.18</v>
      </c>
      <c r="I89" s="16">
        <f>G89*0.5</f>
        <v>636</v>
      </c>
    </row>
    <row r="90" spans="1:9" ht="31.5" customHeight="1">
      <c r="A90" s="39">
        <v>19</v>
      </c>
      <c r="B90" s="122" t="s">
        <v>197</v>
      </c>
      <c r="C90" s="39" t="s">
        <v>90</v>
      </c>
      <c r="D90" s="18"/>
      <c r="E90" s="23"/>
      <c r="F90" s="16">
        <v>30</v>
      </c>
      <c r="G90" s="16">
        <v>1187</v>
      </c>
      <c r="H90" s="143">
        <f t="shared" si="7"/>
        <v>35.61</v>
      </c>
      <c r="I90" s="16">
        <f>G90*30</f>
        <v>35610</v>
      </c>
    </row>
    <row r="91" spans="1:9" ht="31.5" customHeight="1">
      <c r="A91" s="39">
        <v>20</v>
      </c>
      <c r="B91" s="83" t="s">
        <v>198</v>
      </c>
      <c r="C91" s="97" t="s">
        <v>189</v>
      </c>
      <c r="D91" s="18"/>
      <c r="E91" s="23"/>
      <c r="F91" s="16">
        <v>4</v>
      </c>
      <c r="G91" s="16">
        <v>730.54</v>
      </c>
      <c r="H91" s="143">
        <f>G91*F91/1000</f>
        <v>2.9221599999999999</v>
      </c>
      <c r="I91" s="16">
        <f>G91*4</f>
        <v>2922.16</v>
      </c>
    </row>
    <row r="92" spans="1:9" ht="16.5" customHeight="1">
      <c r="A92" s="39"/>
      <c r="B92" s="63" t="s">
        <v>52</v>
      </c>
      <c r="C92" s="59"/>
      <c r="D92" s="73"/>
      <c r="E92" s="59">
        <v>1</v>
      </c>
      <c r="F92" s="59"/>
      <c r="G92" s="59"/>
      <c r="H92" s="59"/>
      <c r="I92" s="41">
        <f>SUM(I86:I91)</f>
        <v>42138.149999999994</v>
      </c>
    </row>
    <row r="93" spans="1:9" ht="15.75" customHeight="1">
      <c r="A93" s="39"/>
      <c r="B93" s="69" t="s">
        <v>85</v>
      </c>
      <c r="C93" s="19"/>
      <c r="D93" s="19"/>
      <c r="E93" s="60"/>
      <c r="F93" s="60"/>
      <c r="G93" s="61"/>
      <c r="H93" s="61"/>
      <c r="I93" s="22">
        <v>0</v>
      </c>
    </row>
    <row r="94" spans="1:9" ht="15.75" customHeight="1">
      <c r="A94" s="74"/>
      <c r="B94" s="64" t="s">
        <v>53</v>
      </c>
      <c r="C94" s="47"/>
      <c r="D94" s="47"/>
      <c r="E94" s="47"/>
      <c r="F94" s="47"/>
      <c r="G94" s="47"/>
      <c r="H94" s="47"/>
      <c r="I94" s="62">
        <f>I84+I92</f>
        <v>82074.230982666661</v>
      </c>
    </row>
    <row r="95" spans="1:9" ht="15.75" customHeight="1">
      <c r="A95" s="165" t="s">
        <v>227</v>
      </c>
      <c r="B95" s="165"/>
      <c r="C95" s="165"/>
      <c r="D95" s="165"/>
      <c r="E95" s="165"/>
      <c r="F95" s="165"/>
      <c r="G95" s="165"/>
      <c r="H95" s="165"/>
      <c r="I95" s="165"/>
    </row>
    <row r="96" spans="1:9" ht="15.75">
      <c r="A96" s="116"/>
      <c r="B96" s="166" t="s">
        <v>228</v>
      </c>
      <c r="C96" s="166"/>
      <c r="D96" s="166"/>
      <c r="E96" s="166"/>
      <c r="F96" s="166"/>
      <c r="G96" s="166"/>
      <c r="H96" s="121"/>
      <c r="I96" s="3"/>
    </row>
    <row r="97" spans="1:9">
      <c r="A97" s="115"/>
      <c r="B97" s="159" t="s">
        <v>6</v>
      </c>
      <c r="C97" s="159"/>
      <c r="D97" s="159"/>
      <c r="E97" s="159"/>
      <c r="F97" s="159"/>
      <c r="G97" s="159"/>
      <c r="H97" s="3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67" t="s">
        <v>7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>
      <c r="A100" s="167" t="s">
        <v>8</v>
      </c>
      <c r="B100" s="167"/>
      <c r="C100" s="167"/>
      <c r="D100" s="167"/>
      <c r="E100" s="167"/>
      <c r="F100" s="167"/>
      <c r="G100" s="167"/>
      <c r="H100" s="167"/>
      <c r="I100" s="167"/>
    </row>
    <row r="101" spans="1:9" ht="15.75">
      <c r="A101" s="156" t="s">
        <v>64</v>
      </c>
      <c r="B101" s="156"/>
      <c r="C101" s="156"/>
      <c r="D101" s="156"/>
      <c r="E101" s="156"/>
      <c r="F101" s="156"/>
      <c r="G101" s="156"/>
      <c r="H101" s="156"/>
      <c r="I101" s="156"/>
    </row>
    <row r="102" spans="1:9" ht="15.75">
      <c r="A102" s="11"/>
    </row>
    <row r="103" spans="1:9" ht="15.75">
      <c r="A103" s="157" t="s">
        <v>9</v>
      </c>
      <c r="B103" s="157"/>
      <c r="C103" s="157"/>
      <c r="D103" s="157"/>
      <c r="E103" s="157"/>
      <c r="F103" s="157"/>
      <c r="G103" s="157"/>
      <c r="H103" s="157"/>
      <c r="I103" s="157"/>
    </row>
    <row r="104" spans="1:9" ht="15.75" customHeight="1">
      <c r="A104" s="4"/>
    </row>
    <row r="105" spans="1:9" ht="15.75">
      <c r="B105" s="112" t="s">
        <v>10</v>
      </c>
      <c r="C105" s="158" t="s">
        <v>173</v>
      </c>
      <c r="D105" s="158"/>
      <c r="E105" s="158"/>
      <c r="F105" s="119"/>
      <c r="I105" s="114"/>
    </row>
    <row r="106" spans="1:9">
      <c r="A106" s="115"/>
      <c r="C106" s="159" t="s">
        <v>11</v>
      </c>
      <c r="D106" s="159"/>
      <c r="E106" s="159"/>
      <c r="F106" s="34"/>
      <c r="I106" s="113" t="s">
        <v>12</v>
      </c>
    </row>
    <row r="107" spans="1:9" ht="15.75" customHeight="1">
      <c r="A107" s="35"/>
      <c r="C107" s="12"/>
      <c r="D107" s="12"/>
      <c r="G107" s="12"/>
      <c r="H107" s="12"/>
    </row>
    <row r="108" spans="1:9" ht="15.75" customHeight="1">
      <c r="B108" s="112" t="s">
        <v>13</v>
      </c>
      <c r="C108" s="160"/>
      <c r="D108" s="160"/>
      <c r="E108" s="160"/>
      <c r="F108" s="120"/>
      <c r="I108" s="114"/>
    </row>
    <row r="109" spans="1:9" ht="15.75" customHeight="1">
      <c r="A109" s="115"/>
      <c r="C109" s="161" t="s">
        <v>11</v>
      </c>
      <c r="D109" s="161"/>
      <c r="E109" s="161"/>
      <c r="F109" s="115"/>
      <c r="I109" s="113" t="s">
        <v>12</v>
      </c>
    </row>
    <row r="110" spans="1:9" ht="15.75">
      <c r="A110" s="4" t="s">
        <v>14</v>
      </c>
    </row>
    <row r="111" spans="1:9">
      <c r="A111" s="154" t="s">
        <v>15</v>
      </c>
      <c r="B111" s="154"/>
      <c r="C111" s="154"/>
      <c r="D111" s="154"/>
      <c r="E111" s="154"/>
      <c r="F111" s="154"/>
      <c r="G111" s="154"/>
      <c r="H111" s="154"/>
      <c r="I111" s="154"/>
    </row>
    <row r="112" spans="1:9" ht="45" customHeight="1">
      <c r="A112" s="155" t="s">
        <v>16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30" customHeight="1">
      <c r="A113" s="155" t="s">
        <v>17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30" customHeight="1">
      <c r="A114" s="155" t="s">
        <v>21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15" customHeight="1">
      <c r="A115" s="155" t="s">
        <v>20</v>
      </c>
      <c r="B115" s="155"/>
      <c r="C115" s="155"/>
      <c r="D115" s="155"/>
      <c r="E115" s="155"/>
      <c r="F115" s="155"/>
      <c r="G115" s="155"/>
      <c r="H115" s="155"/>
      <c r="I115" s="155"/>
    </row>
  </sheetData>
  <autoFilter ref="I12:I62"/>
  <mergeCells count="28">
    <mergeCell ref="R67:U67"/>
    <mergeCell ref="A81:I81"/>
    <mergeCell ref="A3:I3"/>
    <mergeCell ref="A4:I4"/>
    <mergeCell ref="A5:I5"/>
    <mergeCell ref="A8:I8"/>
    <mergeCell ref="A10:I10"/>
    <mergeCell ref="A14:I14"/>
    <mergeCell ref="A101:I101"/>
    <mergeCell ref="A15:I15"/>
    <mergeCell ref="A29:I29"/>
    <mergeCell ref="A47:I47"/>
    <mergeCell ref="A58:I58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7" t="s">
        <v>99</v>
      </c>
      <c r="I1" s="36"/>
      <c r="J1" s="1"/>
      <c r="K1" s="1"/>
      <c r="L1" s="1"/>
      <c r="M1" s="1"/>
    </row>
    <row r="2" spans="1:13" ht="15.75">
      <c r="A2" s="38" t="s">
        <v>68</v>
      </c>
      <c r="J2" s="2"/>
      <c r="K2" s="2"/>
      <c r="L2" s="2"/>
      <c r="M2" s="2"/>
    </row>
    <row r="3" spans="1:13" ht="15.75" customHeight="1">
      <c r="A3" s="172" t="s">
        <v>229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165</v>
      </c>
      <c r="B4" s="173"/>
      <c r="C4" s="173"/>
      <c r="D4" s="173"/>
      <c r="E4" s="173"/>
      <c r="F4" s="173"/>
      <c r="G4" s="173"/>
      <c r="H4" s="173"/>
      <c r="I4" s="173"/>
    </row>
    <row r="5" spans="1:13" ht="15.75">
      <c r="A5" s="172" t="s">
        <v>95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>
      <c r="A6" s="2"/>
      <c r="B6" s="111"/>
      <c r="C6" s="111"/>
      <c r="D6" s="111"/>
      <c r="E6" s="111"/>
      <c r="F6" s="111"/>
      <c r="G6" s="111"/>
      <c r="H6" s="111"/>
      <c r="I6" s="40">
        <v>42643</v>
      </c>
      <c r="J6" s="2"/>
      <c r="K6" s="2"/>
      <c r="L6" s="2"/>
      <c r="M6" s="2"/>
    </row>
    <row r="7" spans="1:13" ht="15.75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5" t="s">
        <v>168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6" t="s">
        <v>169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7" t="s">
        <v>62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"/>
      <c r="K15" s="8"/>
      <c r="L15" s="8"/>
      <c r="M15" s="8"/>
    </row>
    <row r="16" spans="1:13" ht="31.5" customHeight="1">
      <c r="A16" s="39">
        <v>1</v>
      </c>
      <c r="B16" s="123" t="s">
        <v>102</v>
      </c>
      <c r="C16" s="124" t="s">
        <v>103</v>
      </c>
      <c r="D16" s="123" t="s">
        <v>104</v>
      </c>
      <c r="E16" s="125">
        <v>49.72</v>
      </c>
      <c r="F16" s="126">
        <f>SUM(E16*156/100)</f>
        <v>77.563199999999995</v>
      </c>
      <c r="G16" s="126">
        <v>187.48</v>
      </c>
      <c r="H16" s="127">
        <f t="shared" ref="H16:H25" si="0">SUM(F16*G16/1000)</f>
        <v>14.541548735999999</v>
      </c>
      <c r="I16" s="16">
        <f>F16/12*G16</f>
        <v>1211.7957279999998</v>
      </c>
      <c r="J16" s="31"/>
      <c r="K16" s="8"/>
      <c r="L16" s="8"/>
      <c r="M16" s="8"/>
    </row>
    <row r="17" spans="1:13" ht="31.5" customHeight="1">
      <c r="A17" s="39">
        <v>2</v>
      </c>
      <c r="B17" s="123" t="s">
        <v>138</v>
      </c>
      <c r="C17" s="124" t="s">
        <v>103</v>
      </c>
      <c r="D17" s="123" t="s">
        <v>105</v>
      </c>
      <c r="E17" s="125">
        <v>198.88</v>
      </c>
      <c r="F17" s="126">
        <f>SUM(E17*104/100)</f>
        <v>206.83520000000001</v>
      </c>
      <c r="G17" s="126">
        <v>187.48</v>
      </c>
      <c r="H17" s="127">
        <f t="shared" si="0"/>
        <v>38.777463296000001</v>
      </c>
      <c r="I17" s="16">
        <f>F17/12*G17</f>
        <v>3231.4552746666668</v>
      </c>
      <c r="J17" s="32"/>
      <c r="K17" s="8"/>
      <c r="L17" s="8"/>
      <c r="M17" s="8"/>
    </row>
    <row r="18" spans="1:13" ht="31.5" customHeight="1">
      <c r="A18" s="39">
        <v>3</v>
      </c>
      <c r="B18" s="123" t="s">
        <v>139</v>
      </c>
      <c r="C18" s="124" t="s">
        <v>103</v>
      </c>
      <c r="D18" s="123" t="s">
        <v>204</v>
      </c>
      <c r="E18" s="125">
        <v>248.6</v>
      </c>
      <c r="F18" s="126">
        <f>SUM(E18*24/100)</f>
        <v>59.663999999999994</v>
      </c>
      <c r="G18" s="126">
        <v>539.30999999999995</v>
      </c>
      <c r="H18" s="127">
        <f t="shared" si="0"/>
        <v>32.177391839999991</v>
      </c>
      <c r="I18" s="16">
        <f>F18/12*G18</f>
        <v>2681.4493199999993</v>
      </c>
      <c r="J18" s="32"/>
      <c r="K18" s="8"/>
      <c r="L18" s="8"/>
      <c r="M18" s="8"/>
    </row>
    <row r="19" spans="1:13" ht="15.75" hidden="1" customHeight="1">
      <c r="A19" s="39"/>
      <c r="B19" s="123" t="s">
        <v>112</v>
      </c>
      <c r="C19" s="124" t="s">
        <v>113</v>
      </c>
      <c r="D19" s="123" t="s">
        <v>114</v>
      </c>
      <c r="E19" s="125">
        <v>18.48</v>
      </c>
      <c r="F19" s="126">
        <f>SUM(E19/10)</f>
        <v>1.8480000000000001</v>
      </c>
      <c r="G19" s="126">
        <v>181.91</v>
      </c>
      <c r="H19" s="127">
        <f t="shared" si="0"/>
        <v>0.33616968000000003</v>
      </c>
      <c r="I19" s="16">
        <v>0</v>
      </c>
      <c r="J19" s="32"/>
      <c r="K19" s="8"/>
      <c r="L19" s="8"/>
      <c r="M19" s="8"/>
    </row>
    <row r="20" spans="1:13" ht="15.75" customHeight="1">
      <c r="A20" s="39">
        <v>4</v>
      </c>
      <c r="B20" s="123" t="s">
        <v>115</v>
      </c>
      <c r="C20" s="124" t="s">
        <v>103</v>
      </c>
      <c r="D20" s="123" t="s">
        <v>141</v>
      </c>
      <c r="E20" s="125">
        <v>10.5</v>
      </c>
      <c r="F20" s="126">
        <f>SUM(E20*12/100)</f>
        <v>1.26</v>
      </c>
      <c r="G20" s="126">
        <v>232.92</v>
      </c>
      <c r="H20" s="127">
        <f t="shared" si="0"/>
        <v>0.2934792</v>
      </c>
      <c r="I20" s="16">
        <f>F20/12*G20</f>
        <v>24.456599999999998</v>
      </c>
      <c r="J20" s="32"/>
      <c r="K20" s="8"/>
      <c r="L20" s="8"/>
      <c r="M20" s="8"/>
    </row>
    <row r="21" spans="1:13" ht="15.75" customHeight="1">
      <c r="A21" s="39">
        <v>5</v>
      </c>
      <c r="B21" s="123" t="s">
        <v>116</v>
      </c>
      <c r="C21" s="124" t="s">
        <v>103</v>
      </c>
      <c r="D21" s="123" t="s">
        <v>151</v>
      </c>
      <c r="E21" s="125">
        <v>2.7</v>
      </c>
      <c r="F21" s="126">
        <f>SUM(E21*6/100)</f>
        <v>0.16200000000000003</v>
      </c>
      <c r="G21" s="126">
        <v>231.03</v>
      </c>
      <c r="H21" s="127">
        <f t="shared" si="0"/>
        <v>3.7426860000000006E-2</v>
      </c>
      <c r="I21" s="16">
        <f>F21/6*G21</f>
        <v>6.2378100000000014</v>
      </c>
      <c r="J21" s="32"/>
      <c r="K21" s="8"/>
      <c r="L21" s="8"/>
      <c r="M21" s="8"/>
    </row>
    <row r="22" spans="1:13" ht="15.75" hidden="1" customHeight="1">
      <c r="A22" s="39"/>
      <c r="B22" s="123" t="s">
        <v>117</v>
      </c>
      <c r="C22" s="124" t="s">
        <v>54</v>
      </c>
      <c r="D22" s="123" t="s">
        <v>114</v>
      </c>
      <c r="E22" s="125">
        <v>267.75</v>
      </c>
      <c r="F22" s="126">
        <f>SUM(E22/100)</f>
        <v>2.6775000000000002</v>
      </c>
      <c r="G22" s="126">
        <v>287.83999999999997</v>
      </c>
      <c r="H22" s="127">
        <f t="shared" si="0"/>
        <v>0.77069160000000003</v>
      </c>
      <c r="I22" s="16">
        <v>0</v>
      </c>
      <c r="J22" s="32"/>
      <c r="K22" s="8"/>
      <c r="L22" s="8"/>
      <c r="M22" s="8"/>
    </row>
    <row r="23" spans="1:13" ht="15.75" hidden="1" customHeight="1">
      <c r="A23" s="39"/>
      <c r="B23" s="123" t="s">
        <v>118</v>
      </c>
      <c r="C23" s="124" t="s">
        <v>54</v>
      </c>
      <c r="D23" s="123" t="s">
        <v>114</v>
      </c>
      <c r="E23" s="128">
        <v>36.229999999999997</v>
      </c>
      <c r="F23" s="126">
        <f>SUM(E23/100)</f>
        <v>0.36229999999999996</v>
      </c>
      <c r="G23" s="126">
        <v>47.34</v>
      </c>
      <c r="H23" s="127">
        <f t="shared" si="0"/>
        <v>1.7151281999999997E-2</v>
      </c>
      <c r="I23" s="16">
        <v>0</v>
      </c>
      <c r="J23" s="32"/>
      <c r="K23" s="8"/>
      <c r="L23" s="8"/>
      <c r="M23" s="8"/>
    </row>
    <row r="24" spans="1:13" ht="15.75" hidden="1" customHeight="1">
      <c r="A24" s="39"/>
      <c r="B24" s="123" t="s">
        <v>119</v>
      </c>
      <c r="C24" s="124" t="s">
        <v>54</v>
      </c>
      <c r="D24" s="123" t="s">
        <v>55</v>
      </c>
      <c r="E24" s="125">
        <v>15</v>
      </c>
      <c r="F24" s="126">
        <f>E24/100</f>
        <v>0.15</v>
      </c>
      <c r="G24" s="126">
        <v>416.62</v>
      </c>
      <c r="H24" s="127">
        <f t="shared" si="0"/>
        <v>6.2492999999999993E-2</v>
      </c>
      <c r="I24" s="16">
        <v>0</v>
      </c>
      <c r="J24" s="32"/>
      <c r="K24" s="8"/>
      <c r="L24" s="8"/>
      <c r="M24" s="8"/>
    </row>
    <row r="25" spans="1:13" ht="15.75" hidden="1" customHeight="1">
      <c r="A25" s="39"/>
      <c r="B25" s="123" t="s">
        <v>120</v>
      </c>
      <c r="C25" s="124" t="s">
        <v>54</v>
      </c>
      <c r="D25" s="123" t="s">
        <v>55</v>
      </c>
      <c r="E25" s="125">
        <v>6.38</v>
      </c>
      <c r="F25" s="126">
        <f>SUM(E25/100)</f>
        <v>6.3799999999999996E-2</v>
      </c>
      <c r="G25" s="126">
        <v>556.74</v>
      </c>
      <c r="H25" s="127">
        <f t="shared" si="0"/>
        <v>3.5520012000000004E-2</v>
      </c>
      <c r="I25" s="16">
        <v>0</v>
      </c>
      <c r="J25" s="32"/>
      <c r="K25" s="8"/>
      <c r="L25" s="8"/>
      <c r="M25" s="8"/>
    </row>
    <row r="26" spans="1:13" ht="15.75" hidden="1" customHeight="1">
      <c r="A26" s="39"/>
      <c r="B26" s="123" t="s">
        <v>152</v>
      </c>
      <c r="C26" s="124" t="s">
        <v>54</v>
      </c>
      <c r="D26" s="123" t="s">
        <v>55</v>
      </c>
      <c r="E26" s="125">
        <v>14.25</v>
      </c>
      <c r="F26" s="126">
        <v>0.14000000000000001</v>
      </c>
      <c r="G26" s="126">
        <v>231.03</v>
      </c>
      <c r="H26" s="127">
        <f>G26*F26/1000</f>
        <v>3.2344200000000004E-2</v>
      </c>
      <c r="I26" s="16">
        <v>0</v>
      </c>
      <c r="J26" s="32"/>
      <c r="K26" s="8"/>
      <c r="L26" s="8"/>
      <c r="M26" s="8"/>
    </row>
    <row r="27" spans="1:13" ht="15.75" customHeight="1">
      <c r="A27" s="39">
        <v>6</v>
      </c>
      <c r="B27" s="123" t="s">
        <v>70</v>
      </c>
      <c r="C27" s="124" t="s">
        <v>33</v>
      </c>
      <c r="D27" s="123" t="s">
        <v>142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6">
        <f>F27/12*G27</f>
        <v>478.08916666666664</v>
      </c>
      <c r="J27" s="33"/>
    </row>
    <row r="28" spans="1:13" ht="15.75" customHeight="1">
      <c r="A28" s="39">
        <v>7</v>
      </c>
      <c r="B28" s="136" t="s">
        <v>23</v>
      </c>
      <c r="C28" s="124" t="s">
        <v>24</v>
      </c>
      <c r="D28" s="136" t="s">
        <v>178</v>
      </c>
      <c r="E28" s="125">
        <v>2626.5</v>
      </c>
      <c r="F28" s="126">
        <f>SUM(E28*12)</f>
        <v>31518</v>
      </c>
      <c r="G28" s="126">
        <v>4.7</v>
      </c>
      <c r="H28" s="127">
        <f>SUM(F28*G28/1000)</f>
        <v>148.13460000000001</v>
      </c>
      <c r="I28" s="16">
        <f>F28/12*G28</f>
        <v>12344.550000000001</v>
      </c>
      <c r="J28" s="33"/>
    </row>
    <row r="29" spans="1:13" ht="15" customHeight="1">
      <c r="A29" s="168" t="s">
        <v>98</v>
      </c>
      <c r="B29" s="168"/>
      <c r="C29" s="168"/>
      <c r="D29" s="168"/>
      <c r="E29" s="168"/>
      <c r="F29" s="168"/>
      <c r="G29" s="168"/>
      <c r="H29" s="168"/>
      <c r="I29" s="168"/>
      <c r="J29" s="32"/>
      <c r="K29" s="8"/>
      <c r="L29" s="8"/>
      <c r="M29" s="8"/>
    </row>
    <row r="30" spans="1:13" ht="15.75" customHeight="1">
      <c r="A30" s="39"/>
      <c r="B30" s="149" t="s">
        <v>28</v>
      </c>
      <c r="C30" s="124"/>
      <c r="D30" s="123"/>
      <c r="E30" s="125"/>
      <c r="F30" s="126"/>
      <c r="G30" s="126"/>
      <c r="H30" s="127"/>
      <c r="I30" s="16"/>
      <c r="J30" s="32"/>
      <c r="K30" s="8"/>
      <c r="L30" s="8"/>
      <c r="M30" s="8"/>
    </row>
    <row r="31" spans="1:13" ht="31.5" customHeight="1">
      <c r="A31" s="39">
        <v>8</v>
      </c>
      <c r="B31" s="123" t="s">
        <v>124</v>
      </c>
      <c r="C31" s="124" t="s">
        <v>107</v>
      </c>
      <c r="D31" s="123" t="s">
        <v>121</v>
      </c>
      <c r="E31" s="126">
        <v>665</v>
      </c>
      <c r="F31" s="126">
        <f>SUM(E31*52/1000)</f>
        <v>34.58</v>
      </c>
      <c r="G31" s="126">
        <v>166.65</v>
      </c>
      <c r="H31" s="127">
        <f t="shared" ref="H31:H37" si="1">SUM(F31*G31/1000)</f>
        <v>5.7627569999999997</v>
      </c>
      <c r="I31" s="16">
        <f t="shared" ref="I31:I35" si="2">F31/6*G31</f>
        <v>960.45949999999993</v>
      </c>
      <c r="J31" s="32"/>
      <c r="K31" s="8"/>
      <c r="L31" s="8"/>
      <c r="M31" s="8"/>
    </row>
    <row r="32" spans="1:13" ht="31.5" customHeight="1">
      <c r="A32" s="39">
        <v>9</v>
      </c>
      <c r="B32" s="123" t="s">
        <v>144</v>
      </c>
      <c r="C32" s="124" t="s">
        <v>107</v>
      </c>
      <c r="D32" s="123" t="s">
        <v>122</v>
      </c>
      <c r="E32" s="126">
        <v>81.5</v>
      </c>
      <c r="F32" s="126">
        <f>SUM(E32*78/1000)</f>
        <v>6.3570000000000002</v>
      </c>
      <c r="G32" s="126">
        <v>276.48</v>
      </c>
      <c r="H32" s="127">
        <f t="shared" si="1"/>
        <v>1.7575833600000001</v>
      </c>
      <c r="I32" s="16">
        <f t="shared" si="2"/>
        <v>292.93056000000007</v>
      </c>
      <c r="J32" s="32"/>
      <c r="K32" s="8"/>
      <c r="L32" s="8"/>
      <c r="M32" s="8"/>
    </row>
    <row r="33" spans="1:14" ht="15.75" hidden="1" customHeight="1">
      <c r="A33" s="39"/>
      <c r="B33" s="123" t="s">
        <v>27</v>
      </c>
      <c r="C33" s="124" t="s">
        <v>107</v>
      </c>
      <c r="D33" s="123" t="s">
        <v>55</v>
      </c>
      <c r="E33" s="126">
        <v>665</v>
      </c>
      <c r="F33" s="126">
        <f>SUM(E33/1000)</f>
        <v>0.66500000000000004</v>
      </c>
      <c r="G33" s="126">
        <v>3228.73</v>
      </c>
      <c r="H33" s="127">
        <f t="shared" si="1"/>
        <v>2.1471054500000002</v>
      </c>
      <c r="I33" s="16">
        <f>F33*G33</f>
        <v>2147.10545</v>
      </c>
      <c r="J33" s="32"/>
      <c r="K33" s="8"/>
      <c r="L33" s="8"/>
      <c r="M33" s="8"/>
    </row>
    <row r="34" spans="1:14" ht="15.75" customHeight="1">
      <c r="A34" s="39">
        <v>10</v>
      </c>
      <c r="B34" s="123" t="s">
        <v>143</v>
      </c>
      <c r="C34" s="124" t="s">
        <v>40</v>
      </c>
      <c r="D34" s="123" t="s">
        <v>69</v>
      </c>
      <c r="E34" s="126">
        <v>3</v>
      </c>
      <c r="F34" s="126">
        <f>E34*155/100</f>
        <v>4.6500000000000004</v>
      </c>
      <c r="G34" s="126">
        <v>1391.86</v>
      </c>
      <c r="H34" s="127">
        <f>G34*F34/1000</f>
        <v>6.4721489999999999</v>
      </c>
      <c r="I34" s="16">
        <f t="shared" si="2"/>
        <v>1078.6914999999999</v>
      </c>
      <c r="J34" s="32"/>
      <c r="K34" s="8"/>
    </row>
    <row r="35" spans="1:14" ht="15.75" customHeight="1">
      <c r="A35" s="39">
        <v>11</v>
      </c>
      <c r="B35" s="123" t="s">
        <v>123</v>
      </c>
      <c r="C35" s="124" t="s">
        <v>31</v>
      </c>
      <c r="D35" s="123" t="s">
        <v>69</v>
      </c>
      <c r="E35" s="135">
        <v>0.33333333333333331</v>
      </c>
      <c r="F35" s="126">
        <f>155/3</f>
        <v>51.666666666666664</v>
      </c>
      <c r="G35" s="126">
        <v>60.6</v>
      </c>
      <c r="H35" s="127">
        <f>SUM(G35*155/3/1000)</f>
        <v>3.1309999999999998</v>
      </c>
      <c r="I35" s="16">
        <f t="shared" si="2"/>
        <v>521.83333333333337</v>
      </c>
      <c r="J35" s="33"/>
    </row>
    <row r="36" spans="1:14" ht="15.75" hidden="1" customHeight="1">
      <c r="A36" s="39"/>
      <c r="B36" s="123" t="s">
        <v>71</v>
      </c>
      <c r="C36" s="124" t="s">
        <v>33</v>
      </c>
      <c r="D36" s="123" t="s">
        <v>73</v>
      </c>
      <c r="E36" s="125"/>
      <c r="F36" s="126">
        <v>3</v>
      </c>
      <c r="G36" s="126">
        <v>204.52</v>
      </c>
      <c r="H36" s="127">
        <f t="shared" si="1"/>
        <v>0.61356000000000011</v>
      </c>
      <c r="I36" s="16">
        <v>0</v>
      </c>
      <c r="J36" s="33"/>
    </row>
    <row r="37" spans="1:14" ht="15.75" hidden="1" customHeight="1">
      <c r="A37" s="39"/>
      <c r="B37" s="123" t="s">
        <v>72</v>
      </c>
      <c r="C37" s="124" t="s">
        <v>32</v>
      </c>
      <c r="D37" s="123" t="s">
        <v>73</v>
      </c>
      <c r="E37" s="125"/>
      <c r="F37" s="126">
        <v>2</v>
      </c>
      <c r="G37" s="126">
        <v>1214.73</v>
      </c>
      <c r="H37" s="127">
        <f t="shared" si="1"/>
        <v>2.4294600000000002</v>
      </c>
      <c r="I37" s="16">
        <v>0</v>
      </c>
      <c r="J37" s="33"/>
    </row>
    <row r="38" spans="1:14" ht="15.75" hidden="1" customHeight="1">
      <c r="A38" s="39"/>
      <c r="B38" s="149" t="s">
        <v>5</v>
      </c>
      <c r="C38" s="124"/>
      <c r="D38" s="123"/>
      <c r="E38" s="125"/>
      <c r="F38" s="126"/>
      <c r="G38" s="126"/>
      <c r="H38" s="127" t="s">
        <v>178</v>
      </c>
      <c r="I38" s="16"/>
      <c r="J38" s="33"/>
    </row>
    <row r="39" spans="1:14" ht="15.75" hidden="1" customHeight="1">
      <c r="A39" s="39">
        <v>8</v>
      </c>
      <c r="B39" s="123" t="s">
        <v>26</v>
      </c>
      <c r="C39" s="124" t="s">
        <v>32</v>
      </c>
      <c r="D39" s="123"/>
      <c r="E39" s="125"/>
      <c r="F39" s="126">
        <v>8</v>
      </c>
      <c r="G39" s="126">
        <v>1632.6</v>
      </c>
      <c r="H39" s="127">
        <f t="shared" ref="H39:H45" si="3">SUM(F39*G39/1000)</f>
        <v>13.060799999999999</v>
      </c>
      <c r="I39" s="16">
        <f t="shared" ref="I39:I45" si="4">F39/6*G39</f>
        <v>2176.7999999999997</v>
      </c>
      <c r="J39" s="33"/>
      <c r="L39" s="25"/>
      <c r="M39" s="26"/>
      <c r="N39" s="27"/>
    </row>
    <row r="40" spans="1:14" ht="15.75" hidden="1" customHeight="1">
      <c r="A40" s="39">
        <v>9</v>
      </c>
      <c r="B40" s="123" t="s">
        <v>125</v>
      </c>
      <c r="C40" s="124" t="s">
        <v>29</v>
      </c>
      <c r="D40" s="123" t="s">
        <v>153</v>
      </c>
      <c r="E40" s="125">
        <v>81.5</v>
      </c>
      <c r="F40" s="126">
        <f>E40*30/1000</f>
        <v>2.4449999999999998</v>
      </c>
      <c r="G40" s="126">
        <v>2247.8000000000002</v>
      </c>
      <c r="H40" s="127">
        <f>G40*F40/1000</f>
        <v>5.4958710000000002</v>
      </c>
      <c r="I40" s="16">
        <f t="shared" si="4"/>
        <v>915.97850000000005</v>
      </c>
      <c r="J40" s="33"/>
      <c r="L40" s="25"/>
      <c r="M40" s="26"/>
      <c r="N40" s="27"/>
    </row>
    <row r="41" spans="1:14" ht="15.75" hidden="1" customHeight="1">
      <c r="A41" s="39"/>
      <c r="B41" s="123" t="s">
        <v>145</v>
      </c>
      <c r="C41" s="124" t="s">
        <v>146</v>
      </c>
      <c r="D41" s="123" t="s">
        <v>154</v>
      </c>
      <c r="E41" s="125"/>
      <c r="F41" s="126">
        <v>95</v>
      </c>
      <c r="G41" s="126">
        <v>213.2</v>
      </c>
      <c r="H41" s="127">
        <f>G41*F41/1000</f>
        <v>20.254000000000001</v>
      </c>
      <c r="I41" s="16">
        <v>0</v>
      </c>
      <c r="J41" s="33"/>
      <c r="L41" s="25"/>
      <c r="M41" s="26"/>
      <c r="N41" s="27"/>
    </row>
    <row r="42" spans="1:14" ht="15.75" hidden="1" customHeight="1">
      <c r="A42" s="39">
        <v>10</v>
      </c>
      <c r="B42" s="123" t="s">
        <v>74</v>
      </c>
      <c r="C42" s="124" t="s">
        <v>29</v>
      </c>
      <c r="D42" s="123" t="s">
        <v>106</v>
      </c>
      <c r="E42" s="126">
        <v>153</v>
      </c>
      <c r="F42" s="126">
        <f>SUM(E42*155/1000)</f>
        <v>23.715</v>
      </c>
      <c r="G42" s="126">
        <v>375.95</v>
      </c>
      <c r="H42" s="127">
        <f t="shared" si="3"/>
        <v>8.9156542499999993</v>
      </c>
      <c r="I42" s="16">
        <f t="shared" si="4"/>
        <v>1485.9423750000001</v>
      </c>
      <c r="J42" s="33"/>
      <c r="L42" s="25"/>
      <c r="M42" s="26"/>
      <c r="N42" s="27"/>
    </row>
    <row r="43" spans="1:14" ht="47.25" hidden="1" customHeight="1">
      <c r="A43" s="39">
        <v>11</v>
      </c>
      <c r="B43" s="123" t="s">
        <v>96</v>
      </c>
      <c r="C43" s="124" t="s">
        <v>107</v>
      </c>
      <c r="D43" s="123" t="s">
        <v>155</v>
      </c>
      <c r="E43" s="126">
        <v>81.5</v>
      </c>
      <c r="F43" s="126">
        <f>SUM(E43*35/1000)</f>
        <v>2.8525</v>
      </c>
      <c r="G43" s="126">
        <v>6203.7</v>
      </c>
      <c r="H43" s="127">
        <f t="shared" si="3"/>
        <v>17.69605425</v>
      </c>
      <c r="I43" s="16">
        <f t="shared" si="4"/>
        <v>2949.3423749999997</v>
      </c>
      <c r="J43" s="33"/>
      <c r="L43" s="25"/>
      <c r="M43" s="26"/>
      <c r="N43" s="27"/>
    </row>
    <row r="44" spans="1:14" ht="15.75" hidden="1" customHeight="1">
      <c r="A44" s="39">
        <v>12</v>
      </c>
      <c r="B44" s="123" t="s">
        <v>108</v>
      </c>
      <c r="C44" s="124" t="s">
        <v>107</v>
      </c>
      <c r="D44" s="123" t="s">
        <v>75</v>
      </c>
      <c r="E44" s="126">
        <v>81.5</v>
      </c>
      <c r="F44" s="126">
        <f>SUM(E44*45/1000)</f>
        <v>3.6675</v>
      </c>
      <c r="G44" s="126">
        <v>458.28</v>
      </c>
      <c r="H44" s="127">
        <f t="shared" si="3"/>
        <v>1.6807418999999999</v>
      </c>
      <c r="I44" s="16">
        <f t="shared" si="4"/>
        <v>280.12364999999994</v>
      </c>
      <c r="J44" s="33"/>
      <c r="L44" s="25"/>
      <c r="M44" s="26"/>
      <c r="N44" s="27"/>
    </row>
    <row r="45" spans="1:14" ht="15.75" hidden="1" customHeight="1">
      <c r="A45" s="39">
        <v>13</v>
      </c>
      <c r="B45" s="123" t="s">
        <v>76</v>
      </c>
      <c r="C45" s="124" t="s">
        <v>33</v>
      </c>
      <c r="D45" s="123"/>
      <c r="E45" s="125"/>
      <c r="F45" s="126">
        <v>0.9</v>
      </c>
      <c r="G45" s="126">
        <v>853.06</v>
      </c>
      <c r="H45" s="127">
        <f t="shared" si="3"/>
        <v>0.76775400000000005</v>
      </c>
      <c r="I45" s="16">
        <f t="shared" si="4"/>
        <v>127.95899999999999</v>
      </c>
      <c r="J45" s="33"/>
      <c r="L45" s="25"/>
      <c r="M45" s="26"/>
      <c r="N45" s="27"/>
    </row>
    <row r="46" spans="1:14" ht="15.75" hidden="1" customHeight="1">
      <c r="A46" s="39"/>
      <c r="B46" s="129" t="s">
        <v>177</v>
      </c>
      <c r="C46" s="130"/>
      <c r="D46" s="129"/>
      <c r="E46" s="131"/>
      <c r="F46" s="132" t="s">
        <v>178</v>
      </c>
      <c r="G46" s="132"/>
      <c r="H46" s="133">
        <f>SUM(H39:H45)</f>
        <v>67.870875400000003</v>
      </c>
      <c r="I46" s="134"/>
      <c r="J46" s="33"/>
      <c r="L46" s="25"/>
      <c r="M46" s="26"/>
      <c r="N46" s="27"/>
    </row>
    <row r="47" spans="1:14" ht="15" customHeight="1">
      <c r="A47" s="169" t="s">
        <v>170</v>
      </c>
      <c r="B47" s="170"/>
      <c r="C47" s="170"/>
      <c r="D47" s="170"/>
      <c r="E47" s="170"/>
      <c r="F47" s="170"/>
      <c r="G47" s="170"/>
      <c r="H47" s="170"/>
      <c r="I47" s="171"/>
      <c r="J47" s="33"/>
      <c r="L47" s="25"/>
      <c r="M47" s="26"/>
      <c r="N47" s="27"/>
    </row>
    <row r="48" spans="1:14" ht="15.75" customHeight="1">
      <c r="A48" s="39">
        <v>12</v>
      </c>
      <c r="B48" s="123" t="s">
        <v>156</v>
      </c>
      <c r="C48" s="124" t="s">
        <v>107</v>
      </c>
      <c r="D48" s="123" t="s">
        <v>42</v>
      </c>
      <c r="E48" s="125">
        <v>1080</v>
      </c>
      <c r="F48" s="126">
        <f>SUM(E48*2/1000)</f>
        <v>2.16</v>
      </c>
      <c r="G48" s="16">
        <v>865.61</v>
      </c>
      <c r="H48" s="127">
        <f t="shared" ref="H48:H56" si="5">SUM(F48*G48/1000)</f>
        <v>1.8697176000000002</v>
      </c>
      <c r="I48" s="16">
        <f t="shared" ref="I48:I51" si="6">F48/2*G48</f>
        <v>934.85880000000009</v>
      </c>
      <c r="J48" s="33"/>
      <c r="L48" s="25"/>
      <c r="M48" s="26"/>
      <c r="N48" s="27"/>
    </row>
    <row r="49" spans="1:22" ht="15.75" customHeight="1">
      <c r="A49" s="39">
        <v>13</v>
      </c>
      <c r="B49" s="123" t="s">
        <v>35</v>
      </c>
      <c r="C49" s="124" t="s">
        <v>107</v>
      </c>
      <c r="D49" s="123" t="s">
        <v>42</v>
      </c>
      <c r="E49" s="125">
        <v>39</v>
      </c>
      <c r="F49" s="126">
        <f>E49*2/1000</f>
        <v>7.8E-2</v>
      </c>
      <c r="G49" s="16">
        <v>619.46</v>
      </c>
      <c r="H49" s="127">
        <f t="shared" si="5"/>
        <v>4.8317880000000001E-2</v>
      </c>
      <c r="I49" s="16">
        <f t="shared" si="6"/>
        <v>24.158940000000001</v>
      </c>
      <c r="J49" s="33"/>
      <c r="L49" s="25"/>
      <c r="M49" s="26"/>
      <c r="N49" s="27"/>
    </row>
    <row r="50" spans="1:22" ht="15.75" customHeight="1">
      <c r="A50" s="39">
        <v>14</v>
      </c>
      <c r="B50" s="123" t="s">
        <v>36</v>
      </c>
      <c r="C50" s="124" t="s">
        <v>107</v>
      </c>
      <c r="D50" s="123" t="s">
        <v>42</v>
      </c>
      <c r="E50" s="125">
        <v>1037</v>
      </c>
      <c r="F50" s="126">
        <f>SUM(E50*2/1000)</f>
        <v>2.0739999999999998</v>
      </c>
      <c r="G50" s="16">
        <v>619.46</v>
      </c>
      <c r="H50" s="127">
        <f t="shared" si="5"/>
        <v>1.2847600399999999</v>
      </c>
      <c r="I50" s="16">
        <f t="shared" si="6"/>
        <v>642.38001999999994</v>
      </c>
      <c r="J50" s="33"/>
      <c r="L50" s="25"/>
      <c r="M50" s="26"/>
      <c r="N50" s="27"/>
    </row>
    <row r="51" spans="1:22" ht="15.75" customHeight="1">
      <c r="A51" s="39">
        <v>15</v>
      </c>
      <c r="B51" s="123" t="s">
        <v>37</v>
      </c>
      <c r="C51" s="124" t="s">
        <v>107</v>
      </c>
      <c r="D51" s="123" t="s">
        <v>42</v>
      </c>
      <c r="E51" s="125">
        <v>2274</v>
      </c>
      <c r="F51" s="126">
        <f>SUM(E51*2/1000)</f>
        <v>4.548</v>
      </c>
      <c r="G51" s="16">
        <v>648.64</v>
      </c>
      <c r="H51" s="127">
        <f t="shared" si="5"/>
        <v>2.95001472</v>
      </c>
      <c r="I51" s="16">
        <f t="shared" si="6"/>
        <v>1475.0073600000001</v>
      </c>
      <c r="J51" s="33"/>
      <c r="L51" s="25"/>
      <c r="M51" s="26"/>
      <c r="N51" s="27"/>
    </row>
    <row r="52" spans="1:22" ht="15.75" customHeight="1">
      <c r="A52" s="39">
        <v>16</v>
      </c>
      <c r="B52" s="123" t="s">
        <v>34</v>
      </c>
      <c r="C52" s="124" t="s">
        <v>54</v>
      </c>
      <c r="D52" s="123" t="s">
        <v>42</v>
      </c>
      <c r="E52" s="125">
        <v>83.04</v>
      </c>
      <c r="F52" s="126">
        <v>1.66</v>
      </c>
      <c r="G52" s="16">
        <v>77.84</v>
      </c>
      <c r="H52" s="127">
        <f>SUM(F52*G52/1000)</f>
        <v>0.12921440000000001</v>
      </c>
      <c r="I52" s="16">
        <f>F52/2*G52</f>
        <v>64.607200000000006</v>
      </c>
      <c r="J52" s="33"/>
      <c r="L52" s="25"/>
      <c r="M52" s="26"/>
      <c r="N52" s="27"/>
    </row>
    <row r="53" spans="1:22" ht="15.75" customHeight="1">
      <c r="A53" s="39">
        <v>17</v>
      </c>
      <c r="B53" s="123" t="s">
        <v>59</v>
      </c>
      <c r="C53" s="124" t="s">
        <v>107</v>
      </c>
      <c r="D53" s="123" t="s">
        <v>205</v>
      </c>
      <c r="E53" s="125">
        <v>1728</v>
      </c>
      <c r="F53" s="126">
        <f>SUM(E53*5/1000)</f>
        <v>8.64</v>
      </c>
      <c r="G53" s="16">
        <v>1297.28</v>
      </c>
      <c r="H53" s="127">
        <f>SUM(F53*G53/1000)</f>
        <v>11.2084992</v>
      </c>
      <c r="I53" s="16">
        <f>F53/5*G53</f>
        <v>2241.6998400000002</v>
      </c>
      <c r="J53" s="33"/>
      <c r="L53" s="25"/>
      <c r="M53" s="26"/>
      <c r="N53" s="27"/>
    </row>
    <row r="54" spans="1:22" ht="31.5" customHeight="1">
      <c r="A54" s="39">
        <v>18</v>
      </c>
      <c r="B54" s="123" t="s">
        <v>109</v>
      </c>
      <c r="C54" s="124" t="s">
        <v>107</v>
      </c>
      <c r="D54" s="123" t="s">
        <v>42</v>
      </c>
      <c r="E54" s="125">
        <v>1728</v>
      </c>
      <c r="F54" s="126">
        <f>SUM(E54*2/1000)</f>
        <v>3.456</v>
      </c>
      <c r="G54" s="16">
        <v>1297.28</v>
      </c>
      <c r="H54" s="127">
        <f>SUM(G54*F54/1000)</f>
        <v>4.4833996799999998</v>
      </c>
      <c r="I54" s="16">
        <f>F54/2*G54</f>
        <v>2241.6998399999998</v>
      </c>
      <c r="J54" s="33"/>
      <c r="L54" s="25"/>
      <c r="M54" s="26"/>
      <c r="N54" s="27"/>
    </row>
    <row r="55" spans="1:22" ht="31.5" customHeight="1">
      <c r="A55" s="39">
        <v>19</v>
      </c>
      <c r="B55" s="123" t="s">
        <v>110</v>
      </c>
      <c r="C55" s="124" t="s">
        <v>38</v>
      </c>
      <c r="D55" s="123" t="s">
        <v>42</v>
      </c>
      <c r="E55" s="125">
        <v>15</v>
      </c>
      <c r="F55" s="126">
        <f>SUM(E55*2/100)</f>
        <v>0.3</v>
      </c>
      <c r="G55" s="16">
        <v>2918.89</v>
      </c>
      <c r="H55" s="127">
        <f>SUM(F55*G55/1000)</f>
        <v>0.87566699999999986</v>
      </c>
      <c r="I55" s="16">
        <f t="shared" ref="I55:I56" si="7">F55/2*G55</f>
        <v>437.83349999999996</v>
      </c>
      <c r="J55" s="33"/>
      <c r="L55" s="25"/>
      <c r="M55" s="26"/>
      <c r="N55" s="27"/>
    </row>
    <row r="56" spans="1:22" ht="15.75" customHeight="1">
      <c r="A56" s="39">
        <v>20</v>
      </c>
      <c r="B56" s="123" t="s">
        <v>39</v>
      </c>
      <c r="C56" s="124" t="s">
        <v>40</v>
      </c>
      <c r="D56" s="123" t="s">
        <v>42</v>
      </c>
      <c r="E56" s="125">
        <v>1</v>
      </c>
      <c r="F56" s="126">
        <v>0.02</v>
      </c>
      <c r="G56" s="16">
        <v>6042.12</v>
      </c>
      <c r="H56" s="127">
        <f t="shared" si="5"/>
        <v>0.1208424</v>
      </c>
      <c r="I56" s="16">
        <f t="shared" si="7"/>
        <v>60.421199999999999</v>
      </c>
      <c r="J56" s="33"/>
      <c r="L56" s="25"/>
      <c r="M56" s="26"/>
      <c r="N56" s="27"/>
    </row>
    <row r="57" spans="1:22" ht="15.75" hidden="1" customHeight="1">
      <c r="A57" s="39">
        <v>15</v>
      </c>
      <c r="B57" s="123" t="s">
        <v>41</v>
      </c>
      <c r="C57" s="124" t="s">
        <v>127</v>
      </c>
      <c r="D57" s="123" t="s">
        <v>77</v>
      </c>
      <c r="E57" s="125">
        <v>90</v>
      </c>
      <c r="F57" s="126">
        <f>SUM(E57)*3</f>
        <v>270</v>
      </c>
      <c r="G57" s="16">
        <v>70.209999999999994</v>
      </c>
      <c r="H57" s="127">
        <f>SUM(F57*G57/1000)</f>
        <v>18.956699999999998</v>
      </c>
      <c r="I57" s="16">
        <f>E57*G57</f>
        <v>6318.9</v>
      </c>
      <c r="J57" s="33"/>
      <c r="L57" s="25"/>
      <c r="M57" s="26"/>
      <c r="N57" s="27"/>
    </row>
    <row r="58" spans="1:22" ht="15.75" customHeight="1">
      <c r="A58" s="169" t="s">
        <v>171</v>
      </c>
      <c r="B58" s="170"/>
      <c r="C58" s="170"/>
      <c r="D58" s="170"/>
      <c r="E58" s="170"/>
      <c r="F58" s="170"/>
      <c r="G58" s="170"/>
      <c r="H58" s="170"/>
      <c r="I58" s="171"/>
      <c r="J58" s="33"/>
      <c r="L58" s="25"/>
      <c r="M58" s="26"/>
      <c r="N58" s="27"/>
    </row>
    <row r="59" spans="1:22" ht="15.75" hidden="1" customHeight="1">
      <c r="A59" s="39"/>
      <c r="B59" s="149" t="s">
        <v>43</v>
      </c>
      <c r="C59" s="124"/>
      <c r="D59" s="123"/>
      <c r="E59" s="125"/>
      <c r="F59" s="126"/>
      <c r="G59" s="126"/>
      <c r="H59" s="127"/>
      <c r="I59" s="16"/>
      <c r="J59" s="33"/>
      <c r="L59" s="25"/>
      <c r="M59" s="26"/>
      <c r="N59" s="27"/>
    </row>
    <row r="60" spans="1:22" ht="31.5" hidden="1" customHeight="1">
      <c r="A60" s="39">
        <v>16</v>
      </c>
      <c r="B60" s="123" t="s">
        <v>179</v>
      </c>
      <c r="C60" s="124" t="s">
        <v>103</v>
      </c>
      <c r="D60" s="123" t="s">
        <v>128</v>
      </c>
      <c r="E60" s="125">
        <v>111</v>
      </c>
      <c r="F60" s="126">
        <f>SUM(E60*6/100)</f>
        <v>6.66</v>
      </c>
      <c r="G60" s="16">
        <v>1654.04</v>
      </c>
      <c r="H60" s="127">
        <f>SUM(F60*G60/1000)</f>
        <v>11.0159064</v>
      </c>
      <c r="I60" s="16">
        <f>F60/6*G60</f>
        <v>1835.9844000000001</v>
      </c>
      <c r="J60" s="33"/>
      <c r="L60" s="25"/>
    </row>
    <row r="61" spans="1:22" ht="15.75" customHeight="1">
      <c r="A61" s="39"/>
      <c r="B61" s="150" t="s">
        <v>44</v>
      </c>
      <c r="C61" s="137"/>
      <c r="D61" s="138"/>
      <c r="E61" s="139"/>
      <c r="F61" s="140"/>
      <c r="G61" s="16"/>
      <c r="H61" s="141"/>
      <c r="I61" s="16"/>
    </row>
    <row r="62" spans="1:22" ht="15.75" hidden="1" customHeight="1">
      <c r="A62" s="39"/>
      <c r="B62" s="138" t="s">
        <v>45</v>
      </c>
      <c r="C62" s="137" t="s">
        <v>54</v>
      </c>
      <c r="D62" s="138" t="s">
        <v>55</v>
      </c>
      <c r="E62" s="139">
        <v>330</v>
      </c>
      <c r="F62" s="140">
        <f>E62/100</f>
        <v>3.3</v>
      </c>
      <c r="G62" s="16">
        <v>848.37</v>
      </c>
      <c r="H62" s="141">
        <f>F62*G62/1000</f>
        <v>2.7996209999999997</v>
      </c>
      <c r="I62" s="16">
        <v>0</v>
      </c>
    </row>
    <row r="63" spans="1:22" ht="15.75" customHeight="1">
      <c r="A63" s="39">
        <v>21</v>
      </c>
      <c r="B63" s="138" t="s">
        <v>149</v>
      </c>
      <c r="C63" s="137" t="s">
        <v>25</v>
      </c>
      <c r="D63" s="138" t="s">
        <v>30</v>
      </c>
      <c r="E63" s="139">
        <v>130</v>
      </c>
      <c r="F63" s="142">
        <f>E63*12</f>
        <v>1560</v>
      </c>
      <c r="G63" s="117">
        <v>2.6</v>
      </c>
      <c r="H63" s="140">
        <f>F63*G63/1000</f>
        <v>4.056</v>
      </c>
      <c r="I63" s="16">
        <f>F63/12*G63</f>
        <v>338</v>
      </c>
    </row>
    <row r="64" spans="1:22" ht="15.75" customHeight="1">
      <c r="A64" s="39"/>
      <c r="B64" s="150" t="s">
        <v>46</v>
      </c>
      <c r="C64" s="137"/>
      <c r="D64" s="138"/>
      <c r="E64" s="139"/>
      <c r="F64" s="142"/>
      <c r="G64" s="142"/>
      <c r="H64" s="140" t="s">
        <v>178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9">
        <v>18</v>
      </c>
      <c r="B65" s="18" t="s">
        <v>47</v>
      </c>
      <c r="C65" s="20" t="s">
        <v>127</v>
      </c>
      <c r="D65" s="18" t="s">
        <v>154</v>
      </c>
      <c r="E65" s="23">
        <v>10</v>
      </c>
      <c r="F65" s="126">
        <v>10</v>
      </c>
      <c r="G65" s="16">
        <v>237.74</v>
      </c>
      <c r="H65" s="143">
        <f t="shared" ref="H65:H78" si="8">SUM(F65*G65/1000)</f>
        <v>2.3774000000000002</v>
      </c>
      <c r="I65" s="16">
        <f>G65*2</f>
        <v>475.48</v>
      </c>
      <c r="J65" s="35"/>
      <c r="K65" s="3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9"/>
      <c r="B66" s="18" t="s">
        <v>48</v>
      </c>
      <c r="C66" s="20" t="s">
        <v>127</v>
      </c>
      <c r="D66" s="18" t="s">
        <v>154</v>
      </c>
      <c r="E66" s="23">
        <v>5</v>
      </c>
      <c r="F66" s="126">
        <v>5</v>
      </c>
      <c r="G66" s="16">
        <v>81.510000000000005</v>
      </c>
      <c r="H66" s="143">
        <f t="shared" si="8"/>
        <v>0.40755000000000002</v>
      </c>
      <c r="I66" s="16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9"/>
      <c r="B67" s="18" t="s">
        <v>49</v>
      </c>
      <c r="C67" s="20" t="s">
        <v>129</v>
      </c>
      <c r="D67" s="18" t="s">
        <v>55</v>
      </c>
      <c r="E67" s="125">
        <v>13287</v>
      </c>
      <c r="F67" s="16">
        <f>SUM(E67/100)</f>
        <v>132.87</v>
      </c>
      <c r="G67" s="16">
        <v>226.79</v>
      </c>
      <c r="H67" s="143">
        <f t="shared" si="8"/>
        <v>30.133587299999999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9"/>
      <c r="B68" s="18" t="s">
        <v>50</v>
      </c>
      <c r="C68" s="20" t="s">
        <v>130</v>
      </c>
      <c r="D68" s="18"/>
      <c r="E68" s="125">
        <v>13287</v>
      </c>
      <c r="F68" s="16">
        <f>SUM(E68/1000)</f>
        <v>13.287000000000001</v>
      </c>
      <c r="G68" s="16">
        <v>176.61</v>
      </c>
      <c r="H68" s="143">
        <f t="shared" si="8"/>
        <v>2.3466170700000002</v>
      </c>
      <c r="I68" s="16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9"/>
      <c r="B69" s="18" t="s">
        <v>51</v>
      </c>
      <c r="C69" s="20" t="s">
        <v>83</v>
      </c>
      <c r="D69" s="18" t="s">
        <v>55</v>
      </c>
      <c r="E69" s="125">
        <v>2110</v>
      </c>
      <c r="F69" s="16">
        <f>SUM(E69/100)</f>
        <v>21.1</v>
      </c>
      <c r="G69" s="16">
        <v>2217.7800000000002</v>
      </c>
      <c r="H69" s="143">
        <f>SUM(F69*G69/1000)</f>
        <v>46.795158000000008</v>
      </c>
      <c r="I69" s="16">
        <v>0</v>
      </c>
    </row>
    <row r="70" spans="1:21" ht="15.75" hidden="1" customHeight="1">
      <c r="A70" s="39"/>
      <c r="B70" s="144" t="s">
        <v>131</v>
      </c>
      <c r="C70" s="20" t="s">
        <v>33</v>
      </c>
      <c r="D70" s="18"/>
      <c r="E70" s="125">
        <v>8.6</v>
      </c>
      <c r="F70" s="16">
        <f>SUM(E70)</f>
        <v>8.6</v>
      </c>
      <c r="G70" s="16">
        <v>42.67</v>
      </c>
      <c r="H70" s="143">
        <f t="shared" si="8"/>
        <v>0.36696200000000001</v>
      </c>
      <c r="I70" s="16">
        <v>0</v>
      </c>
    </row>
    <row r="71" spans="1:21" ht="15.75" hidden="1" customHeight="1">
      <c r="A71" s="39"/>
      <c r="B71" s="144" t="s">
        <v>132</v>
      </c>
      <c r="C71" s="20" t="s">
        <v>33</v>
      </c>
      <c r="D71" s="18"/>
      <c r="E71" s="125">
        <v>8.6</v>
      </c>
      <c r="F71" s="16">
        <f>SUM(E71)</f>
        <v>8.6</v>
      </c>
      <c r="G71" s="16">
        <v>39.81</v>
      </c>
      <c r="H71" s="143">
        <f t="shared" si="8"/>
        <v>0.342366</v>
      </c>
      <c r="I71" s="16">
        <v>0</v>
      </c>
    </row>
    <row r="72" spans="1:21" ht="15.75" customHeight="1">
      <c r="A72" s="39">
        <v>22</v>
      </c>
      <c r="B72" s="18" t="s">
        <v>60</v>
      </c>
      <c r="C72" s="20" t="s">
        <v>61</v>
      </c>
      <c r="D72" s="18" t="s">
        <v>55</v>
      </c>
      <c r="E72" s="23">
        <v>6</v>
      </c>
      <c r="F72" s="126">
        <v>6</v>
      </c>
      <c r="G72" s="16">
        <v>53.32</v>
      </c>
      <c r="H72" s="143">
        <f t="shared" si="8"/>
        <v>0.31992000000000004</v>
      </c>
      <c r="I72" s="16">
        <f>F72*G72</f>
        <v>319.92</v>
      </c>
    </row>
    <row r="73" spans="1:21" ht="15.75" hidden="1" customHeight="1">
      <c r="A73" s="39"/>
      <c r="B73" s="110" t="s">
        <v>78</v>
      </c>
      <c r="C73" s="20"/>
      <c r="D73" s="18"/>
      <c r="E73" s="23"/>
      <c r="F73" s="16"/>
      <c r="G73" s="16"/>
      <c r="H73" s="143" t="s">
        <v>178</v>
      </c>
      <c r="I73" s="16"/>
    </row>
    <row r="74" spans="1:21" ht="15.75" hidden="1" customHeight="1">
      <c r="A74" s="39"/>
      <c r="B74" s="18" t="s">
        <v>79</v>
      </c>
      <c r="C74" s="20" t="s">
        <v>81</v>
      </c>
      <c r="D74" s="18"/>
      <c r="E74" s="23">
        <v>2</v>
      </c>
      <c r="F74" s="16">
        <v>0.2</v>
      </c>
      <c r="G74" s="16">
        <v>536.23</v>
      </c>
      <c r="H74" s="143">
        <f t="shared" si="8"/>
        <v>0.10724600000000001</v>
      </c>
      <c r="I74" s="16">
        <v>0</v>
      </c>
    </row>
    <row r="75" spans="1:21" ht="15.75" hidden="1" customHeight="1">
      <c r="A75" s="39"/>
      <c r="B75" s="18" t="s">
        <v>80</v>
      </c>
      <c r="C75" s="20" t="s">
        <v>31</v>
      </c>
      <c r="D75" s="18"/>
      <c r="E75" s="23">
        <v>2</v>
      </c>
      <c r="F75" s="117">
        <v>2</v>
      </c>
      <c r="G75" s="16">
        <v>911.85</v>
      </c>
      <c r="H75" s="143">
        <f>F75*G75/1000</f>
        <v>1.8237000000000001</v>
      </c>
      <c r="I75" s="16">
        <v>0</v>
      </c>
    </row>
    <row r="76" spans="1:21" ht="15.75" hidden="1" customHeight="1">
      <c r="A76" s="39"/>
      <c r="B76" s="18" t="s">
        <v>134</v>
      </c>
      <c r="C76" s="20" t="s">
        <v>31</v>
      </c>
      <c r="D76" s="18"/>
      <c r="E76" s="23">
        <v>1</v>
      </c>
      <c r="F76" s="16">
        <v>1</v>
      </c>
      <c r="G76" s="16">
        <v>383.25</v>
      </c>
      <c r="H76" s="143">
        <f>G76*F76/1000</f>
        <v>0.38324999999999998</v>
      </c>
      <c r="I76" s="16">
        <v>0</v>
      </c>
    </row>
    <row r="77" spans="1:21" ht="15.75" hidden="1" customHeight="1">
      <c r="A77" s="39"/>
      <c r="B77" s="146" t="s">
        <v>82</v>
      </c>
      <c r="C77" s="20"/>
      <c r="D77" s="18"/>
      <c r="E77" s="23"/>
      <c r="F77" s="16"/>
      <c r="G77" s="16" t="s">
        <v>178</v>
      </c>
      <c r="H77" s="143" t="s">
        <v>178</v>
      </c>
      <c r="I77" s="16"/>
    </row>
    <row r="78" spans="1:21" ht="15.75" hidden="1" customHeight="1">
      <c r="A78" s="39"/>
      <c r="B78" s="69" t="s">
        <v>157</v>
      </c>
      <c r="C78" s="20" t="s">
        <v>83</v>
      </c>
      <c r="D78" s="18"/>
      <c r="E78" s="23"/>
      <c r="F78" s="16">
        <v>0.5</v>
      </c>
      <c r="G78" s="16">
        <v>2949.85</v>
      </c>
      <c r="H78" s="143">
        <f t="shared" si="8"/>
        <v>1.474925</v>
      </c>
      <c r="I78" s="16">
        <v>0</v>
      </c>
    </row>
    <row r="79" spans="1:21" ht="15.75" hidden="1" customHeight="1">
      <c r="A79" s="39"/>
      <c r="B79" s="153" t="s">
        <v>111</v>
      </c>
      <c r="C79" s="153"/>
      <c r="D79" s="153"/>
      <c r="E79" s="153"/>
      <c r="F79" s="153"/>
      <c r="G79" s="134"/>
      <c r="H79" s="147">
        <f>SUM(H60:H78)</f>
        <v>104.75020877000001</v>
      </c>
      <c r="I79" s="134"/>
    </row>
    <row r="80" spans="1:21" ht="15.75" hidden="1" customHeight="1">
      <c r="A80" s="39"/>
      <c r="B80" s="151" t="s">
        <v>133</v>
      </c>
      <c r="C80" s="29"/>
      <c r="D80" s="28"/>
      <c r="E80" s="118"/>
      <c r="F80" s="152">
        <v>1</v>
      </c>
      <c r="G80" s="16">
        <v>7634.7</v>
      </c>
      <c r="H80" s="143">
        <f>G80*F80/1000</f>
        <v>7.6346999999999996</v>
      </c>
      <c r="I80" s="16">
        <v>0</v>
      </c>
    </row>
    <row r="81" spans="1:9" ht="15" customHeight="1">
      <c r="A81" s="162" t="s">
        <v>172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9">
        <v>23</v>
      </c>
      <c r="B82" s="123" t="s">
        <v>135</v>
      </c>
      <c r="C82" s="20" t="s">
        <v>57</v>
      </c>
      <c r="D82" s="148" t="s">
        <v>235</v>
      </c>
      <c r="E82" s="16">
        <v>2626.5</v>
      </c>
      <c r="F82" s="16">
        <f>SUM(E82*12)</f>
        <v>31518</v>
      </c>
      <c r="G82" s="16">
        <v>2.2400000000000002</v>
      </c>
      <c r="H82" s="143">
        <f>SUM(F82*G82/1000)</f>
        <v>70.600320000000011</v>
      </c>
      <c r="I82" s="16">
        <f>F82/12*G82</f>
        <v>5883.3600000000006</v>
      </c>
    </row>
    <row r="83" spans="1:9" ht="31.5" customHeight="1">
      <c r="A83" s="39">
        <v>24</v>
      </c>
      <c r="B83" s="18" t="s">
        <v>84</v>
      </c>
      <c r="C83" s="20"/>
      <c r="D83" s="148" t="s">
        <v>235</v>
      </c>
      <c r="E83" s="125">
        <f>E82</f>
        <v>2626.5</v>
      </c>
      <c r="F83" s="16">
        <f>E83*12</f>
        <v>31518</v>
      </c>
      <c r="G83" s="16">
        <v>1.74</v>
      </c>
      <c r="H83" s="143">
        <f>F83*G83/1000</f>
        <v>54.841320000000003</v>
      </c>
      <c r="I83" s="16">
        <f>F83/12*G83</f>
        <v>4570.1099999999997</v>
      </c>
    </row>
    <row r="84" spans="1:9" ht="15.75" customHeight="1">
      <c r="A84" s="39"/>
      <c r="B84" s="56" t="s">
        <v>88</v>
      </c>
      <c r="C84" s="146"/>
      <c r="D84" s="145"/>
      <c r="E84" s="134"/>
      <c r="F84" s="134"/>
      <c r="G84" s="134"/>
      <c r="H84" s="147">
        <f>H83</f>
        <v>54.841320000000003</v>
      </c>
      <c r="I84" s="134">
        <f>I16+I17+I18+I20+I21+I27+I28+I31+I32+I34+I35+I48+I49+I50+I51+I52+I53+I54+I55+I56+I63+I72+I82+I83</f>
        <v>42066.005492666678</v>
      </c>
    </row>
    <row r="85" spans="1:9" ht="15.75" customHeight="1">
      <c r="A85" s="39"/>
      <c r="B85" s="82" t="s">
        <v>63</v>
      </c>
      <c r="C85" s="20"/>
      <c r="D85" s="69"/>
      <c r="E85" s="16"/>
      <c r="F85" s="16"/>
      <c r="G85" s="16"/>
      <c r="H85" s="16"/>
      <c r="I85" s="16"/>
    </row>
    <row r="86" spans="1:9" ht="15.75" customHeight="1">
      <c r="A86" s="39">
        <v>23</v>
      </c>
      <c r="B86" s="83" t="s">
        <v>150</v>
      </c>
      <c r="C86" s="97" t="s">
        <v>127</v>
      </c>
      <c r="D86" s="18"/>
      <c r="E86" s="23"/>
      <c r="F86" s="16">
        <v>552</v>
      </c>
      <c r="G86" s="16">
        <v>50.68</v>
      </c>
      <c r="H86" s="143">
        <f>G86*F86/1000</f>
        <v>27.975360000000002</v>
      </c>
      <c r="I86" s="16">
        <f>G86*46</f>
        <v>2331.2800000000002</v>
      </c>
    </row>
    <row r="87" spans="1:9" ht="31.5" customHeight="1">
      <c r="A87" s="39">
        <v>24</v>
      </c>
      <c r="B87" s="122" t="s">
        <v>199</v>
      </c>
      <c r="C87" s="39" t="s">
        <v>90</v>
      </c>
      <c r="D87" s="18"/>
      <c r="E87" s="23"/>
      <c r="F87" s="16">
        <v>1</v>
      </c>
      <c r="G87" s="16">
        <v>1146</v>
      </c>
      <c r="H87" s="143">
        <f t="shared" ref="H87:H88" si="9">G87*F87/1000</f>
        <v>1.1459999999999999</v>
      </c>
      <c r="I87" s="16">
        <f>G87</f>
        <v>1146</v>
      </c>
    </row>
    <row r="88" spans="1:9" ht="31.5" customHeight="1">
      <c r="A88" s="39">
        <v>25</v>
      </c>
      <c r="B88" s="83" t="s">
        <v>200</v>
      </c>
      <c r="C88" s="97" t="s">
        <v>201</v>
      </c>
      <c r="D88" s="18"/>
      <c r="E88" s="23"/>
      <c r="F88" s="16">
        <v>1</v>
      </c>
      <c r="G88" s="16">
        <v>51.39</v>
      </c>
      <c r="H88" s="143">
        <f t="shared" si="9"/>
        <v>5.1389999999999998E-2</v>
      </c>
      <c r="I88" s="16">
        <f>G88</f>
        <v>51.39</v>
      </c>
    </row>
    <row r="89" spans="1:9" ht="16.5" customHeight="1">
      <c r="A89" s="39"/>
      <c r="B89" s="63" t="s">
        <v>52</v>
      </c>
      <c r="C89" s="59"/>
      <c r="D89" s="73"/>
      <c r="E89" s="59">
        <v>1</v>
      </c>
      <c r="F89" s="59"/>
      <c r="G89" s="59"/>
      <c r="H89" s="59"/>
      <c r="I89" s="41">
        <f>SUM(I86:I88)</f>
        <v>3528.67</v>
      </c>
    </row>
    <row r="90" spans="1:9" ht="15.75" customHeight="1">
      <c r="A90" s="39"/>
      <c r="B90" s="69" t="s">
        <v>85</v>
      </c>
      <c r="C90" s="19"/>
      <c r="D90" s="19"/>
      <c r="E90" s="60"/>
      <c r="F90" s="60"/>
      <c r="G90" s="61"/>
      <c r="H90" s="61"/>
      <c r="I90" s="22">
        <v>0</v>
      </c>
    </row>
    <row r="91" spans="1:9" ht="15.75" customHeight="1">
      <c r="A91" s="74"/>
      <c r="B91" s="64" t="s">
        <v>53</v>
      </c>
      <c r="C91" s="47"/>
      <c r="D91" s="47"/>
      <c r="E91" s="47"/>
      <c r="F91" s="47"/>
      <c r="G91" s="47"/>
      <c r="H91" s="47"/>
      <c r="I91" s="62">
        <f>I84+I89</f>
        <v>45594.675492666676</v>
      </c>
    </row>
    <row r="92" spans="1:9" ht="15.75" customHeight="1">
      <c r="A92" s="165" t="s">
        <v>230</v>
      </c>
      <c r="B92" s="165"/>
      <c r="C92" s="165"/>
      <c r="D92" s="165"/>
      <c r="E92" s="165"/>
      <c r="F92" s="165"/>
      <c r="G92" s="165"/>
      <c r="H92" s="165"/>
      <c r="I92" s="165"/>
    </row>
    <row r="93" spans="1:9" ht="15.75">
      <c r="A93" s="116"/>
      <c r="B93" s="166" t="s">
        <v>231</v>
      </c>
      <c r="C93" s="166"/>
      <c r="D93" s="166"/>
      <c r="E93" s="166"/>
      <c r="F93" s="166"/>
      <c r="G93" s="166"/>
      <c r="H93" s="121"/>
      <c r="I93" s="3"/>
    </row>
    <row r="94" spans="1:9">
      <c r="A94" s="115"/>
      <c r="B94" s="159" t="s">
        <v>6</v>
      </c>
      <c r="C94" s="159"/>
      <c r="D94" s="159"/>
      <c r="E94" s="159"/>
      <c r="F94" s="159"/>
      <c r="G94" s="159"/>
      <c r="H94" s="34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67" t="s">
        <v>7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>
      <c r="A97" s="167" t="s">
        <v>8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56" t="s">
        <v>64</v>
      </c>
      <c r="B98" s="156"/>
      <c r="C98" s="156"/>
      <c r="D98" s="156"/>
      <c r="E98" s="156"/>
      <c r="F98" s="156"/>
      <c r="G98" s="156"/>
      <c r="H98" s="156"/>
      <c r="I98" s="156"/>
    </row>
    <row r="99" spans="1:9" ht="23.25" customHeight="1">
      <c r="A99" s="11"/>
    </row>
    <row r="100" spans="1:9" ht="15.75">
      <c r="A100" s="157" t="s">
        <v>9</v>
      </c>
      <c r="B100" s="157"/>
      <c r="C100" s="157"/>
      <c r="D100" s="157"/>
      <c r="E100" s="157"/>
      <c r="F100" s="157"/>
      <c r="G100" s="157"/>
      <c r="H100" s="157"/>
      <c r="I100" s="157"/>
    </row>
    <row r="101" spans="1:9" ht="15.75" customHeight="1">
      <c r="A101" s="4"/>
    </row>
    <row r="102" spans="1:9" ht="15.75">
      <c r="B102" s="112" t="s">
        <v>10</v>
      </c>
      <c r="C102" s="158" t="s">
        <v>173</v>
      </c>
      <c r="D102" s="158"/>
      <c r="E102" s="158"/>
      <c r="F102" s="119"/>
      <c r="I102" s="114"/>
    </row>
    <row r="103" spans="1:9">
      <c r="A103" s="115"/>
      <c r="C103" s="159" t="s">
        <v>11</v>
      </c>
      <c r="D103" s="159"/>
      <c r="E103" s="159"/>
      <c r="F103" s="34"/>
      <c r="I103" s="113" t="s">
        <v>12</v>
      </c>
    </row>
    <row r="104" spans="1:9" ht="15.75" customHeight="1">
      <c r="A104" s="35"/>
      <c r="C104" s="12"/>
      <c r="D104" s="12"/>
      <c r="G104" s="12"/>
      <c r="H104" s="12"/>
    </row>
    <row r="105" spans="1:9" ht="15.75" customHeight="1">
      <c r="B105" s="112" t="s">
        <v>13</v>
      </c>
      <c r="C105" s="160"/>
      <c r="D105" s="160"/>
      <c r="E105" s="160"/>
      <c r="F105" s="120"/>
      <c r="I105" s="114"/>
    </row>
    <row r="106" spans="1:9" ht="15.75" customHeight="1">
      <c r="A106" s="115"/>
      <c r="C106" s="161" t="s">
        <v>11</v>
      </c>
      <c r="D106" s="161"/>
      <c r="E106" s="161"/>
      <c r="F106" s="115"/>
      <c r="I106" s="113" t="s">
        <v>12</v>
      </c>
    </row>
    <row r="107" spans="1:9" ht="15.75">
      <c r="A107" s="4" t="s">
        <v>14</v>
      </c>
    </row>
    <row r="108" spans="1:9">
      <c r="A108" s="154" t="s">
        <v>15</v>
      </c>
      <c r="B108" s="154"/>
      <c r="C108" s="154"/>
      <c r="D108" s="154"/>
      <c r="E108" s="154"/>
      <c r="F108" s="154"/>
      <c r="G108" s="154"/>
      <c r="H108" s="154"/>
      <c r="I108" s="154"/>
    </row>
    <row r="109" spans="1:9" ht="45" customHeight="1">
      <c r="A109" s="155" t="s">
        <v>16</v>
      </c>
      <c r="B109" s="155"/>
      <c r="C109" s="155"/>
      <c r="D109" s="155"/>
      <c r="E109" s="155"/>
      <c r="F109" s="155"/>
      <c r="G109" s="155"/>
      <c r="H109" s="155"/>
      <c r="I109" s="155"/>
    </row>
    <row r="110" spans="1:9" ht="30" customHeight="1">
      <c r="A110" s="155" t="s">
        <v>17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30" customHeight="1">
      <c r="A111" s="155" t="s">
        <v>21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15" customHeight="1">
      <c r="A112" s="155" t="s">
        <v>20</v>
      </c>
      <c r="B112" s="155"/>
      <c r="C112" s="155"/>
      <c r="D112" s="155"/>
      <c r="E112" s="155"/>
      <c r="F112" s="155"/>
      <c r="G112" s="155"/>
      <c r="H112" s="155"/>
      <c r="I112" s="155"/>
    </row>
  </sheetData>
  <autoFilter ref="I12:I62"/>
  <mergeCells count="28">
    <mergeCell ref="R67:U67"/>
    <mergeCell ref="A81:I81"/>
    <mergeCell ref="A3:I3"/>
    <mergeCell ref="A4:I4"/>
    <mergeCell ref="A5:I5"/>
    <mergeCell ref="A8:I8"/>
    <mergeCell ref="A10:I10"/>
    <mergeCell ref="A14:I14"/>
    <mergeCell ref="A98:I98"/>
    <mergeCell ref="A15:I15"/>
    <mergeCell ref="A29:I29"/>
    <mergeCell ref="A47:I47"/>
    <mergeCell ref="A58:I58"/>
    <mergeCell ref="A92:I92"/>
    <mergeCell ref="B93:G93"/>
    <mergeCell ref="B94:G94"/>
    <mergeCell ref="A96:I96"/>
    <mergeCell ref="A97:I9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2017-05-15T07:40:40Z</cp:lastPrinted>
  <dcterms:created xsi:type="dcterms:W3CDTF">2016-03-25T08:33:47Z</dcterms:created>
  <dcterms:modified xsi:type="dcterms:W3CDTF">2017-05-16T07:05:51Z</dcterms:modified>
</cp:coreProperties>
</file>