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890" yWindow="390" windowWidth="18540" windowHeight="7830"/>
  </bookViews>
  <sheets>
    <sheet name="Нефт.,8" sheetId="1" r:id="rId1"/>
  </sheets>
  <definedNames>
    <definedName name="_xlnm.Print_Area" localSheetId="0">'Нефт.,8'!$A$1:$U$139</definedName>
  </definedNames>
  <calcPr calcId="124519"/>
</workbook>
</file>

<file path=xl/calcChain.xml><?xml version="1.0" encoding="utf-8"?>
<calcChain xmlns="http://schemas.openxmlformats.org/spreadsheetml/2006/main">
  <c r="T125" i="1"/>
  <c r="U125" s="1"/>
  <c r="H125"/>
  <c r="T114"/>
  <c r="F114"/>
  <c r="R62"/>
  <c r="Q107"/>
  <c r="S62"/>
  <c r="S107"/>
  <c r="Q114"/>
  <c r="R119"/>
  <c r="U119" s="1"/>
  <c r="Q62" l="1"/>
  <c r="R121"/>
  <c r="F109"/>
  <c r="Q118"/>
  <c r="F123"/>
  <c r="H123" s="1"/>
  <c r="S123" l="1"/>
  <c r="C137"/>
  <c r="C134"/>
  <c r="H117"/>
  <c r="H118"/>
  <c r="H120"/>
  <c r="H121"/>
  <c r="H122"/>
  <c r="H124"/>
  <c r="F126"/>
  <c r="H126" s="1"/>
  <c r="T97"/>
  <c r="S98"/>
  <c r="U118"/>
  <c r="U121"/>
  <c r="U123"/>
  <c r="T41"/>
  <c r="T35"/>
  <c r="S35"/>
  <c r="R114"/>
  <c r="S124"/>
  <c r="U124" s="1"/>
  <c r="S97"/>
  <c r="S116"/>
  <c r="F116"/>
  <c r="S122"/>
  <c r="U122" s="1"/>
  <c r="T126" l="1"/>
  <c r="U126" s="1"/>
  <c r="R97"/>
  <c r="R120"/>
  <c r="U120" s="1"/>
  <c r="Q117"/>
  <c r="U117" s="1"/>
  <c r="Q69" l="1"/>
  <c r="R51"/>
  <c r="S41"/>
  <c r="L35"/>
  <c r="Q27" l="1"/>
  <c r="R27"/>
  <c r="Q28"/>
  <c r="R28"/>
  <c r="P107"/>
  <c r="P116"/>
  <c r="U116" s="1"/>
  <c r="H116"/>
  <c r="P115" l="1"/>
  <c r="U115" s="1"/>
  <c r="H115"/>
  <c r="P101"/>
  <c r="P92"/>
  <c r="P114"/>
  <c r="U114" s="1"/>
  <c r="H114"/>
  <c r="P52"/>
  <c r="P27"/>
  <c r="P28"/>
  <c r="H72"/>
  <c r="F111" l="1"/>
  <c r="H111" s="1"/>
  <c r="F110"/>
  <c r="H110" s="1"/>
  <c r="N109"/>
  <c r="U109" s="1"/>
  <c r="H109"/>
  <c r="N112"/>
  <c r="U112" s="1"/>
  <c r="H112"/>
  <c r="N110" l="1"/>
  <c r="U110" s="1"/>
  <c r="N111"/>
  <c r="U111" s="1"/>
  <c r="O113"/>
  <c r="U113" s="1"/>
  <c r="H113"/>
  <c r="O62"/>
  <c r="O27"/>
  <c r="O28"/>
  <c r="N108"/>
  <c r="U108" s="1"/>
  <c r="F108"/>
  <c r="H108" s="1"/>
  <c r="N107" l="1"/>
  <c r="U107" s="1"/>
  <c r="N62"/>
  <c r="H107"/>
  <c r="N106" l="1"/>
  <c r="U106" s="1"/>
  <c r="H106"/>
  <c r="N105"/>
  <c r="U105" s="1"/>
  <c r="H105"/>
  <c r="N104"/>
  <c r="U104" s="1"/>
  <c r="H104"/>
  <c r="N103"/>
  <c r="U103" s="1"/>
  <c r="H103"/>
  <c r="N102"/>
  <c r="U102" s="1"/>
  <c r="H102"/>
  <c r="N97" l="1"/>
  <c r="N101"/>
  <c r="U101" s="1"/>
  <c r="N92"/>
  <c r="H101"/>
  <c r="M73" l="1"/>
  <c r="J73"/>
  <c r="N27"/>
  <c r="N28"/>
  <c r="M100"/>
  <c r="U100" s="1"/>
  <c r="H100"/>
  <c r="L51" l="1"/>
  <c r="M98"/>
  <c r="M89"/>
  <c r="I52"/>
  <c r="M27"/>
  <c r="M28"/>
  <c r="L99"/>
  <c r="U99" s="1"/>
  <c r="F99"/>
  <c r="H99" s="1"/>
  <c r="L98"/>
  <c r="H98"/>
  <c r="U98" l="1"/>
  <c r="L62"/>
  <c r="L92"/>
  <c r="L52"/>
  <c r="L41" l="1"/>
  <c r="K35"/>
  <c r="K92" l="1"/>
  <c r="U92" s="1"/>
  <c r="K95" l="1"/>
  <c r="U95" s="1"/>
  <c r="H95"/>
  <c r="K62"/>
  <c r="K97"/>
  <c r="U97" s="1"/>
  <c r="H97"/>
  <c r="K96"/>
  <c r="U96" s="1"/>
  <c r="H96"/>
  <c r="K94"/>
  <c r="U94" s="1"/>
  <c r="H94"/>
  <c r="K93"/>
  <c r="U93" s="1"/>
  <c r="H93"/>
  <c r="K63"/>
  <c r="H92" l="1"/>
  <c r="K91"/>
  <c r="H91"/>
  <c r="K41"/>
  <c r="J35"/>
  <c r="U91" l="1"/>
  <c r="I88"/>
  <c r="U88" s="1"/>
  <c r="H88"/>
  <c r="J90"/>
  <c r="U90" s="1"/>
  <c r="H90"/>
  <c r="J62" l="1"/>
  <c r="J89"/>
  <c r="U89" s="1"/>
  <c r="U127" s="1"/>
  <c r="H89"/>
  <c r="H127" s="1"/>
  <c r="I62" l="1"/>
  <c r="J77"/>
  <c r="U77" l="1"/>
  <c r="H77"/>
  <c r="F59"/>
  <c r="J41"/>
  <c r="I59"/>
  <c r="I41"/>
  <c r="I35"/>
  <c r="U71"/>
  <c r="U35"/>
  <c r="U31"/>
  <c r="U30"/>
  <c r="U28"/>
  <c r="U27"/>
  <c r="U75"/>
  <c r="U73"/>
  <c r="U72"/>
  <c r="U69"/>
  <c r="U63"/>
  <c r="U60"/>
  <c r="U57"/>
  <c r="U62"/>
  <c r="T59" l="1"/>
  <c r="S59"/>
  <c r="Q59"/>
  <c r="R59"/>
  <c r="P59"/>
  <c r="O59"/>
  <c r="N59"/>
  <c r="L59"/>
  <c r="M59"/>
  <c r="K59"/>
  <c r="H59"/>
  <c r="J59"/>
  <c r="U41"/>
  <c r="F56"/>
  <c r="S56" l="1"/>
  <c r="T56"/>
  <c r="U59"/>
  <c r="K56"/>
  <c r="L56"/>
  <c r="J56"/>
  <c r="I56"/>
  <c r="F39"/>
  <c r="F37"/>
  <c r="F36"/>
  <c r="S39" l="1"/>
  <c r="T39"/>
  <c r="S37"/>
  <c r="T37"/>
  <c r="S36"/>
  <c r="T36"/>
  <c r="U56"/>
  <c r="K37"/>
  <c r="L37"/>
  <c r="K36"/>
  <c r="L36"/>
  <c r="K39"/>
  <c r="L39"/>
  <c r="J37"/>
  <c r="I37"/>
  <c r="H36"/>
  <c r="J36"/>
  <c r="I36"/>
  <c r="J39"/>
  <c r="I39"/>
  <c r="H71"/>
  <c r="U37" l="1"/>
  <c r="U39"/>
  <c r="U36"/>
  <c r="F60"/>
  <c r="H60" s="1"/>
  <c r="H56" l="1"/>
  <c r="F55" l="1"/>
  <c r="H28"/>
  <c r="S55" l="1"/>
  <c r="T55"/>
  <c r="L55"/>
  <c r="K55"/>
  <c r="J55"/>
  <c r="I55"/>
  <c r="F24"/>
  <c r="F21"/>
  <c r="M21" s="1"/>
  <c r="U21" s="1"/>
  <c r="F20"/>
  <c r="M20" s="1"/>
  <c r="U20" s="1"/>
  <c r="F19"/>
  <c r="M19" s="1"/>
  <c r="U19" s="1"/>
  <c r="F17"/>
  <c r="M17" s="1"/>
  <c r="U17" s="1"/>
  <c r="F16"/>
  <c r="M16" s="1"/>
  <c r="U16" s="1"/>
  <c r="F15"/>
  <c r="M15" s="1"/>
  <c r="U15" s="1"/>
  <c r="H57"/>
  <c r="Q24" l="1"/>
  <c r="R24"/>
  <c r="P24"/>
  <c r="O24"/>
  <c r="N24"/>
  <c r="M24"/>
  <c r="U24" s="1"/>
  <c r="U55"/>
  <c r="F52"/>
  <c r="U52"/>
  <c r="U51" l="1"/>
  <c r="H20" l="1"/>
  <c r="H19"/>
  <c r="H55"/>
  <c r="H73" l="1"/>
  <c r="C136" l="1"/>
  <c r="H129"/>
  <c r="F130"/>
  <c r="E80"/>
  <c r="H84" s="1"/>
  <c r="F78"/>
  <c r="H75"/>
  <c r="F69"/>
  <c r="H69" s="1"/>
  <c r="F68"/>
  <c r="F67"/>
  <c r="F66"/>
  <c r="F65"/>
  <c r="F64"/>
  <c r="H63"/>
  <c r="H62"/>
  <c r="H52"/>
  <c r="H51"/>
  <c r="F50"/>
  <c r="F49"/>
  <c r="F48"/>
  <c r="F47"/>
  <c r="Q47" s="1"/>
  <c r="F46"/>
  <c r="Q46" s="1"/>
  <c r="F45"/>
  <c r="Q45" s="1"/>
  <c r="F44"/>
  <c r="H41"/>
  <c r="F40"/>
  <c r="H39"/>
  <c r="F38"/>
  <c r="H37"/>
  <c r="H35"/>
  <c r="F32"/>
  <c r="T32" s="1"/>
  <c r="H31"/>
  <c r="H30"/>
  <c r="F29"/>
  <c r="F26"/>
  <c r="F25"/>
  <c r="H24"/>
  <c r="H21"/>
  <c r="F18"/>
  <c r="H17"/>
  <c r="F14"/>
  <c r="M14" s="1"/>
  <c r="E13"/>
  <c r="F13" s="1"/>
  <c r="T13" s="1"/>
  <c r="F12"/>
  <c r="T12" s="1"/>
  <c r="F11"/>
  <c r="T11" l="1"/>
  <c r="S11"/>
  <c r="T29"/>
  <c r="S29"/>
  <c r="S38"/>
  <c r="T38"/>
  <c r="S40"/>
  <c r="T40"/>
  <c r="Q48"/>
  <c r="T48"/>
  <c r="T78"/>
  <c r="S78"/>
  <c r="Q11"/>
  <c r="R11"/>
  <c r="P11"/>
  <c r="O11"/>
  <c r="N11"/>
  <c r="N13"/>
  <c r="R13"/>
  <c r="Q13"/>
  <c r="S13"/>
  <c r="P13"/>
  <c r="O13"/>
  <c r="N25"/>
  <c r="R25"/>
  <c r="Q25"/>
  <c r="P25"/>
  <c r="O25"/>
  <c r="N29"/>
  <c r="Q29"/>
  <c r="R29"/>
  <c r="P29"/>
  <c r="O29"/>
  <c r="M44"/>
  <c r="Q44"/>
  <c r="L50"/>
  <c r="R50"/>
  <c r="R78"/>
  <c r="P78"/>
  <c r="Q78"/>
  <c r="O78"/>
  <c r="N78"/>
  <c r="N12"/>
  <c r="Q12"/>
  <c r="S12"/>
  <c r="R12"/>
  <c r="P12"/>
  <c r="O12"/>
  <c r="N32"/>
  <c r="Q32"/>
  <c r="S32"/>
  <c r="R32"/>
  <c r="P32"/>
  <c r="O32"/>
  <c r="R49"/>
  <c r="L49"/>
  <c r="M78"/>
  <c r="M11"/>
  <c r="K12"/>
  <c r="M12"/>
  <c r="L12"/>
  <c r="H18"/>
  <c r="M18"/>
  <c r="U18" s="1"/>
  <c r="H26"/>
  <c r="M26"/>
  <c r="U26" s="1"/>
  <c r="L11"/>
  <c r="K11"/>
  <c r="K13"/>
  <c r="M13"/>
  <c r="L13"/>
  <c r="H25"/>
  <c r="M25"/>
  <c r="U25" s="1"/>
  <c r="M29"/>
  <c r="L29"/>
  <c r="K29"/>
  <c r="K38"/>
  <c r="L38"/>
  <c r="K40"/>
  <c r="L40"/>
  <c r="H44"/>
  <c r="U44"/>
  <c r="H46"/>
  <c r="M46"/>
  <c r="U46" s="1"/>
  <c r="M48"/>
  <c r="J48"/>
  <c r="H65"/>
  <c r="M65"/>
  <c r="U65" s="1"/>
  <c r="H67"/>
  <c r="M67"/>
  <c r="U67" s="1"/>
  <c r="L78"/>
  <c r="K78"/>
  <c r="H14"/>
  <c r="U14"/>
  <c r="M32"/>
  <c r="L32"/>
  <c r="K32"/>
  <c r="H45"/>
  <c r="M45"/>
  <c r="U45" s="1"/>
  <c r="H47"/>
  <c r="M47"/>
  <c r="U47" s="1"/>
  <c r="H64"/>
  <c r="M64"/>
  <c r="U64" s="1"/>
  <c r="H66"/>
  <c r="M66"/>
  <c r="U66" s="1"/>
  <c r="H68"/>
  <c r="M68"/>
  <c r="U68" s="1"/>
  <c r="J11"/>
  <c r="J29"/>
  <c r="J78"/>
  <c r="J32"/>
  <c r="J12"/>
  <c r="I12"/>
  <c r="I11"/>
  <c r="U11" s="1"/>
  <c r="J13"/>
  <c r="I13"/>
  <c r="I29"/>
  <c r="H38"/>
  <c r="J38"/>
  <c r="I38"/>
  <c r="H40"/>
  <c r="J40"/>
  <c r="I40"/>
  <c r="I48"/>
  <c r="H50"/>
  <c r="U50"/>
  <c r="I78"/>
  <c r="H32"/>
  <c r="I32"/>
  <c r="H49"/>
  <c r="U49"/>
  <c r="H78"/>
  <c r="H79" s="1"/>
  <c r="H29"/>
  <c r="H48"/>
  <c r="H11"/>
  <c r="H12"/>
  <c r="H16"/>
  <c r="H13"/>
  <c r="H15"/>
  <c r="F80"/>
  <c r="T80" s="1"/>
  <c r="H42"/>
  <c r="T130" l="1"/>
  <c r="H76"/>
  <c r="R80"/>
  <c r="R130" s="1"/>
  <c r="P80"/>
  <c r="P130" s="1"/>
  <c r="S80"/>
  <c r="S130" s="1"/>
  <c r="Q80"/>
  <c r="O80"/>
  <c r="O130" s="1"/>
  <c r="N80"/>
  <c r="N130" s="1"/>
  <c r="Q130"/>
  <c r="M80"/>
  <c r="M130" s="1"/>
  <c r="L80"/>
  <c r="K80"/>
  <c r="L130"/>
  <c r="U76"/>
  <c r="H33"/>
  <c r="H22"/>
  <c r="H53"/>
  <c r="U48"/>
  <c r="U53" s="1"/>
  <c r="U40"/>
  <c r="U29"/>
  <c r="U12"/>
  <c r="J80"/>
  <c r="J130" s="1"/>
  <c r="U13"/>
  <c r="K130"/>
  <c r="I80"/>
  <c r="U32"/>
  <c r="U38"/>
  <c r="U78"/>
  <c r="U79" s="1"/>
  <c r="H80"/>
  <c r="H81" s="1"/>
  <c r="H82" s="1"/>
  <c r="H85" s="1"/>
  <c r="G130" s="1"/>
  <c r="H130" s="1"/>
  <c r="U33" l="1"/>
  <c r="U22"/>
  <c r="U42"/>
  <c r="U80"/>
  <c r="U81" s="1"/>
  <c r="I130"/>
  <c r="U82" l="1"/>
  <c r="U130" s="1"/>
  <c r="C139" s="1"/>
  <c r="C135" l="1"/>
</calcChain>
</file>

<file path=xl/sharedStrings.xml><?xml version="1.0" encoding="utf-8"?>
<sst xmlns="http://schemas.openxmlformats.org/spreadsheetml/2006/main" count="385" uniqueCount="278">
  <si>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</si>
  <si>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</si>
  <si>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</si>
  <si>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</si>
  <si>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</si>
  <si>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</si>
  <si>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</si>
  <si>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</si>
  <si>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</si>
  <si>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</si>
  <si>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</si>
  <si>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</si>
  <si>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</si>
  <si>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</si>
  <si>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</si>
  <si>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</si>
  <si>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</si>
  <si>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</si>
  <si>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</si>
  <si>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</si>
  <si>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</si>
  <si>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</si>
  <si>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</si>
  <si>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</si>
  <si>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</si>
  <si>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</si>
  <si>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</si>
  <si>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</si>
  <si>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</si>
  <si>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</si>
  <si>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</si>
  <si>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</si>
  <si>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</si>
  <si>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</si>
  <si>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</si>
  <si>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</si>
  <si>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</si>
  <si>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</si>
  <si>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</si>
  <si>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</si>
  <si>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</si>
  <si>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</si>
  <si>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</si>
  <si>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</si>
  <si>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</si>
  <si>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</si>
  <si>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</si>
  <si>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</si>
  <si>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</si>
  <si>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</si>
  <si>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</si>
  <si>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</si>
  <si>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</si>
  <si>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</si>
  <si>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</si>
  <si>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</si>
  <si>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</si>
  <si>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</si>
  <si>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</si>
  <si>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</si>
  <si>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</si>
  <si>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</si>
  <si>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</si>
  <si>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</si>
  <si>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</si>
  <si>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</si>
  <si>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м2</t>
  </si>
  <si>
    <t>12 раз в год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</si>
  <si>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</si>
  <si>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</si>
  <si>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</si>
  <si>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</si>
  <si>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</si>
  <si>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</si>
  <si>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</si>
  <si>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</si>
  <si>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</si>
  <si>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</si>
  <si>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</si>
  <si>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</si>
  <si>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Замена ламп ДРЛ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</si>
  <si>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</si>
  <si>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</si>
  <si>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</si>
  <si>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</si>
  <si>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</si>
  <si>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</si>
  <si>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</si>
  <si>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</si>
  <si>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</si>
  <si>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</si>
  <si>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</si>
  <si>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</si>
  <si>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</si>
  <si>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</si>
  <si>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1 раз в год     </t>
  </si>
  <si>
    <t>3 раза в год</t>
  </si>
  <si>
    <t>Вода для промывки СО</t>
  </si>
  <si>
    <t>Спуск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</si>
  <si>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</si>
  <si>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</si>
  <si>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Очистка внутреннего водостока</t>
  </si>
  <si>
    <t>водосток</t>
  </si>
  <si>
    <t>Дератизация</t>
  </si>
  <si>
    <t>Влажная протирка подоконников</t>
  </si>
  <si>
    <t xml:space="preserve">6 раз за сезон </t>
  </si>
  <si>
    <t>Очистка водостоков от наледи</t>
  </si>
  <si>
    <t>Очистка от мусора</t>
  </si>
  <si>
    <t>Влажная протирка шкафов для щитов и слаботочн.устройств</t>
  </si>
  <si>
    <t>2 раза в неделю 52 раза в сезон</t>
  </si>
  <si>
    <t>Очистка урн от мусора</t>
  </si>
  <si>
    <t>155 раз в год</t>
  </si>
  <si>
    <t>Смена ламп накаливания</t>
  </si>
  <si>
    <t>10 шт.</t>
  </si>
  <si>
    <t>12 раз за сезон</t>
  </si>
  <si>
    <t>30 раз за сезон</t>
  </si>
  <si>
    <t>24 раза за сезон</t>
  </si>
  <si>
    <t xml:space="preserve">Выполнение    январь  </t>
  </si>
  <si>
    <t>Выполнение   март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</si>
  <si>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</si>
  <si>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</si>
  <si>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</si>
  <si>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</si>
  <si>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</si>
  <si>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</si>
  <si>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</si>
  <si>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5 этажей, 8 подъездов</t>
  </si>
  <si>
    <t>Стоимость (руб.)</t>
  </si>
  <si>
    <t>договор</t>
  </si>
  <si>
    <t>ТО внутридомового газ.оборудования</t>
  </si>
  <si>
    <t>Баланс выполненных работ на 01.01.2016 г. ( -долг за предприятием, +долг за населением)</t>
  </si>
  <si>
    <t>Выполне  ние       май</t>
  </si>
  <si>
    <t>Выполне ние   февраль</t>
  </si>
  <si>
    <t>Выполне ние    апрель</t>
  </si>
  <si>
    <t>Выполнено работ по содержанию за       2016 г.</t>
  </si>
  <si>
    <t>Выполнено работ по текущему ремонту за 2016 г.</t>
  </si>
  <si>
    <t>Фактически оплачено за 2016 г.</t>
  </si>
  <si>
    <t>калькуляция</t>
  </si>
  <si>
    <t>Ремонт и регулировка доводчика (со стоимостью доводчика)</t>
  </si>
  <si>
    <t>1шт.</t>
  </si>
  <si>
    <t>Ремонт силового предохранительного шкафа (без стоимости материалов)</t>
  </si>
  <si>
    <t>1 шт</t>
  </si>
  <si>
    <t xml:space="preserve">Смена крана 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</si>
  <si>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8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</si>
  <si>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С учетом показателя инфляции (К=1,094)</t>
  </si>
  <si>
    <t>1 м</t>
  </si>
  <si>
    <t xml:space="preserve">Смена сгонов у трубопроводов диаметром до 20 мм </t>
  </si>
  <si>
    <t>1 сгон</t>
  </si>
  <si>
    <t>Смена арматуры - вентилей и клапанов обратных муфтовых диаметром до 20 мм</t>
  </si>
  <si>
    <t>Смена сгонов у трубопроводов диаметром до 32 мм</t>
  </si>
  <si>
    <t>Подключение и отключение сварочного аппарата</t>
  </si>
  <si>
    <t>Смена арматуры - вентилей, муфт и контргаек диаметром до 32 мм</t>
  </si>
  <si>
    <t>Смена светодиодных светильников</t>
  </si>
  <si>
    <t>Укрепление оконных и дверных коробок без конопатки</t>
  </si>
  <si>
    <t>10 шт</t>
  </si>
  <si>
    <t xml:space="preserve">Смена "барашка" на вентиле диаметром до 20мм 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</si>
  <si>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</si>
  <si>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</si>
  <si>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</si>
  <si>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</si>
  <si>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>Сдвигание снега в дни снегопада (проезды)</t>
  </si>
  <si>
    <t>Сдвигание снега в дни снегопада (крыльца, тротуары)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</si>
  <si>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</si>
  <si>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</si>
  <si>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</si>
  <si>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</si>
  <si>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</si>
  <si>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 xml:space="preserve">Смена внутренних трубопроводов из стальных труб диаметром до 50 мм </t>
  </si>
  <si>
    <t>Начислено за содержание и текущий ремонт за 2016  г.</t>
  </si>
  <si>
    <t>Осмотр рулонной кровли</t>
  </si>
  <si>
    <t>смета</t>
  </si>
  <si>
    <t>Ремонт ограждений контейнерной площадки</t>
  </si>
  <si>
    <t>тыс.руб.</t>
  </si>
  <si>
    <t>Смена тройника 20</t>
  </si>
  <si>
    <t>Смена полиэтиленовых канализационных труб 110×1000 мм</t>
  </si>
  <si>
    <t>счёт</t>
  </si>
  <si>
    <t>Отвод 110*45°</t>
  </si>
  <si>
    <t>Переход чугун-пластик Ду 110 с манжетой</t>
  </si>
  <si>
    <t>Манжета 110 мм</t>
  </si>
  <si>
    <t xml:space="preserve">Затраты в рублях по плану   </t>
  </si>
  <si>
    <t>Герметик</t>
  </si>
  <si>
    <t>Устройство хомута диаметром до 50 мм</t>
  </si>
  <si>
    <t>место</t>
  </si>
  <si>
    <t>Ремонт отдельными местами рулонного покрытия, промазка битумными составами отдельными местами рулонного покрытия, замена 2 слоев.</t>
  </si>
  <si>
    <t>10 м2</t>
  </si>
  <si>
    <t>Смена дверных приборов (замки навесные)</t>
  </si>
  <si>
    <t>Работа автовышки</t>
  </si>
  <si>
    <t>маш/ч</t>
  </si>
  <si>
    <t>Смена обделок из листовой стали, примыканий к дымовым трубам</t>
  </si>
  <si>
    <t>10 м</t>
  </si>
  <si>
    <t>Оштукатуривание поверхности дымовых труб</t>
  </si>
  <si>
    <t>Очистка кровли от сроительного мусора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</si>
  <si>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</si>
  <si>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</si>
  <si>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</si>
  <si>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</si>
  <si>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</si>
  <si>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</si>
  <si>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</si>
  <si>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</si>
  <si>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</si>
  <si>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</si>
  <si>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</si>
  <si>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</si>
  <si>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</si>
  <si>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</si>
  <si>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</si>
  <si>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</si>
  <si>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</si>
  <si>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</si>
  <si>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</si>
  <si>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</si>
  <si>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</si>
  <si>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</si>
  <si>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</si>
  <si>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</si>
  <si>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</si>
  <si>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</si>
  <si>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</si>
  <si>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</si>
  <si>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</si>
  <si>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>ТЕР 54-041 и 42</t>
  </si>
  <si>
    <t>пр.ТЕР 54-041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</si>
  <si>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</si>
  <si>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</si>
  <si>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</si>
  <si>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</si>
  <si>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</si>
  <si>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</si>
  <si>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</si>
  <si>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</si>
  <si>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</si>
  <si>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</si>
  <si>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ТЕР 33-043</t>
  </si>
  <si>
    <t>пр.ТЕР 32-027</t>
  </si>
  <si>
    <t>ТЕР 33-032</t>
  </si>
  <si>
    <t>ТЕР 31-009</t>
  </si>
  <si>
    <t>ТЕР 32-027</t>
  </si>
  <si>
    <t>пр.ТЕР 32-028</t>
  </si>
  <si>
    <t xml:space="preserve">ТЕР 31-010 </t>
  </si>
  <si>
    <t>ТЕР 32-089</t>
  </si>
  <si>
    <t>ТЕР 33-060</t>
  </si>
  <si>
    <t>пр.ТЕР 33-023</t>
  </si>
  <si>
    <t>ТЕР 15-029</t>
  </si>
  <si>
    <t>пр.ТЕР 31-009</t>
  </si>
  <si>
    <t>пр.ТЕР 32-083</t>
  </si>
  <si>
    <t>пр.ТЕР 32-098</t>
  </si>
  <si>
    <t>ТЕР 17-014</t>
  </si>
  <si>
    <t>ТЕР 17-060</t>
  </si>
  <si>
    <t>ТЕР 21-056</t>
  </si>
  <si>
    <t>пр.ТЕР 17-071</t>
  </si>
  <si>
    <t>ТЕР 15-051</t>
  </si>
  <si>
    <t>Прочистка засоров ГВС, XВC</t>
  </si>
  <si>
    <t>3м</t>
  </si>
  <si>
    <t>ТЕР 32-101</t>
  </si>
  <si>
    <t>Смена тройника 15</t>
  </si>
  <si>
    <t>Внеплановый осмотр электросетей, армазуры и электрооборудования на лестничных клетках</t>
  </si>
  <si>
    <t>ТЕР 2-2-1-2-7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</si>
  <si>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</si>
  <si>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</si>
  <si>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фановых труб диаметром до 100 мм</t>
  </si>
  <si>
    <t>ТЭР 33-030</t>
  </si>
  <si>
    <t>Ремонт групповых щитков на лестничной клетке без ремонта автоматов</t>
  </si>
  <si>
    <t>Смена дощатых полов с добавлением новых досок до 25%</t>
  </si>
  <si>
    <t>пр.ТЕР 16-005</t>
  </si>
  <si>
    <t>пр.ТЕР 21-005</t>
  </si>
  <si>
    <t>Ремонт штукатурки внутренних стен по камню и бетону штукатурной смесью "Ротбант" площадью до 1 м2 толщиной слоя до 20 мм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</si>
  <si>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</si>
  <si>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</si>
  <si>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ТЕР 10-01-012-1</t>
  </si>
  <si>
    <t>Обшивка каркасных стен досками обшивки</t>
  </si>
  <si>
    <t>пр.ТЕР 31-047</t>
  </si>
  <si>
    <t>Смена пробко-спускных кранов (без учета материала)</t>
  </si>
  <si>
    <t>Выведение фановой трубы на кровлю</t>
  </si>
  <si>
    <t>Смена трубопроводов на полипропиленовые трубы PN25 диаметром 25 мм</t>
  </si>
  <si>
    <t>заглушка</t>
  </si>
  <si>
    <t>ТЕР 31-012</t>
  </si>
  <si>
    <t>Установка заглушек диаметром трубопроводов до 100 мм (без материала)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</si>
</sst>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41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 wrapText="1"/>
    </xf>
    <xf numFmtId="4" fontId="1" fillId="4" borderId="1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3" fillId="12" borderId="0" xfId="0" applyNumberFormat="1" applyFont="1" applyFill="1" applyBorder="1" applyAlignment="1">
      <alignment horizontal="center" vertical="center"/>
    </xf>
    <xf numFmtId="0" fontId="0" fillId="4" borderId="0" xfId="0" applyFill="1"/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center" vertical="center" wrapText="1"/>
    </xf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1" fillId="13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12" fillId="4" borderId="17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vertical="center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0" fontId="18" fillId="4" borderId="3" xfId="0" applyFont="1" applyFill="1" applyBorder="1" applyAlignment="1">
      <alignment horizontal="center" vertical="center" wrapText="1"/>
    </xf>
    <xf numFmtId="0" fontId="1" fillId="0" borderId="21" xfId="0" applyFont="1" applyBorder="1"/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43"/>
  <sheetViews>
    <sheetView tabSelected="1" view="pageBreakPreview" zoomScaleNormal="75" zoomScaleSheetLayoutView="100" workbookViewId="0">
      <pane ySplit="7" topLeftCell="A116" activePane="bottomLeft" state="frozen"/>
      <selection activeCell="B1" sqref="B1"/>
      <selection pane="bottomLeft" activeCell="A118" sqref="A118:XFD118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  <col min="22" max="27" width="9.140625" style="149"/>
  </cols>
  <sheetData>
    <row r="1" spans="1:21" ht="14.25" customHeight="1"/>
    <row r="3" spans="1:21" ht="18">
      <c r="A3" s="129"/>
      <c r="B3" s="181" t="s">
        <v>0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13"/>
      <c r="N3" s="113"/>
      <c r="O3" s="113"/>
      <c r="P3" s="113"/>
      <c r="Q3" s="113"/>
      <c r="R3" s="113"/>
      <c r="S3" s="113"/>
      <c r="T3" s="113"/>
      <c r="U3" s="113"/>
    </row>
    <row r="4" spans="1:21" ht="36" customHeight="1">
      <c r="A4" s="113"/>
      <c r="B4" s="182" t="s">
        <v>1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13"/>
      <c r="N4" s="113"/>
      <c r="O4" s="113"/>
      <c r="P4" s="113"/>
      <c r="Q4" s="113"/>
      <c r="R4" s="113"/>
      <c r="S4" s="113"/>
      <c r="T4" s="113"/>
      <c r="U4" s="113"/>
    </row>
    <row r="5" spans="1:21" ht="18">
      <c r="A5" s="113"/>
      <c r="B5" s="182" t="s">
        <v>143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13"/>
      <c r="N5" s="113"/>
      <c r="O5" s="113"/>
      <c r="P5" s="113"/>
      <c r="Q5" s="113"/>
      <c r="R5" s="113"/>
      <c r="S5" s="113"/>
      <c r="T5" s="113"/>
      <c r="U5" s="113"/>
    </row>
    <row r="6" spans="1:21" ht="14.25">
      <c r="A6" s="113"/>
      <c r="B6" s="183" t="s">
        <v>126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13"/>
      <c r="N6" s="113"/>
      <c r="O6" s="113"/>
      <c r="P6" s="113"/>
      <c r="Q6" s="113"/>
      <c r="R6" s="113"/>
      <c r="S6" s="113"/>
      <c r="T6" s="113"/>
      <c r="U6" s="113"/>
    </row>
    <row r="7" spans="1:21" ht="46.5" customHeight="1">
      <c r="A7" s="151" t="s">
        <v>2</v>
      </c>
      <c r="B7" s="152" t="s">
        <v>3</v>
      </c>
      <c r="C7" s="152" t="s">
        <v>4</v>
      </c>
      <c r="D7" s="152" t="s">
        <v>5</v>
      </c>
      <c r="E7" s="152" t="s">
        <v>6</v>
      </c>
      <c r="F7" s="152" t="s">
        <v>7</v>
      </c>
      <c r="G7" s="152" t="s">
        <v>8</v>
      </c>
      <c r="H7" s="153" t="s">
        <v>9</v>
      </c>
      <c r="I7" s="26" t="s">
        <v>117</v>
      </c>
      <c r="J7" s="26" t="s">
        <v>132</v>
      </c>
      <c r="K7" s="26" t="s">
        <v>118</v>
      </c>
      <c r="L7" s="26" t="s">
        <v>133</v>
      </c>
      <c r="M7" s="26" t="s">
        <v>131</v>
      </c>
      <c r="N7" s="26" t="s">
        <v>119</v>
      </c>
      <c r="O7" s="26" t="s">
        <v>120</v>
      </c>
      <c r="P7" s="26" t="s">
        <v>121</v>
      </c>
      <c r="Q7" s="26" t="s">
        <v>122</v>
      </c>
      <c r="R7" s="26" t="s">
        <v>123</v>
      </c>
      <c r="S7" s="26" t="s">
        <v>124</v>
      </c>
      <c r="T7" s="26" t="s">
        <v>125</v>
      </c>
      <c r="U7" s="26" t="s">
        <v>127</v>
      </c>
    </row>
    <row r="8" spans="1:21">
      <c r="A8" s="154">
        <v>1</v>
      </c>
      <c r="B8" s="8">
        <v>2</v>
      </c>
      <c r="C8" s="27">
        <v>3</v>
      </c>
      <c r="D8" s="8">
        <v>4</v>
      </c>
      <c r="E8" s="8">
        <v>5</v>
      </c>
      <c r="F8" s="27">
        <v>6</v>
      </c>
      <c r="G8" s="27">
        <v>7</v>
      </c>
      <c r="H8" s="28">
        <v>8</v>
      </c>
      <c r="I8" s="29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  <c r="T8" s="29">
        <v>20</v>
      </c>
      <c r="U8" s="29">
        <v>21</v>
      </c>
    </row>
    <row r="9" spans="1:21" ht="38.25">
      <c r="A9" s="154"/>
      <c r="B9" s="10" t="s">
        <v>10</v>
      </c>
      <c r="C9" s="27"/>
      <c r="D9" s="11"/>
      <c r="E9" s="11"/>
      <c r="F9" s="27"/>
      <c r="G9" s="27"/>
      <c r="H9" s="30"/>
      <c r="I9" s="31"/>
      <c r="J9" s="31"/>
      <c r="K9" s="31"/>
      <c r="L9" s="31"/>
      <c r="M9" s="32"/>
      <c r="N9" s="33"/>
      <c r="O9" s="33"/>
      <c r="P9" s="33"/>
      <c r="Q9" s="33"/>
      <c r="R9" s="33"/>
      <c r="S9" s="33"/>
      <c r="T9" s="33"/>
      <c r="U9" s="33"/>
    </row>
    <row r="10" spans="1:21">
      <c r="A10" s="154"/>
      <c r="B10" s="10" t="s">
        <v>11</v>
      </c>
      <c r="C10" s="27"/>
      <c r="D10" s="11"/>
      <c r="E10" s="11"/>
      <c r="F10" s="27"/>
      <c r="G10" s="27"/>
      <c r="H10" s="30"/>
      <c r="I10" s="31"/>
      <c r="J10" s="31"/>
      <c r="K10" s="31"/>
      <c r="L10" s="31"/>
      <c r="M10" s="32"/>
      <c r="N10" s="33"/>
      <c r="O10" s="33"/>
      <c r="P10" s="33"/>
      <c r="Q10" s="33"/>
      <c r="R10" s="33"/>
      <c r="S10" s="33"/>
      <c r="T10" s="33"/>
      <c r="U10" s="33"/>
    </row>
    <row r="11" spans="1:21" ht="25.5">
      <c r="A11" s="154" t="s">
        <v>192</v>
      </c>
      <c r="B11" s="11" t="s">
        <v>12</v>
      </c>
      <c r="C11" s="27" t="s">
        <v>13</v>
      </c>
      <c r="D11" s="11" t="s">
        <v>14</v>
      </c>
      <c r="E11" s="34">
        <v>169.2</v>
      </c>
      <c r="F11" s="35">
        <f>SUM(E11*156/100)</f>
        <v>263.952</v>
      </c>
      <c r="G11" s="35">
        <v>175.38</v>
      </c>
      <c r="H11" s="36">
        <f t="shared" ref="H11:H21" si="0">SUM(F11*G11/1000)</f>
        <v>46.291901760000002</v>
      </c>
      <c r="I11" s="37">
        <f>F11/12*G11</f>
        <v>3857.6584799999996</v>
      </c>
      <c r="J11" s="37">
        <f>F11/12*G11</f>
        <v>3857.6584799999996</v>
      </c>
      <c r="K11" s="37">
        <f>F11/12*G11</f>
        <v>3857.6584799999996</v>
      </c>
      <c r="L11" s="37">
        <f>F11/12*G11</f>
        <v>3857.6584799999996</v>
      </c>
      <c r="M11" s="37">
        <f>F11/12*G11</f>
        <v>3857.6584799999996</v>
      </c>
      <c r="N11" s="37">
        <f>F11/12*G11</f>
        <v>3857.6584799999996</v>
      </c>
      <c r="O11" s="37">
        <f>F11/12*G11</f>
        <v>3857.6584799999996</v>
      </c>
      <c r="P11" s="37">
        <f>F11/12*G11</f>
        <v>3857.6584799999996</v>
      </c>
      <c r="Q11" s="37">
        <f>F11/12*G11</f>
        <v>3857.6584799999996</v>
      </c>
      <c r="R11" s="37">
        <f>F11/12*G11</f>
        <v>3857.6584799999996</v>
      </c>
      <c r="S11" s="37">
        <f>F11/12*G11</f>
        <v>3857.6584799999996</v>
      </c>
      <c r="T11" s="37">
        <f>F11/12*G11</f>
        <v>3857.6584799999996</v>
      </c>
      <c r="U11" s="37">
        <f>SUM(I11:T11)</f>
        <v>46291.901759999986</v>
      </c>
    </row>
    <row r="12" spans="1:21" ht="25.5">
      <c r="A12" s="154" t="s">
        <v>192</v>
      </c>
      <c r="B12" s="11" t="s">
        <v>15</v>
      </c>
      <c r="C12" s="27" t="s">
        <v>13</v>
      </c>
      <c r="D12" s="11" t="s">
        <v>16</v>
      </c>
      <c r="E12" s="34">
        <v>676.6</v>
      </c>
      <c r="F12" s="35">
        <f>SUM(E12*104/100)</f>
        <v>703.6640000000001</v>
      </c>
      <c r="G12" s="35">
        <v>175.38</v>
      </c>
      <c r="H12" s="36">
        <f t="shared" si="0"/>
        <v>123.40859232000001</v>
      </c>
      <c r="I12" s="37">
        <f>F12/12*G12</f>
        <v>10284.049360000001</v>
      </c>
      <c r="J12" s="37">
        <f>F12/12*G12</f>
        <v>10284.049360000001</v>
      </c>
      <c r="K12" s="37">
        <f t="shared" ref="K12:K13" si="1">F12/12*G12</f>
        <v>10284.049360000001</v>
      </c>
      <c r="L12" s="37">
        <f t="shared" ref="L12:L13" si="2">F12/12*G12</f>
        <v>10284.049360000001</v>
      </c>
      <c r="M12" s="37">
        <f t="shared" ref="M12:M13" si="3">F12/12*G12</f>
        <v>10284.049360000001</v>
      </c>
      <c r="N12" s="37">
        <f t="shared" ref="N12:N13" si="4">F12/12*G12</f>
        <v>10284.049360000001</v>
      </c>
      <c r="O12" s="37">
        <f t="shared" ref="O12:O13" si="5">F12/12*G12</f>
        <v>10284.049360000001</v>
      </c>
      <c r="P12" s="37">
        <f t="shared" ref="P12:P13" si="6">F12/12*G12</f>
        <v>10284.049360000001</v>
      </c>
      <c r="Q12" s="37">
        <f t="shared" ref="Q12:Q13" si="7">F12/12*G12</f>
        <v>10284.049360000001</v>
      </c>
      <c r="R12" s="37">
        <f t="shared" ref="R12:R13" si="8">F12/12*G12</f>
        <v>10284.049360000001</v>
      </c>
      <c r="S12" s="37">
        <f t="shared" ref="S12:S13" si="9">F12/12*G12</f>
        <v>10284.049360000001</v>
      </c>
      <c r="T12" s="37">
        <f t="shared" ref="T12:T13" si="10">F12/12*G12</f>
        <v>10284.049360000001</v>
      </c>
      <c r="U12" s="37">
        <f t="shared" ref="U12:U21" si="11">SUM(I12:T12)</f>
        <v>123408.59232000004</v>
      </c>
    </row>
    <row r="13" spans="1:21" ht="25.5">
      <c r="A13" s="154" t="s">
        <v>193</v>
      </c>
      <c r="B13" s="11" t="s">
        <v>17</v>
      </c>
      <c r="C13" s="27" t="s">
        <v>13</v>
      </c>
      <c r="D13" s="11" t="s">
        <v>18</v>
      </c>
      <c r="E13" s="34">
        <f>SUM(E11+E12)</f>
        <v>845.8</v>
      </c>
      <c r="F13" s="35">
        <f>SUM(E13*24/100)</f>
        <v>202.99199999999996</v>
      </c>
      <c r="G13" s="35">
        <v>504.5</v>
      </c>
      <c r="H13" s="36">
        <f t="shared" si="0"/>
        <v>102.40946399999997</v>
      </c>
      <c r="I13" s="37">
        <f>F13/12*G13</f>
        <v>8534.1219999999976</v>
      </c>
      <c r="J13" s="37">
        <f>F13/12*G13</f>
        <v>8534.1219999999976</v>
      </c>
      <c r="K13" s="37">
        <f t="shared" si="1"/>
        <v>8534.1219999999976</v>
      </c>
      <c r="L13" s="37">
        <f t="shared" si="2"/>
        <v>8534.1219999999976</v>
      </c>
      <c r="M13" s="37">
        <f t="shared" si="3"/>
        <v>8534.1219999999976</v>
      </c>
      <c r="N13" s="37">
        <f t="shared" si="4"/>
        <v>8534.1219999999976</v>
      </c>
      <c r="O13" s="37">
        <f t="shared" si="5"/>
        <v>8534.1219999999976</v>
      </c>
      <c r="P13" s="37">
        <f t="shared" si="6"/>
        <v>8534.1219999999976</v>
      </c>
      <c r="Q13" s="37">
        <f t="shared" si="7"/>
        <v>8534.1219999999976</v>
      </c>
      <c r="R13" s="37">
        <f t="shared" si="8"/>
        <v>8534.1219999999976</v>
      </c>
      <c r="S13" s="37">
        <f t="shared" si="9"/>
        <v>8534.1219999999976</v>
      </c>
      <c r="T13" s="37">
        <f t="shared" si="10"/>
        <v>8534.1219999999976</v>
      </c>
      <c r="U13" s="37">
        <f t="shared" si="11"/>
        <v>102409.46399999999</v>
      </c>
    </row>
    <row r="14" spans="1:21">
      <c r="A14" s="154" t="s">
        <v>194</v>
      </c>
      <c r="B14" s="11" t="s">
        <v>19</v>
      </c>
      <c r="C14" s="27" t="s">
        <v>20</v>
      </c>
      <c r="D14" s="11" t="s">
        <v>95</v>
      </c>
      <c r="E14" s="34">
        <v>51.2</v>
      </c>
      <c r="F14" s="35">
        <f>SUM(E14/10)</f>
        <v>5.12</v>
      </c>
      <c r="G14" s="35">
        <v>170.16</v>
      </c>
      <c r="H14" s="36">
        <f t="shared" si="0"/>
        <v>0.87121919999999997</v>
      </c>
      <c r="I14" s="37">
        <v>0</v>
      </c>
      <c r="J14" s="37">
        <v>0</v>
      </c>
      <c r="K14" s="37">
        <v>0</v>
      </c>
      <c r="L14" s="37">
        <v>0</v>
      </c>
      <c r="M14" s="37">
        <f>F14/2*G14</f>
        <v>435.6096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f t="shared" si="11"/>
        <v>435.6096</v>
      </c>
    </row>
    <row r="15" spans="1:21">
      <c r="A15" s="154" t="s">
        <v>195</v>
      </c>
      <c r="B15" s="11" t="s">
        <v>21</v>
      </c>
      <c r="C15" s="27" t="s">
        <v>13</v>
      </c>
      <c r="D15" s="11" t="s">
        <v>32</v>
      </c>
      <c r="E15" s="34">
        <v>57.5</v>
      </c>
      <c r="F15" s="35">
        <f>SUM(E15/100)</f>
        <v>0.57499999999999996</v>
      </c>
      <c r="G15" s="35">
        <v>217.88</v>
      </c>
      <c r="H15" s="36">
        <f t="shared" si="0"/>
        <v>0.125281</v>
      </c>
      <c r="I15" s="37">
        <v>0</v>
      </c>
      <c r="J15" s="37">
        <v>0</v>
      </c>
      <c r="K15" s="37">
        <v>0</v>
      </c>
      <c r="L15" s="37">
        <v>0</v>
      </c>
      <c r="M15" s="37">
        <f t="shared" ref="M15:M21" si="12">F15*G15</f>
        <v>125.28099999999999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f t="shared" si="11"/>
        <v>125.28099999999999</v>
      </c>
    </row>
    <row r="16" spans="1:21">
      <c r="A16" s="154" t="s">
        <v>196</v>
      </c>
      <c r="B16" s="11" t="s">
        <v>22</v>
      </c>
      <c r="C16" s="27" t="s">
        <v>13</v>
      </c>
      <c r="D16" s="11" t="s">
        <v>32</v>
      </c>
      <c r="E16" s="34">
        <v>13.41</v>
      </c>
      <c r="F16" s="35">
        <f>SUM(E16/100)</f>
        <v>0.1341</v>
      </c>
      <c r="G16" s="35">
        <v>216.12</v>
      </c>
      <c r="H16" s="36">
        <f t="shared" si="0"/>
        <v>2.8981692E-2</v>
      </c>
      <c r="I16" s="37">
        <v>0</v>
      </c>
      <c r="J16" s="37">
        <v>0</v>
      </c>
      <c r="K16" s="37">
        <v>0</v>
      </c>
      <c r="L16" s="37">
        <v>0</v>
      </c>
      <c r="M16" s="37">
        <f t="shared" si="12"/>
        <v>28.981691999999999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f t="shared" si="11"/>
        <v>28.981691999999999</v>
      </c>
    </row>
    <row r="17" spans="1:27">
      <c r="A17" s="154" t="s">
        <v>197</v>
      </c>
      <c r="B17" s="11" t="s">
        <v>23</v>
      </c>
      <c r="C17" s="27" t="s">
        <v>24</v>
      </c>
      <c r="D17" s="11" t="s">
        <v>95</v>
      </c>
      <c r="E17" s="34">
        <v>1025.5999999999999</v>
      </c>
      <c r="F17" s="35">
        <f>SUM(E17/100)</f>
        <v>10.255999999999998</v>
      </c>
      <c r="G17" s="35">
        <v>269.26</v>
      </c>
      <c r="H17" s="36">
        <f t="shared" si="0"/>
        <v>2.7615305599999997</v>
      </c>
      <c r="I17" s="37">
        <v>0</v>
      </c>
      <c r="J17" s="37">
        <v>0</v>
      </c>
      <c r="K17" s="37">
        <v>0</v>
      </c>
      <c r="L17" s="37">
        <v>0</v>
      </c>
      <c r="M17" s="37">
        <f t="shared" si="12"/>
        <v>2761.5305599999997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f t="shared" si="11"/>
        <v>2761.5305599999997</v>
      </c>
    </row>
    <row r="18" spans="1:27">
      <c r="A18" s="154" t="s">
        <v>198</v>
      </c>
      <c r="B18" s="11" t="s">
        <v>25</v>
      </c>
      <c r="C18" s="27" t="s">
        <v>24</v>
      </c>
      <c r="D18" s="11" t="s">
        <v>95</v>
      </c>
      <c r="E18" s="39">
        <v>60.5</v>
      </c>
      <c r="F18" s="35">
        <f>SUM(E18/100)</f>
        <v>0.60499999999999998</v>
      </c>
      <c r="G18" s="35">
        <v>44.29</v>
      </c>
      <c r="H18" s="36">
        <f t="shared" si="0"/>
        <v>2.6795449999999998E-2</v>
      </c>
      <c r="I18" s="37">
        <v>0</v>
      </c>
      <c r="J18" s="37">
        <v>0</v>
      </c>
      <c r="K18" s="37">
        <v>0</v>
      </c>
      <c r="L18" s="37">
        <v>0</v>
      </c>
      <c r="M18" s="37">
        <f t="shared" si="12"/>
        <v>26.795449999999999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f t="shared" si="11"/>
        <v>26.795449999999999</v>
      </c>
    </row>
    <row r="19" spans="1:27">
      <c r="A19" s="154" t="s">
        <v>199</v>
      </c>
      <c r="B19" s="11" t="s">
        <v>104</v>
      </c>
      <c r="C19" s="27" t="s">
        <v>24</v>
      </c>
      <c r="D19" s="11" t="s">
        <v>32</v>
      </c>
      <c r="E19" s="40">
        <v>19.149999999999999</v>
      </c>
      <c r="F19" s="35">
        <f>E19/100</f>
        <v>0.19149999999999998</v>
      </c>
      <c r="G19" s="35">
        <v>389.42</v>
      </c>
      <c r="H19" s="36">
        <f>G19*F19/100</f>
        <v>0.74573929999999988</v>
      </c>
      <c r="I19" s="37">
        <v>0</v>
      </c>
      <c r="J19" s="37">
        <v>0</v>
      </c>
      <c r="K19" s="37">
        <v>0</v>
      </c>
      <c r="L19" s="37">
        <v>0</v>
      </c>
      <c r="M19" s="37">
        <f t="shared" si="12"/>
        <v>74.57392999999999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f t="shared" si="11"/>
        <v>74.57392999999999</v>
      </c>
    </row>
    <row r="20" spans="1:27" ht="25.5">
      <c r="A20" s="154" t="s">
        <v>200</v>
      </c>
      <c r="B20" s="11" t="s">
        <v>108</v>
      </c>
      <c r="C20" s="27" t="s">
        <v>24</v>
      </c>
      <c r="D20" s="11" t="s">
        <v>32</v>
      </c>
      <c r="E20" s="41">
        <v>31.5</v>
      </c>
      <c r="F20" s="35">
        <f>E20/100</f>
        <v>0.315</v>
      </c>
      <c r="G20" s="35">
        <v>216.12</v>
      </c>
      <c r="H20" s="36">
        <f>G20*F20/1000</f>
        <v>6.8077799999999994E-2</v>
      </c>
      <c r="I20" s="37">
        <v>0</v>
      </c>
      <c r="J20" s="37">
        <v>0</v>
      </c>
      <c r="K20" s="37">
        <v>0</v>
      </c>
      <c r="L20" s="37">
        <v>0</v>
      </c>
      <c r="M20" s="37">
        <f t="shared" si="12"/>
        <v>68.077799999999996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f t="shared" si="11"/>
        <v>68.077799999999996</v>
      </c>
    </row>
    <row r="21" spans="1:27">
      <c r="A21" s="154" t="s">
        <v>201</v>
      </c>
      <c r="B21" s="11" t="s">
        <v>26</v>
      </c>
      <c r="C21" s="27" t="s">
        <v>24</v>
      </c>
      <c r="D21" s="11" t="s">
        <v>32</v>
      </c>
      <c r="E21" s="34">
        <v>37.5</v>
      </c>
      <c r="F21" s="35">
        <f>SUM(E21/100)</f>
        <v>0.375</v>
      </c>
      <c r="G21" s="35">
        <v>520.79999999999995</v>
      </c>
      <c r="H21" s="36">
        <f t="shared" si="0"/>
        <v>0.19529999999999997</v>
      </c>
      <c r="I21" s="37">
        <v>0</v>
      </c>
      <c r="J21" s="37">
        <v>0</v>
      </c>
      <c r="K21" s="37">
        <v>0</v>
      </c>
      <c r="L21" s="37">
        <v>0</v>
      </c>
      <c r="M21" s="37">
        <f t="shared" si="12"/>
        <v>195.29999999999998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f t="shared" si="11"/>
        <v>195.29999999999998</v>
      </c>
    </row>
    <row r="22" spans="1:27" s="19" customFormat="1">
      <c r="A22" s="155"/>
      <c r="B22" s="20" t="s">
        <v>27</v>
      </c>
      <c r="C22" s="42"/>
      <c r="D22" s="20"/>
      <c r="E22" s="43"/>
      <c r="F22" s="44"/>
      <c r="G22" s="44"/>
      <c r="H22" s="45">
        <f>SUM(H11:H21)</f>
        <v>276.93288308199993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>
        <f>SUM(U11:U21)</f>
        <v>275826.10811200005</v>
      </c>
      <c r="V22" s="149"/>
      <c r="W22" s="149"/>
      <c r="X22" s="149"/>
      <c r="Y22" s="149"/>
      <c r="Z22" s="149"/>
      <c r="AA22" s="149"/>
    </row>
    <row r="23" spans="1:27">
      <c r="A23" s="154"/>
      <c r="B23" s="12" t="s">
        <v>28</v>
      </c>
      <c r="C23" s="27"/>
      <c r="D23" s="11"/>
      <c r="E23" s="34"/>
      <c r="F23" s="35"/>
      <c r="G23" s="35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7" ht="25.5" customHeight="1">
      <c r="A24" s="154" t="s">
        <v>202</v>
      </c>
      <c r="B24" s="11" t="s">
        <v>156</v>
      </c>
      <c r="C24" s="27" t="s">
        <v>29</v>
      </c>
      <c r="D24" s="11" t="s">
        <v>109</v>
      </c>
      <c r="E24" s="35">
        <v>900.1</v>
      </c>
      <c r="F24" s="35">
        <f>SUM(E24*52/1000)</f>
        <v>46.805200000000006</v>
      </c>
      <c r="G24" s="35">
        <v>155.88999999999999</v>
      </c>
      <c r="H24" s="36">
        <f t="shared" ref="H24:H32" si="13">SUM(F24*G24/1000)</f>
        <v>7.2964626280000004</v>
      </c>
      <c r="I24" s="37">
        <v>0</v>
      </c>
      <c r="J24" s="37">
        <v>0</v>
      </c>
      <c r="K24" s="37">
        <v>0</v>
      </c>
      <c r="L24" s="37">
        <v>0</v>
      </c>
      <c r="M24" s="37">
        <f>F24/6*G24</f>
        <v>1216.0771046666666</v>
      </c>
      <c r="N24" s="37">
        <f>F24/6*G24</f>
        <v>1216.0771046666666</v>
      </c>
      <c r="O24" s="37">
        <f>F24/6*G24</f>
        <v>1216.0771046666666</v>
      </c>
      <c r="P24" s="37">
        <f>F24/6*G24</f>
        <v>1216.0771046666666</v>
      </c>
      <c r="Q24" s="37">
        <f>F24/6*G24</f>
        <v>1216.0771046666666</v>
      </c>
      <c r="R24" s="37">
        <f>F24/6*G24</f>
        <v>1216.0771046666666</v>
      </c>
      <c r="S24" s="37">
        <v>0</v>
      </c>
      <c r="T24" s="37">
        <v>0</v>
      </c>
      <c r="U24" s="37">
        <f t="shared" ref="U24:U32" si="14">SUM(I24:T24)</f>
        <v>7296.4626280000002</v>
      </c>
    </row>
    <row r="25" spans="1:27" ht="38.25" customHeight="1">
      <c r="A25" s="154" t="s">
        <v>203</v>
      </c>
      <c r="B25" s="11" t="s">
        <v>157</v>
      </c>
      <c r="C25" s="27" t="s">
        <v>29</v>
      </c>
      <c r="D25" s="11" t="s">
        <v>30</v>
      </c>
      <c r="E25" s="35">
        <v>289.39999999999998</v>
      </c>
      <c r="F25" s="35">
        <f>SUM(E25*78/1000)</f>
        <v>22.573199999999996</v>
      </c>
      <c r="G25" s="35">
        <v>258.63</v>
      </c>
      <c r="H25" s="36">
        <f t="shared" si="13"/>
        <v>5.8381067159999995</v>
      </c>
      <c r="I25" s="37">
        <v>0</v>
      </c>
      <c r="J25" s="37">
        <v>0</v>
      </c>
      <c r="K25" s="37">
        <v>0</v>
      </c>
      <c r="L25" s="37">
        <v>0</v>
      </c>
      <c r="M25" s="37">
        <f>F25/6*G25</f>
        <v>973.01778599999989</v>
      </c>
      <c r="N25" s="37">
        <f t="shared" ref="N25:N28" si="15">F25/6*G25</f>
        <v>973.01778599999989</v>
      </c>
      <c r="O25" s="37">
        <f t="shared" ref="O25:O28" si="16">F25/6*G25</f>
        <v>973.01778599999989</v>
      </c>
      <c r="P25" s="37">
        <f t="shared" ref="P25:P28" si="17">F25/6*G25</f>
        <v>973.01778599999989</v>
      </c>
      <c r="Q25" s="37">
        <f t="shared" ref="Q25:Q28" si="18">F25/6*G25</f>
        <v>973.01778599999989</v>
      </c>
      <c r="R25" s="37">
        <f t="shared" ref="R25:R28" si="19">F25/6*G25</f>
        <v>973.01778599999989</v>
      </c>
      <c r="S25" s="37">
        <v>0</v>
      </c>
      <c r="T25" s="37">
        <v>0</v>
      </c>
      <c r="U25" s="37">
        <f t="shared" si="14"/>
        <v>5838.1067160000002</v>
      </c>
    </row>
    <row r="26" spans="1:27">
      <c r="A26" s="154" t="s">
        <v>204</v>
      </c>
      <c r="B26" s="11" t="s">
        <v>31</v>
      </c>
      <c r="C26" s="27" t="s">
        <v>29</v>
      </c>
      <c r="D26" s="11" t="s">
        <v>32</v>
      </c>
      <c r="E26" s="35">
        <v>900.1</v>
      </c>
      <c r="F26" s="35">
        <f>SUM(E26/1000)</f>
        <v>0.90010000000000001</v>
      </c>
      <c r="G26" s="35">
        <v>3020.33</v>
      </c>
      <c r="H26" s="36">
        <f t="shared" si="13"/>
        <v>2.7185990329999998</v>
      </c>
      <c r="I26" s="37">
        <v>0</v>
      </c>
      <c r="J26" s="37">
        <v>0</v>
      </c>
      <c r="K26" s="37">
        <v>0</v>
      </c>
      <c r="L26" s="37">
        <v>0</v>
      </c>
      <c r="M26" s="37">
        <f>F26*G26</f>
        <v>2718.599033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f t="shared" si="14"/>
        <v>2718.599033</v>
      </c>
    </row>
    <row r="27" spans="1:27">
      <c r="A27" s="154" t="s">
        <v>205</v>
      </c>
      <c r="B27" s="11" t="s">
        <v>110</v>
      </c>
      <c r="C27" s="27" t="s">
        <v>60</v>
      </c>
      <c r="D27" s="11" t="s">
        <v>111</v>
      </c>
      <c r="E27" s="35">
        <v>8</v>
      </c>
      <c r="F27" s="35">
        <v>12.4</v>
      </c>
      <c r="G27" s="35">
        <v>1302.02</v>
      </c>
      <c r="H27" s="36">
        <v>16.145</v>
      </c>
      <c r="I27" s="37">
        <v>0</v>
      </c>
      <c r="J27" s="37">
        <v>0</v>
      </c>
      <c r="K27" s="37">
        <v>0</v>
      </c>
      <c r="L27" s="37">
        <v>0</v>
      </c>
      <c r="M27" s="37">
        <f t="shared" ref="M27:M28" si="20">F27/6*G27</f>
        <v>2690.8413333333338</v>
      </c>
      <c r="N27" s="37">
        <f t="shared" si="15"/>
        <v>2690.8413333333338</v>
      </c>
      <c r="O27" s="37">
        <f t="shared" si="16"/>
        <v>2690.8413333333338</v>
      </c>
      <c r="P27" s="37">
        <f t="shared" si="17"/>
        <v>2690.8413333333338</v>
      </c>
      <c r="Q27" s="37">
        <f t="shared" si="18"/>
        <v>2690.8413333333338</v>
      </c>
      <c r="R27" s="37">
        <f t="shared" si="19"/>
        <v>2690.8413333333338</v>
      </c>
      <c r="S27" s="37">
        <v>0</v>
      </c>
      <c r="T27" s="37">
        <v>0</v>
      </c>
      <c r="U27" s="37">
        <f t="shared" si="14"/>
        <v>16145.048000000003</v>
      </c>
    </row>
    <row r="28" spans="1:27">
      <c r="A28" s="154" t="s">
        <v>206</v>
      </c>
      <c r="B28" s="11" t="s">
        <v>33</v>
      </c>
      <c r="C28" s="27" t="s">
        <v>34</v>
      </c>
      <c r="D28" s="11" t="s">
        <v>35</v>
      </c>
      <c r="E28" s="48">
        <v>0.33</v>
      </c>
      <c r="F28" s="35">
        <v>51.666666666666664</v>
      </c>
      <c r="G28" s="35">
        <v>56.69</v>
      </c>
      <c r="H28" s="36">
        <f>SUM(G28*155/3/1000)</f>
        <v>2.9289833333333331</v>
      </c>
      <c r="I28" s="37">
        <v>0</v>
      </c>
      <c r="J28" s="37">
        <v>0</v>
      </c>
      <c r="K28" s="37">
        <v>0</v>
      </c>
      <c r="L28" s="37">
        <v>0</v>
      </c>
      <c r="M28" s="37">
        <f t="shared" si="20"/>
        <v>488.16388888888883</v>
      </c>
      <c r="N28" s="37">
        <f t="shared" si="15"/>
        <v>488.16388888888883</v>
      </c>
      <c r="O28" s="37">
        <f t="shared" si="16"/>
        <v>488.16388888888883</v>
      </c>
      <c r="P28" s="37">
        <f t="shared" si="17"/>
        <v>488.16388888888883</v>
      </c>
      <c r="Q28" s="37">
        <f t="shared" si="18"/>
        <v>488.16388888888883</v>
      </c>
      <c r="R28" s="37">
        <f t="shared" si="19"/>
        <v>488.16388888888883</v>
      </c>
      <c r="S28" s="37">
        <v>0</v>
      </c>
      <c r="T28" s="37">
        <v>0</v>
      </c>
      <c r="U28" s="37">
        <f t="shared" si="14"/>
        <v>2928.9833333333331</v>
      </c>
    </row>
    <row r="29" spans="1:27" ht="12.75" customHeight="1">
      <c r="A29" s="154" t="s">
        <v>207</v>
      </c>
      <c r="B29" s="11" t="s">
        <v>36</v>
      </c>
      <c r="C29" s="27" t="s">
        <v>37</v>
      </c>
      <c r="D29" s="11" t="s">
        <v>38</v>
      </c>
      <c r="E29" s="49">
        <v>0.1</v>
      </c>
      <c r="F29" s="35">
        <f>SUM(E29*365)</f>
        <v>36.5</v>
      </c>
      <c r="G29" s="35">
        <v>147.03</v>
      </c>
      <c r="H29" s="36">
        <f t="shared" si="13"/>
        <v>5.3665950000000002</v>
      </c>
      <c r="I29" s="37">
        <f>F29/12*G29</f>
        <v>447.21625</v>
      </c>
      <c r="J29" s="37">
        <f>F29/12*G29</f>
        <v>447.21625</v>
      </c>
      <c r="K29" s="37">
        <f>F29/12*G29</f>
        <v>447.21625</v>
      </c>
      <c r="L29" s="37">
        <f>F29/12*G29</f>
        <v>447.21625</v>
      </c>
      <c r="M29" s="37">
        <f>F29/12*G29</f>
        <v>447.21625</v>
      </c>
      <c r="N29" s="37">
        <f>F29/12*G29</f>
        <v>447.21625</v>
      </c>
      <c r="O29" s="37">
        <f>F29/12*G29</f>
        <v>447.21625</v>
      </c>
      <c r="P29" s="37">
        <f>F29/12*G29</f>
        <v>447.21625</v>
      </c>
      <c r="Q29" s="37">
        <f>F29/12*G29</f>
        <v>447.21625</v>
      </c>
      <c r="R29" s="37">
        <f>F29/12*G29</f>
        <v>447.21625</v>
      </c>
      <c r="S29" s="37">
        <f>F29/12*G29</f>
        <v>447.21625</v>
      </c>
      <c r="T29" s="37">
        <f>F29/12*G29</f>
        <v>447.21625</v>
      </c>
      <c r="U29" s="37">
        <f t="shared" si="14"/>
        <v>5366.5950000000012</v>
      </c>
    </row>
    <row r="30" spans="1:27" ht="12.75" customHeight="1">
      <c r="A30" s="154" t="s">
        <v>208</v>
      </c>
      <c r="B30" s="11" t="s">
        <v>158</v>
      </c>
      <c r="C30" s="27" t="s">
        <v>37</v>
      </c>
      <c r="D30" s="11" t="s">
        <v>39</v>
      </c>
      <c r="E30" s="34"/>
      <c r="F30" s="35">
        <v>3</v>
      </c>
      <c r="G30" s="35">
        <v>191.32</v>
      </c>
      <c r="H30" s="36">
        <f t="shared" si="13"/>
        <v>0.57396000000000003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f t="shared" si="14"/>
        <v>0</v>
      </c>
    </row>
    <row r="31" spans="1:27" ht="13.5" customHeight="1">
      <c r="A31" s="154" t="s">
        <v>137</v>
      </c>
      <c r="B31" s="11" t="s">
        <v>159</v>
      </c>
      <c r="C31" s="27" t="s">
        <v>40</v>
      </c>
      <c r="D31" s="11" t="s">
        <v>39</v>
      </c>
      <c r="E31" s="34"/>
      <c r="F31" s="35">
        <v>2</v>
      </c>
      <c r="G31" s="35">
        <v>1136.32</v>
      </c>
      <c r="H31" s="36">
        <f t="shared" si="13"/>
        <v>2.27264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f t="shared" si="14"/>
        <v>0</v>
      </c>
    </row>
    <row r="32" spans="1:27">
      <c r="A32" s="154"/>
      <c r="B32" s="50" t="s">
        <v>41</v>
      </c>
      <c r="C32" s="27" t="s">
        <v>42</v>
      </c>
      <c r="D32" s="50" t="s">
        <v>38</v>
      </c>
      <c r="E32" s="34">
        <v>5916.3</v>
      </c>
      <c r="F32" s="35">
        <f>SUM(E32*12)</f>
        <v>70995.600000000006</v>
      </c>
      <c r="G32" s="35">
        <v>3.33</v>
      </c>
      <c r="H32" s="36">
        <f t="shared" si="13"/>
        <v>236.41534800000002</v>
      </c>
      <c r="I32" s="37">
        <f>F32/12*G32</f>
        <v>19701.279000000002</v>
      </c>
      <c r="J32" s="37">
        <f>F32/12*G32</f>
        <v>19701.279000000002</v>
      </c>
      <c r="K32" s="37">
        <f>F32/12*G32</f>
        <v>19701.279000000002</v>
      </c>
      <c r="L32" s="37">
        <f>F32/12*G32</f>
        <v>19701.279000000002</v>
      </c>
      <c r="M32" s="37">
        <f>F32/12*G32</f>
        <v>19701.279000000002</v>
      </c>
      <c r="N32" s="37">
        <f>F32/12*G32</f>
        <v>19701.279000000002</v>
      </c>
      <c r="O32" s="37">
        <f>F32/12*G32</f>
        <v>19701.279000000002</v>
      </c>
      <c r="P32" s="37">
        <f>F32/12*G32</f>
        <v>19701.279000000002</v>
      </c>
      <c r="Q32" s="37">
        <f t="shared" ref="Q32" si="21">F32/12*G32</f>
        <v>19701.279000000002</v>
      </c>
      <c r="R32" s="37">
        <f t="shared" ref="R32" si="22">F32/12*G32</f>
        <v>19701.279000000002</v>
      </c>
      <c r="S32" s="37">
        <f t="shared" ref="S32" si="23">F32/12*G32</f>
        <v>19701.279000000002</v>
      </c>
      <c r="T32" s="37">
        <f t="shared" ref="T32" si="24">F32/12*G32</f>
        <v>19701.279000000002</v>
      </c>
      <c r="U32" s="37">
        <f t="shared" si="14"/>
        <v>236415.34800000009</v>
      </c>
    </row>
    <row r="33" spans="1:27" s="19" customFormat="1">
      <c r="A33" s="155"/>
      <c r="B33" s="20" t="s">
        <v>27</v>
      </c>
      <c r="C33" s="42"/>
      <c r="D33" s="20"/>
      <c r="E33" s="43"/>
      <c r="F33" s="44"/>
      <c r="G33" s="44"/>
      <c r="H33" s="51">
        <f>SUM(H24:H32)</f>
        <v>279.55569471033334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>
        <f>SUM(U24:U32)</f>
        <v>276709.1427103334</v>
      </c>
      <c r="V33" s="149"/>
      <c r="W33" s="149"/>
      <c r="X33" s="149"/>
      <c r="Y33" s="149"/>
      <c r="Z33" s="149"/>
      <c r="AA33" s="149"/>
    </row>
    <row r="34" spans="1:27">
      <c r="A34" s="154"/>
      <c r="B34" s="12" t="s">
        <v>44</v>
      </c>
      <c r="C34" s="27"/>
      <c r="D34" s="11"/>
      <c r="E34" s="34"/>
      <c r="F34" s="35"/>
      <c r="G34" s="35"/>
      <c r="H34" s="36" t="s">
        <v>43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7" ht="12.75" customHeight="1">
      <c r="A35" s="154" t="s">
        <v>137</v>
      </c>
      <c r="B35" s="13" t="s">
        <v>45</v>
      </c>
      <c r="C35" s="27" t="s">
        <v>40</v>
      </c>
      <c r="D35" s="11"/>
      <c r="E35" s="34"/>
      <c r="F35" s="35">
        <v>10</v>
      </c>
      <c r="G35" s="35">
        <v>1527.22</v>
      </c>
      <c r="H35" s="36">
        <f t="shared" ref="H35:H41" si="25">SUM(F35*G35/1000)</f>
        <v>15.272200000000002</v>
      </c>
      <c r="I35" s="37">
        <f t="shared" ref="I35:I41" si="26">F35/6*G35</f>
        <v>2545.3666666666668</v>
      </c>
      <c r="J35" s="37">
        <f>F35/6*G35</f>
        <v>2545.3666666666668</v>
      </c>
      <c r="K35" s="37">
        <f>F35/6*G35</f>
        <v>2545.3666666666668</v>
      </c>
      <c r="L35" s="37">
        <f>F35/6*G35</f>
        <v>2545.3666666666668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f>F35/6*G35</f>
        <v>2545.3666666666668</v>
      </c>
      <c r="T35" s="37">
        <f>F35/6*G35</f>
        <v>2545.3666666666668</v>
      </c>
      <c r="U35" s="37">
        <f t="shared" ref="U35:U41" si="27">SUM(I35:T35)</f>
        <v>15272.2</v>
      </c>
    </row>
    <row r="36" spans="1:27">
      <c r="A36" s="156" t="s">
        <v>209</v>
      </c>
      <c r="B36" s="13" t="s">
        <v>160</v>
      </c>
      <c r="C36" s="52" t="s">
        <v>46</v>
      </c>
      <c r="D36" s="13" t="s">
        <v>114</v>
      </c>
      <c r="E36" s="53">
        <v>634</v>
      </c>
      <c r="F36" s="53">
        <f>SUM(E36*12/1000)</f>
        <v>7.6079999999999997</v>
      </c>
      <c r="G36" s="53">
        <v>2102.71</v>
      </c>
      <c r="H36" s="36">
        <f t="shared" ref="H36" si="28">SUM(F36*G36/1000)</f>
        <v>15.997417679999998</v>
      </c>
      <c r="I36" s="54">
        <f t="shared" si="26"/>
        <v>2666.2362800000001</v>
      </c>
      <c r="J36" s="54">
        <f t="shared" ref="J36:J41" si="29">F36/6*G36</f>
        <v>2666.2362800000001</v>
      </c>
      <c r="K36" s="37">
        <f t="shared" ref="K36:K41" si="30">F36/6*G36</f>
        <v>2666.2362800000001</v>
      </c>
      <c r="L36" s="37">
        <f t="shared" ref="L36:L40" si="31">F36/6*G36</f>
        <v>2666.2362800000001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f t="shared" ref="S36:S41" si="32">F36/6*G36</f>
        <v>2666.2362800000001</v>
      </c>
      <c r="T36" s="37">
        <f t="shared" ref="T36:T41" si="33">F36/6*G36</f>
        <v>2666.2362800000001</v>
      </c>
      <c r="U36" s="37">
        <f t="shared" si="27"/>
        <v>15997.417680000002</v>
      </c>
    </row>
    <row r="37" spans="1:27" s="1" customFormat="1" ht="25.5">
      <c r="A37" s="156" t="s">
        <v>209</v>
      </c>
      <c r="B37" s="13" t="s">
        <v>161</v>
      </c>
      <c r="C37" s="52" t="s">
        <v>46</v>
      </c>
      <c r="D37" s="13" t="s">
        <v>115</v>
      </c>
      <c r="E37" s="53">
        <v>289.39999999999998</v>
      </c>
      <c r="F37" s="53">
        <f>SUM(E37*30/1000)</f>
        <v>8.6820000000000004</v>
      </c>
      <c r="G37" s="53">
        <v>2102.71</v>
      </c>
      <c r="H37" s="36">
        <f t="shared" si="25"/>
        <v>18.255728220000002</v>
      </c>
      <c r="I37" s="54">
        <f t="shared" si="26"/>
        <v>3042.6213700000003</v>
      </c>
      <c r="J37" s="54">
        <f t="shared" si="29"/>
        <v>3042.6213700000003</v>
      </c>
      <c r="K37" s="37">
        <f t="shared" si="30"/>
        <v>3042.6213700000003</v>
      </c>
      <c r="L37" s="37">
        <f t="shared" si="31"/>
        <v>3042.6213700000003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f t="shared" si="32"/>
        <v>3042.6213700000003</v>
      </c>
      <c r="T37" s="37">
        <f t="shared" si="33"/>
        <v>3042.6213700000003</v>
      </c>
      <c r="U37" s="37">
        <f t="shared" si="27"/>
        <v>18255.728220000001</v>
      </c>
      <c r="V37" s="150"/>
      <c r="W37" s="150"/>
      <c r="X37" s="150"/>
      <c r="Y37" s="150"/>
      <c r="Z37" s="150"/>
      <c r="AA37" s="150"/>
    </row>
    <row r="38" spans="1:27" ht="25.5" customHeight="1">
      <c r="A38" s="154" t="s">
        <v>210</v>
      </c>
      <c r="B38" s="11" t="s">
        <v>162</v>
      </c>
      <c r="C38" s="27" t="s">
        <v>46</v>
      </c>
      <c r="D38" s="11" t="s">
        <v>47</v>
      </c>
      <c r="E38" s="35">
        <v>289.39999999999998</v>
      </c>
      <c r="F38" s="53">
        <f>SUM(E38*155/1000)</f>
        <v>44.856999999999999</v>
      </c>
      <c r="G38" s="35">
        <v>350.75</v>
      </c>
      <c r="H38" s="36">
        <f t="shared" si="25"/>
        <v>15.73359275</v>
      </c>
      <c r="I38" s="37">
        <f t="shared" si="26"/>
        <v>2622.2654583333333</v>
      </c>
      <c r="J38" s="37">
        <f t="shared" si="29"/>
        <v>2622.2654583333333</v>
      </c>
      <c r="K38" s="37">
        <f t="shared" si="30"/>
        <v>2622.2654583333333</v>
      </c>
      <c r="L38" s="37">
        <f t="shared" si="31"/>
        <v>2622.2654583333333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f t="shared" si="32"/>
        <v>2622.2654583333333</v>
      </c>
      <c r="T38" s="37">
        <f t="shared" si="33"/>
        <v>2622.2654583333333</v>
      </c>
      <c r="U38" s="37">
        <f t="shared" si="27"/>
        <v>15733.59275</v>
      </c>
    </row>
    <row r="39" spans="1:27" ht="51" customHeight="1">
      <c r="A39" s="154" t="s">
        <v>211</v>
      </c>
      <c r="B39" s="11" t="s">
        <v>163</v>
      </c>
      <c r="C39" s="27" t="s">
        <v>29</v>
      </c>
      <c r="D39" s="11" t="s">
        <v>116</v>
      </c>
      <c r="E39" s="35">
        <v>108</v>
      </c>
      <c r="F39" s="53">
        <f>SUM(E39*24/1000)</f>
        <v>2.5920000000000001</v>
      </c>
      <c r="G39" s="35">
        <v>5803.28</v>
      </c>
      <c r="H39" s="36">
        <f t="shared" si="25"/>
        <v>15.04210176</v>
      </c>
      <c r="I39" s="37">
        <f t="shared" si="26"/>
        <v>2507.0169599999999</v>
      </c>
      <c r="J39" s="37">
        <f t="shared" si="29"/>
        <v>2507.0169599999999</v>
      </c>
      <c r="K39" s="37">
        <f t="shared" si="30"/>
        <v>2507.0169599999999</v>
      </c>
      <c r="L39" s="37">
        <f t="shared" si="31"/>
        <v>2507.0169599999999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f t="shared" si="32"/>
        <v>2507.0169599999999</v>
      </c>
      <c r="T39" s="37">
        <f t="shared" si="33"/>
        <v>2507.0169599999999</v>
      </c>
      <c r="U39" s="37">
        <f t="shared" si="27"/>
        <v>15042.101760000001</v>
      </c>
    </row>
    <row r="40" spans="1:27" ht="12.75" customHeight="1">
      <c r="A40" s="154" t="s">
        <v>212</v>
      </c>
      <c r="B40" s="11" t="s">
        <v>164</v>
      </c>
      <c r="C40" s="27" t="s">
        <v>29</v>
      </c>
      <c r="D40" s="11" t="s">
        <v>48</v>
      </c>
      <c r="E40" s="35">
        <v>134.4</v>
      </c>
      <c r="F40" s="53">
        <f>SUM(E40*45/1000)</f>
        <v>6.048</v>
      </c>
      <c r="G40" s="35">
        <v>428.7</v>
      </c>
      <c r="H40" s="36">
        <f t="shared" si="25"/>
        <v>2.5927775999999998</v>
      </c>
      <c r="I40" s="37">
        <f t="shared" si="26"/>
        <v>432.12959999999998</v>
      </c>
      <c r="J40" s="37">
        <f t="shared" si="29"/>
        <v>432.12959999999998</v>
      </c>
      <c r="K40" s="37">
        <f t="shared" si="30"/>
        <v>432.12959999999998</v>
      </c>
      <c r="L40" s="37">
        <f t="shared" si="31"/>
        <v>432.12959999999998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f t="shared" si="32"/>
        <v>432.12959999999998</v>
      </c>
      <c r="T40" s="37">
        <f t="shared" si="33"/>
        <v>432.12959999999998</v>
      </c>
      <c r="U40" s="37">
        <f t="shared" si="27"/>
        <v>2592.7776000000003</v>
      </c>
    </row>
    <row r="41" spans="1:27" s="2" customFormat="1">
      <c r="A41" s="156"/>
      <c r="B41" s="13" t="s">
        <v>165</v>
      </c>
      <c r="C41" s="52" t="s">
        <v>37</v>
      </c>
      <c r="D41" s="13"/>
      <c r="E41" s="49"/>
      <c r="F41" s="53">
        <v>0.9</v>
      </c>
      <c r="G41" s="53">
        <v>798</v>
      </c>
      <c r="H41" s="36">
        <f t="shared" si="25"/>
        <v>0.71820000000000006</v>
      </c>
      <c r="I41" s="54">
        <f t="shared" si="26"/>
        <v>119.69999999999999</v>
      </c>
      <c r="J41" s="54">
        <f t="shared" si="29"/>
        <v>119.69999999999999</v>
      </c>
      <c r="K41" s="37">
        <f t="shared" si="30"/>
        <v>119.69999999999999</v>
      </c>
      <c r="L41" s="37">
        <f>F41/6*G41</f>
        <v>119.69999999999999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f t="shared" si="32"/>
        <v>119.69999999999999</v>
      </c>
      <c r="T41" s="37">
        <f t="shared" si="33"/>
        <v>119.69999999999999</v>
      </c>
      <c r="U41" s="37">
        <f t="shared" si="27"/>
        <v>718.2</v>
      </c>
      <c r="V41" s="149"/>
      <c r="W41" s="149"/>
      <c r="X41" s="149"/>
      <c r="Y41" s="149"/>
      <c r="Z41" s="149"/>
      <c r="AA41" s="149"/>
    </row>
    <row r="42" spans="1:27" s="19" customFormat="1">
      <c r="A42" s="155"/>
      <c r="B42" s="20" t="s">
        <v>27</v>
      </c>
      <c r="C42" s="42"/>
      <c r="D42" s="20"/>
      <c r="E42" s="43"/>
      <c r="F42" s="44" t="s">
        <v>43</v>
      </c>
      <c r="G42" s="44"/>
      <c r="H42" s="51">
        <f>SUM(H35:H41)</f>
        <v>83.61201801</v>
      </c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>
        <f>SUM(U35:U41)</f>
        <v>83612.01801</v>
      </c>
      <c r="V42" s="149"/>
      <c r="W42" s="149"/>
      <c r="X42" s="149"/>
      <c r="Y42" s="149"/>
      <c r="Z42" s="149"/>
      <c r="AA42" s="149"/>
    </row>
    <row r="43" spans="1:27">
      <c r="A43" s="154"/>
      <c r="B43" s="14" t="s">
        <v>49</v>
      </c>
      <c r="C43" s="27"/>
      <c r="D43" s="11"/>
      <c r="E43" s="34"/>
      <c r="F43" s="35"/>
      <c r="G43" s="35"/>
      <c r="H43" s="36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7">
      <c r="A44" s="154" t="s">
        <v>213</v>
      </c>
      <c r="B44" s="11" t="s">
        <v>169</v>
      </c>
      <c r="C44" s="27" t="s">
        <v>29</v>
      </c>
      <c r="D44" s="11" t="s">
        <v>50</v>
      </c>
      <c r="E44" s="34">
        <v>1662.5</v>
      </c>
      <c r="F44" s="35">
        <f>SUM(E44*2/1000)</f>
        <v>3.3250000000000002</v>
      </c>
      <c r="G44" s="55">
        <v>849.49</v>
      </c>
      <c r="H44" s="36">
        <f t="shared" ref="H44:H52" si="34">SUM(F44*G44/1000)</f>
        <v>2.8245542500000003</v>
      </c>
      <c r="I44" s="37">
        <v>0</v>
      </c>
      <c r="J44" s="37">
        <v>0</v>
      </c>
      <c r="K44" s="37">
        <v>0</v>
      </c>
      <c r="L44" s="37">
        <v>0</v>
      </c>
      <c r="M44" s="37">
        <f>F44/2*G44</f>
        <v>1412.2771250000001</v>
      </c>
      <c r="N44" s="37">
        <v>0</v>
      </c>
      <c r="O44" s="37">
        <v>0</v>
      </c>
      <c r="P44" s="37">
        <v>0</v>
      </c>
      <c r="Q44" s="37">
        <f>F44/2*G44</f>
        <v>1412.2771250000001</v>
      </c>
      <c r="R44" s="37">
        <v>0</v>
      </c>
      <c r="S44" s="37">
        <v>0</v>
      </c>
      <c r="T44" s="37">
        <v>0</v>
      </c>
      <c r="U44" s="37">
        <f>SUM(I44:T44)</f>
        <v>2824.5542500000001</v>
      </c>
    </row>
    <row r="45" spans="1:27">
      <c r="A45" s="154" t="s">
        <v>214</v>
      </c>
      <c r="B45" s="11" t="s">
        <v>51</v>
      </c>
      <c r="C45" s="27" t="s">
        <v>29</v>
      </c>
      <c r="D45" s="11" t="s">
        <v>50</v>
      </c>
      <c r="E45" s="34">
        <v>92.8</v>
      </c>
      <c r="F45" s="35">
        <f>SUM(E45*2/1000)</f>
        <v>0.18559999999999999</v>
      </c>
      <c r="G45" s="55">
        <v>579.48</v>
      </c>
      <c r="H45" s="36">
        <f t="shared" si="34"/>
        <v>0.10755148799999999</v>
      </c>
      <c r="I45" s="37">
        <v>0</v>
      </c>
      <c r="J45" s="37">
        <v>0</v>
      </c>
      <c r="K45" s="37">
        <v>0</v>
      </c>
      <c r="L45" s="37">
        <v>0</v>
      </c>
      <c r="M45" s="37">
        <f t="shared" ref="M45:M47" si="35">F45/2*G45</f>
        <v>53.775743999999996</v>
      </c>
      <c r="N45" s="37">
        <v>0</v>
      </c>
      <c r="O45" s="37">
        <v>0</v>
      </c>
      <c r="P45" s="37">
        <v>0</v>
      </c>
      <c r="Q45" s="37">
        <f t="shared" ref="Q45:Q47" si="36">F45/2*G45</f>
        <v>53.775743999999996</v>
      </c>
      <c r="R45" s="37">
        <v>0</v>
      </c>
      <c r="S45" s="37">
        <v>0</v>
      </c>
      <c r="T45" s="37">
        <v>0</v>
      </c>
      <c r="U45" s="37">
        <f>SUM(I45:T45)</f>
        <v>107.55148799999999</v>
      </c>
    </row>
    <row r="46" spans="1:27" ht="12.75" customHeight="1">
      <c r="A46" s="154" t="s">
        <v>215</v>
      </c>
      <c r="B46" s="11" t="s">
        <v>52</v>
      </c>
      <c r="C46" s="27" t="s">
        <v>29</v>
      </c>
      <c r="D46" s="11" t="s">
        <v>50</v>
      </c>
      <c r="E46" s="34">
        <v>4750.7</v>
      </c>
      <c r="F46" s="35">
        <f>SUM(E46*2/1000)</f>
        <v>9.5014000000000003</v>
      </c>
      <c r="G46" s="55">
        <v>579.48</v>
      </c>
      <c r="H46" s="36">
        <f t="shared" si="34"/>
        <v>5.5058712720000003</v>
      </c>
      <c r="I46" s="37">
        <v>0</v>
      </c>
      <c r="J46" s="37">
        <v>0</v>
      </c>
      <c r="K46" s="37">
        <v>0</v>
      </c>
      <c r="L46" s="37">
        <v>0</v>
      </c>
      <c r="M46" s="37">
        <f t="shared" si="35"/>
        <v>2752.9356360000002</v>
      </c>
      <c r="N46" s="37">
        <v>0</v>
      </c>
      <c r="O46" s="37">
        <v>0</v>
      </c>
      <c r="P46" s="37">
        <v>0</v>
      </c>
      <c r="Q46" s="37">
        <f t="shared" si="36"/>
        <v>2752.9356360000002</v>
      </c>
      <c r="R46" s="37">
        <v>0</v>
      </c>
      <c r="S46" s="37">
        <v>0</v>
      </c>
      <c r="T46" s="37">
        <v>0</v>
      </c>
      <c r="U46" s="37">
        <f>SUM(I46:T46)</f>
        <v>5505.8712720000003</v>
      </c>
    </row>
    <row r="47" spans="1:27">
      <c r="A47" s="154" t="s">
        <v>216</v>
      </c>
      <c r="B47" s="11" t="s">
        <v>53</v>
      </c>
      <c r="C47" s="27" t="s">
        <v>29</v>
      </c>
      <c r="D47" s="11" t="s">
        <v>50</v>
      </c>
      <c r="E47" s="34">
        <v>2840.99</v>
      </c>
      <c r="F47" s="35">
        <f>SUM(E47*2/1000)</f>
        <v>5.6819799999999994</v>
      </c>
      <c r="G47" s="55">
        <v>606.77</v>
      </c>
      <c r="H47" s="36">
        <f t="shared" si="34"/>
        <v>3.4476550045999992</v>
      </c>
      <c r="I47" s="37">
        <v>0</v>
      </c>
      <c r="J47" s="37">
        <v>0</v>
      </c>
      <c r="K47" s="37">
        <v>0</v>
      </c>
      <c r="L47" s="37">
        <v>0</v>
      </c>
      <c r="M47" s="37">
        <f t="shared" si="35"/>
        <v>1723.8275022999997</v>
      </c>
      <c r="N47" s="37">
        <v>0</v>
      </c>
      <c r="O47" s="37">
        <v>0</v>
      </c>
      <c r="P47" s="37">
        <v>0</v>
      </c>
      <c r="Q47" s="37">
        <f t="shared" si="36"/>
        <v>1723.8275022999997</v>
      </c>
      <c r="R47" s="37">
        <v>0</v>
      </c>
      <c r="S47" s="37">
        <v>0</v>
      </c>
      <c r="T47" s="37">
        <v>0</v>
      </c>
      <c r="U47" s="37">
        <f>SUM(I47:T47)</f>
        <v>3447.6550045999993</v>
      </c>
    </row>
    <row r="48" spans="1:27" ht="25.5">
      <c r="A48" s="154" t="s">
        <v>217</v>
      </c>
      <c r="B48" s="11" t="s">
        <v>54</v>
      </c>
      <c r="C48" s="27" t="s">
        <v>29</v>
      </c>
      <c r="D48" s="11" t="s">
        <v>55</v>
      </c>
      <c r="E48" s="34">
        <v>1652.5</v>
      </c>
      <c r="F48" s="35">
        <f>SUM(E48*5/1000)</f>
        <v>8.2624999999999993</v>
      </c>
      <c r="G48" s="55">
        <v>1213.55</v>
      </c>
      <c r="H48" s="36">
        <f t="shared" si="34"/>
        <v>10.026956874999998</v>
      </c>
      <c r="I48" s="37">
        <f>F48/5*G48</f>
        <v>2005.3913749999997</v>
      </c>
      <c r="J48" s="37">
        <f>F48/5*G48</f>
        <v>2005.3913749999997</v>
      </c>
      <c r="K48" s="37">
        <v>0</v>
      </c>
      <c r="L48" s="37">
        <v>0</v>
      </c>
      <c r="M48" s="37">
        <f>F48/5*G48</f>
        <v>2005.3913749999997</v>
      </c>
      <c r="N48" s="37">
        <v>0</v>
      </c>
      <c r="O48" s="37">
        <v>0</v>
      </c>
      <c r="P48" s="37">
        <v>0</v>
      </c>
      <c r="Q48" s="37">
        <f>F48/5*G48</f>
        <v>2005.3913749999997</v>
      </c>
      <c r="R48" s="37">
        <v>0</v>
      </c>
      <c r="S48" s="37">
        <v>0</v>
      </c>
      <c r="T48" s="37">
        <f>F48/5*G48</f>
        <v>2005.3913749999997</v>
      </c>
      <c r="U48" s="37">
        <f>SUM(I48:T48)</f>
        <v>10026.956874999998</v>
      </c>
    </row>
    <row r="49" spans="1:27" ht="38.25" customHeight="1">
      <c r="A49" s="154" t="s">
        <v>218</v>
      </c>
      <c r="B49" s="11" t="s">
        <v>56</v>
      </c>
      <c r="C49" s="27" t="s">
        <v>29</v>
      </c>
      <c r="D49" s="11" t="s">
        <v>50</v>
      </c>
      <c r="E49" s="34">
        <v>1652.5</v>
      </c>
      <c r="F49" s="35">
        <f>SUM(E49*2/1000)</f>
        <v>3.3050000000000002</v>
      </c>
      <c r="G49" s="55">
        <v>1213.55</v>
      </c>
      <c r="H49" s="36">
        <f t="shared" si="34"/>
        <v>4.0107827499999997</v>
      </c>
      <c r="I49" s="37">
        <v>0</v>
      </c>
      <c r="J49" s="37">
        <v>0</v>
      </c>
      <c r="K49" s="37">
        <v>0</v>
      </c>
      <c r="L49" s="37">
        <f>F49/2*G49</f>
        <v>2005.3913749999999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f>F49/2*G49</f>
        <v>2005.3913749999999</v>
      </c>
      <c r="S49" s="37">
        <v>0</v>
      </c>
      <c r="T49" s="37">
        <v>0</v>
      </c>
      <c r="U49" s="37">
        <f t="shared" ref="U49:U52" si="37">SUM(I49:T49)</f>
        <v>4010.7827499999999</v>
      </c>
    </row>
    <row r="50" spans="1:27" ht="25.5" customHeight="1">
      <c r="A50" s="154" t="s">
        <v>219</v>
      </c>
      <c r="B50" s="11" t="s">
        <v>57</v>
      </c>
      <c r="C50" s="27" t="s">
        <v>58</v>
      </c>
      <c r="D50" s="11" t="s">
        <v>50</v>
      </c>
      <c r="E50" s="34">
        <v>40</v>
      </c>
      <c r="F50" s="35">
        <f>SUM(E50*2/100)</f>
        <v>0.8</v>
      </c>
      <c r="G50" s="55">
        <v>2730.49</v>
      </c>
      <c r="H50" s="36">
        <f t="shared" si="34"/>
        <v>2.1843919999999999</v>
      </c>
      <c r="I50" s="37">
        <v>0</v>
      </c>
      <c r="J50" s="37">
        <v>0</v>
      </c>
      <c r="K50" s="37">
        <v>0</v>
      </c>
      <c r="L50" s="37">
        <f>F50/2*G50</f>
        <v>1092.1959999999999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f t="shared" ref="R50:R51" si="38">F50/2*G50</f>
        <v>1092.1959999999999</v>
      </c>
      <c r="S50" s="37">
        <v>0</v>
      </c>
      <c r="T50" s="37">
        <v>0</v>
      </c>
      <c r="U50" s="37">
        <f>SUM(I50:T50)</f>
        <v>2184.3919999999998</v>
      </c>
    </row>
    <row r="51" spans="1:27">
      <c r="A51" s="154" t="s">
        <v>220</v>
      </c>
      <c r="B51" s="11" t="s">
        <v>59</v>
      </c>
      <c r="C51" s="27" t="s">
        <v>60</v>
      </c>
      <c r="D51" s="11" t="s">
        <v>50</v>
      </c>
      <c r="E51" s="34">
        <v>1</v>
      </c>
      <c r="F51" s="35">
        <v>0.02</v>
      </c>
      <c r="G51" s="55">
        <v>5652.13</v>
      </c>
      <c r="H51" s="36">
        <f t="shared" si="34"/>
        <v>0.11304260000000001</v>
      </c>
      <c r="I51" s="37">
        <v>0</v>
      </c>
      <c r="J51" s="37">
        <v>0</v>
      </c>
      <c r="K51" s="37">
        <v>0</v>
      </c>
      <c r="L51" s="37">
        <f>F51/2*G51</f>
        <v>56.521300000000004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f t="shared" si="38"/>
        <v>56.521300000000004</v>
      </c>
      <c r="S51" s="37">
        <v>0</v>
      </c>
      <c r="T51" s="37">
        <v>0</v>
      </c>
      <c r="U51" s="37">
        <f t="shared" si="37"/>
        <v>113.04260000000001</v>
      </c>
    </row>
    <row r="52" spans="1:27" ht="13.5" customHeight="1">
      <c r="A52" s="154" t="s">
        <v>62</v>
      </c>
      <c r="B52" s="11" t="s">
        <v>63</v>
      </c>
      <c r="C52" s="27" t="s">
        <v>61</v>
      </c>
      <c r="D52" s="11" t="s">
        <v>96</v>
      </c>
      <c r="E52" s="34">
        <v>236</v>
      </c>
      <c r="F52" s="35">
        <f>SUM(E52)*3</f>
        <v>708</v>
      </c>
      <c r="G52" s="56">
        <v>65.67</v>
      </c>
      <c r="H52" s="36">
        <f t="shared" si="34"/>
        <v>46.49436</v>
      </c>
      <c r="I52" s="37">
        <f>G52*E52</f>
        <v>15498.12</v>
      </c>
      <c r="J52" s="37">
        <v>0</v>
      </c>
      <c r="K52" s="37">
        <v>0</v>
      </c>
      <c r="L52" s="37">
        <f>E52*G52</f>
        <v>15498.12</v>
      </c>
      <c r="M52" s="37">
        <v>0</v>
      </c>
      <c r="N52" s="37">
        <v>0</v>
      </c>
      <c r="O52" s="37">
        <v>0</v>
      </c>
      <c r="P52" s="37">
        <f>E52*G52</f>
        <v>15498.12</v>
      </c>
      <c r="Q52" s="37">
        <v>0</v>
      </c>
      <c r="R52" s="37">
        <v>0</v>
      </c>
      <c r="S52" s="37">
        <v>0</v>
      </c>
      <c r="T52" s="37">
        <v>0</v>
      </c>
      <c r="U52" s="37">
        <f t="shared" si="37"/>
        <v>46494.36</v>
      </c>
    </row>
    <row r="53" spans="1:27" s="21" customFormat="1">
      <c r="A53" s="157"/>
      <c r="B53" s="20" t="s">
        <v>27</v>
      </c>
      <c r="C53" s="57"/>
      <c r="D53" s="20"/>
      <c r="E53" s="58"/>
      <c r="F53" s="59"/>
      <c r="G53" s="59"/>
      <c r="H53" s="51">
        <f>SUM(H44:H52)</f>
        <v>74.715166239599995</v>
      </c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>
        <f>SUM(U44:U52)</f>
        <v>74715.166239599988</v>
      </c>
      <c r="V53" s="149"/>
      <c r="W53" s="149"/>
      <c r="X53" s="149"/>
      <c r="Y53" s="149"/>
      <c r="Z53" s="149"/>
      <c r="AA53" s="149"/>
    </row>
    <row r="54" spans="1:27">
      <c r="A54" s="154"/>
      <c r="B54" s="12" t="s">
        <v>64</v>
      </c>
      <c r="C54" s="27"/>
      <c r="D54" s="11"/>
      <c r="E54" s="34"/>
      <c r="F54" s="35"/>
      <c r="G54" s="35"/>
      <c r="H54" s="36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7" ht="38.25">
      <c r="A55" s="158" t="s">
        <v>221</v>
      </c>
      <c r="B55" s="11" t="s">
        <v>166</v>
      </c>
      <c r="C55" s="27" t="s">
        <v>13</v>
      </c>
      <c r="D55" s="11" t="s">
        <v>105</v>
      </c>
      <c r="E55" s="34">
        <v>166.25</v>
      </c>
      <c r="F55" s="35">
        <f>E55*6/100</f>
        <v>9.9749999999999996</v>
      </c>
      <c r="G55" s="61">
        <v>1547.28</v>
      </c>
      <c r="H55" s="36">
        <f>F55*G55/1000</f>
        <v>15.434117999999998</v>
      </c>
      <c r="I55" s="37">
        <f>F55/6*G55</f>
        <v>2572.3529999999996</v>
      </c>
      <c r="J55" s="37">
        <f>F55/6*G55</f>
        <v>2572.3529999999996</v>
      </c>
      <c r="K55" s="37">
        <f>F55/6*G55</f>
        <v>2572.3529999999996</v>
      </c>
      <c r="L55" s="37">
        <f>F55/6*G55</f>
        <v>2572.3529999999996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f>F55/6*G55</f>
        <v>2572.3529999999996</v>
      </c>
      <c r="T55" s="37">
        <f>F55/6*G55</f>
        <v>2572.3529999999996</v>
      </c>
      <c r="U55" s="37">
        <f>SUM(I55:T55)</f>
        <v>15434.117999999997</v>
      </c>
    </row>
    <row r="56" spans="1:27" ht="12.75" customHeight="1">
      <c r="A56" s="158" t="s">
        <v>222</v>
      </c>
      <c r="B56" s="22" t="s">
        <v>106</v>
      </c>
      <c r="C56" s="62" t="s">
        <v>13</v>
      </c>
      <c r="D56" s="22" t="s">
        <v>105</v>
      </c>
      <c r="E56" s="63">
        <v>56</v>
      </c>
      <c r="F56" s="64">
        <f>E56*6/100</f>
        <v>3.36</v>
      </c>
      <c r="G56" s="61">
        <v>1547.28</v>
      </c>
      <c r="H56" s="65">
        <f>F56*G56/1000</f>
        <v>5.1988607999999994</v>
      </c>
      <c r="I56" s="37">
        <f>F56/6*G56</f>
        <v>866.47679999999991</v>
      </c>
      <c r="J56" s="37">
        <f>F56/6*G56</f>
        <v>866.47679999999991</v>
      </c>
      <c r="K56" s="37">
        <f>F56/6*G56</f>
        <v>866.47679999999991</v>
      </c>
      <c r="L56" s="37">
        <f>F56/6*G56</f>
        <v>866.47679999999991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f>F56/6*G56</f>
        <v>866.47679999999991</v>
      </c>
      <c r="T56" s="37">
        <f>F56/6*G56</f>
        <v>866.47679999999991</v>
      </c>
      <c r="U56" s="37">
        <f>SUM(I56:T56)</f>
        <v>5198.8608000000004</v>
      </c>
    </row>
    <row r="57" spans="1:27" ht="12.75" customHeight="1">
      <c r="A57" s="154" t="s">
        <v>223</v>
      </c>
      <c r="B57" s="22" t="s">
        <v>101</v>
      </c>
      <c r="C57" s="62" t="s">
        <v>102</v>
      </c>
      <c r="D57" s="22" t="s">
        <v>50</v>
      </c>
      <c r="E57" s="63">
        <v>8</v>
      </c>
      <c r="F57" s="64">
        <v>16</v>
      </c>
      <c r="G57" s="66">
        <v>180.78</v>
      </c>
      <c r="H57" s="65">
        <f>F57*G57/1000</f>
        <v>2.8924799999999999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f>SUM(I57:T57)</f>
        <v>0</v>
      </c>
    </row>
    <row r="58" spans="1:27" ht="12.75" customHeight="1">
      <c r="A58" s="159"/>
      <c r="B58" s="23" t="s">
        <v>65</v>
      </c>
      <c r="C58" s="62"/>
      <c r="D58" s="22"/>
      <c r="E58" s="63"/>
      <c r="F58" s="64"/>
      <c r="G58" s="67"/>
      <c r="H58" s="65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7" ht="12.75" customHeight="1">
      <c r="A59" s="159"/>
      <c r="B59" s="22" t="s">
        <v>103</v>
      </c>
      <c r="C59" s="62" t="s">
        <v>66</v>
      </c>
      <c r="D59" s="22" t="s">
        <v>67</v>
      </c>
      <c r="E59" s="63">
        <v>330.5</v>
      </c>
      <c r="F59" s="64">
        <f>E59*12</f>
        <v>3966</v>
      </c>
      <c r="G59" s="68">
        <v>2.5960000000000001</v>
      </c>
      <c r="H59" s="65">
        <f>G59*F59/1000</f>
        <v>10.295736000000002</v>
      </c>
      <c r="I59" s="37">
        <f>F59/12*G59</f>
        <v>857.97800000000007</v>
      </c>
      <c r="J59" s="37">
        <f>F59/12*G59</f>
        <v>857.97800000000007</v>
      </c>
      <c r="K59" s="37">
        <f>F59/12*G59</f>
        <v>857.97800000000007</v>
      </c>
      <c r="L59" s="37">
        <f>F59/12*G59</f>
        <v>857.97800000000007</v>
      </c>
      <c r="M59" s="37">
        <f>F59/12*G59</f>
        <v>857.97800000000007</v>
      </c>
      <c r="N59" s="37">
        <f>F59/12*G59</f>
        <v>857.97800000000007</v>
      </c>
      <c r="O59" s="37">
        <f>F59/12*G59</f>
        <v>857.97800000000007</v>
      </c>
      <c r="P59" s="37">
        <f>F59/12*G59</f>
        <v>857.97800000000007</v>
      </c>
      <c r="Q59" s="37">
        <f>F59/12*G59</f>
        <v>857.97800000000007</v>
      </c>
      <c r="R59" s="37">
        <f>F59/12*G59</f>
        <v>857.97800000000007</v>
      </c>
      <c r="S59" s="37">
        <f>F59/12*G59</f>
        <v>857.97800000000007</v>
      </c>
      <c r="T59" s="37">
        <f>F59/12*G59</f>
        <v>857.97800000000007</v>
      </c>
      <c r="U59" s="37">
        <f>SUM(I59:T59)</f>
        <v>10295.736000000001</v>
      </c>
    </row>
    <row r="60" spans="1:27" ht="12.75" customHeight="1">
      <c r="A60" s="159" t="s">
        <v>224</v>
      </c>
      <c r="B60" s="22" t="s">
        <v>107</v>
      </c>
      <c r="C60" s="62" t="s">
        <v>66</v>
      </c>
      <c r="D60" s="22" t="s">
        <v>32</v>
      </c>
      <c r="E60" s="63">
        <v>1652.5</v>
      </c>
      <c r="F60" s="64">
        <f>E60/100</f>
        <v>16.524999999999999</v>
      </c>
      <c r="G60" s="69">
        <v>793.61</v>
      </c>
      <c r="H60" s="65">
        <f>G60*F60/1000</f>
        <v>13.114405249999999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f>SUM(I60:T60)</f>
        <v>0</v>
      </c>
    </row>
    <row r="61" spans="1:27">
      <c r="A61" s="159"/>
      <c r="B61" s="15" t="s">
        <v>68</v>
      </c>
      <c r="C61" s="62"/>
      <c r="D61" s="22"/>
      <c r="E61" s="63"/>
      <c r="F61" s="64"/>
      <c r="G61" s="64"/>
      <c r="H61" s="65" t="s">
        <v>43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7" ht="12.75" customHeight="1">
      <c r="A62" s="70" t="s">
        <v>225</v>
      </c>
      <c r="B62" s="16" t="s">
        <v>69</v>
      </c>
      <c r="C62" s="70" t="s">
        <v>61</v>
      </c>
      <c r="D62" s="9" t="s">
        <v>39</v>
      </c>
      <c r="E62" s="71">
        <v>10</v>
      </c>
      <c r="F62" s="35">
        <v>10</v>
      </c>
      <c r="G62" s="55">
        <v>222.4</v>
      </c>
      <c r="H62" s="131">
        <f t="shared" ref="H62:H75" si="39">SUM(F62*G62/1000)</f>
        <v>2.2240000000000002</v>
      </c>
      <c r="I62" s="37">
        <f>G62</f>
        <v>222.4</v>
      </c>
      <c r="J62" s="37">
        <f>G62*4</f>
        <v>889.6</v>
      </c>
      <c r="K62" s="37">
        <f>G62*7</f>
        <v>1556.8</v>
      </c>
      <c r="L62" s="37">
        <f>G62</f>
        <v>222.4</v>
      </c>
      <c r="M62" s="37">
        <v>0</v>
      </c>
      <c r="N62" s="37">
        <f>G62*3</f>
        <v>667.2</v>
      </c>
      <c r="O62" s="37">
        <f>G62*3</f>
        <v>667.2</v>
      </c>
      <c r="P62" s="37">
        <v>0</v>
      </c>
      <c r="Q62" s="37">
        <f>G62*22</f>
        <v>4892.8</v>
      </c>
      <c r="R62" s="37">
        <f>G62*13</f>
        <v>2891.2000000000003</v>
      </c>
      <c r="S62" s="37">
        <f>G62</f>
        <v>222.4</v>
      </c>
      <c r="T62" s="37">
        <v>0</v>
      </c>
      <c r="U62" s="37">
        <f t="shared" ref="U62:U69" si="40">SUM(I62:T62)</f>
        <v>12232.000000000002</v>
      </c>
    </row>
    <row r="63" spans="1:27" ht="12.75" customHeight="1">
      <c r="A63" s="70" t="s">
        <v>226</v>
      </c>
      <c r="B63" s="16" t="s">
        <v>70</v>
      </c>
      <c r="C63" s="70" t="s">
        <v>61</v>
      </c>
      <c r="D63" s="9" t="s">
        <v>39</v>
      </c>
      <c r="E63" s="71">
        <v>8</v>
      </c>
      <c r="F63" s="35">
        <v>8</v>
      </c>
      <c r="G63" s="55">
        <v>76.25</v>
      </c>
      <c r="H63" s="131">
        <f t="shared" si="39"/>
        <v>0.61</v>
      </c>
      <c r="I63" s="37">
        <v>0</v>
      </c>
      <c r="J63" s="37">
        <v>0</v>
      </c>
      <c r="K63" s="37">
        <f>G63</f>
        <v>76.25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f t="shared" si="40"/>
        <v>76.25</v>
      </c>
    </row>
    <row r="64" spans="1:27" s="2" customFormat="1">
      <c r="A64" s="72" t="s">
        <v>227</v>
      </c>
      <c r="B64" s="16" t="s">
        <v>71</v>
      </c>
      <c r="C64" s="72" t="s">
        <v>72</v>
      </c>
      <c r="D64" s="9" t="s">
        <v>32</v>
      </c>
      <c r="E64" s="34">
        <v>23267</v>
      </c>
      <c r="F64" s="56">
        <f>SUM(E64/100)</f>
        <v>232.67</v>
      </c>
      <c r="G64" s="55">
        <v>212.15</v>
      </c>
      <c r="H64" s="131">
        <f t="shared" si="39"/>
        <v>49.360940499999998</v>
      </c>
      <c r="I64" s="54">
        <v>0</v>
      </c>
      <c r="J64" s="54">
        <v>0</v>
      </c>
      <c r="K64" s="37">
        <v>0</v>
      </c>
      <c r="L64" s="37">
        <v>0</v>
      </c>
      <c r="M64" s="37">
        <f>F64*G64</f>
        <v>49360.940499999997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f t="shared" si="40"/>
        <v>49360.940499999997</v>
      </c>
      <c r="V64" s="149"/>
      <c r="W64" s="149"/>
      <c r="X64" s="149"/>
      <c r="Y64" s="149"/>
      <c r="Z64" s="149"/>
      <c r="AA64" s="149"/>
    </row>
    <row r="65" spans="1:27" ht="12.75" customHeight="1">
      <c r="A65" s="70" t="s">
        <v>228</v>
      </c>
      <c r="B65" s="16" t="s">
        <v>73</v>
      </c>
      <c r="C65" s="70" t="s">
        <v>74</v>
      </c>
      <c r="D65" s="9"/>
      <c r="E65" s="34">
        <v>23267</v>
      </c>
      <c r="F65" s="55">
        <f>SUM(E65/1000)</f>
        <v>23.266999999999999</v>
      </c>
      <c r="G65" s="55">
        <v>165.21</v>
      </c>
      <c r="H65" s="131">
        <f t="shared" si="39"/>
        <v>3.8439410700000005</v>
      </c>
      <c r="I65" s="37">
        <v>0</v>
      </c>
      <c r="J65" s="37">
        <v>0</v>
      </c>
      <c r="K65" s="37">
        <v>0</v>
      </c>
      <c r="L65" s="37">
        <v>0</v>
      </c>
      <c r="M65" s="37">
        <f t="shared" ref="M65:M68" si="41">F65*G65</f>
        <v>3843.9410700000003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f t="shared" si="40"/>
        <v>3843.9410700000003</v>
      </c>
    </row>
    <row r="66" spans="1:27">
      <c r="A66" s="70" t="s">
        <v>229</v>
      </c>
      <c r="B66" s="16" t="s">
        <v>75</v>
      </c>
      <c r="C66" s="70" t="s">
        <v>76</v>
      </c>
      <c r="D66" s="9" t="s">
        <v>32</v>
      </c>
      <c r="E66" s="34">
        <v>3145</v>
      </c>
      <c r="F66" s="55">
        <f>SUM(E66/100)</f>
        <v>31.45</v>
      </c>
      <c r="G66" s="55">
        <v>2074.63</v>
      </c>
      <c r="H66" s="131">
        <f t="shared" si="39"/>
        <v>65.247113499999998</v>
      </c>
      <c r="I66" s="37">
        <v>0</v>
      </c>
      <c r="J66" s="37">
        <v>0</v>
      </c>
      <c r="K66" s="37">
        <v>0</v>
      </c>
      <c r="L66" s="37">
        <v>0</v>
      </c>
      <c r="M66" s="37">
        <f>F66*G66</f>
        <v>65247.113499999999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f t="shared" si="40"/>
        <v>65247.113499999999</v>
      </c>
    </row>
    <row r="67" spans="1:27">
      <c r="A67" s="70"/>
      <c r="B67" s="17" t="s">
        <v>97</v>
      </c>
      <c r="C67" s="70" t="s">
        <v>37</v>
      </c>
      <c r="D67" s="9"/>
      <c r="E67" s="34">
        <v>20.66</v>
      </c>
      <c r="F67" s="55">
        <f>SUM(E67)</f>
        <v>20.66</v>
      </c>
      <c r="G67" s="55">
        <v>42.67</v>
      </c>
      <c r="H67" s="131">
        <f t="shared" si="39"/>
        <v>0.88156220000000007</v>
      </c>
      <c r="I67" s="37">
        <v>0</v>
      </c>
      <c r="J67" s="37">
        <v>0</v>
      </c>
      <c r="K67" s="37">
        <v>0</v>
      </c>
      <c r="L67" s="37">
        <v>0</v>
      </c>
      <c r="M67" s="37">
        <f t="shared" si="41"/>
        <v>881.56220000000008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f t="shared" si="40"/>
        <v>881.56220000000008</v>
      </c>
    </row>
    <row r="68" spans="1:27" ht="12.75" customHeight="1">
      <c r="A68" s="167"/>
      <c r="B68" s="17" t="s">
        <v>98</v>
      </c>
      <c r="C68" s="70" t="s">
        <v>37</v>
      </c>
      <c r="D68" s="9"/>
      <c r="E68" s="34">
        <v>20.66</v>
      </c>
      <c r="F68" s="55">
        <f>SUM(E68)</f>
        <v>20.66</v>
      </c>
      <c r="G68" s="55">
        <v>39.81</v>
      </c>
      <c r="H68" s="131">
        <f t="shared" si="39"/>
        <v>0.82247460000000006</v>
      </c>
      <c r="I68" s="37">
        <v>0</v>
      </c>
      <c r="J68" s="37">
        <v>0</v>
      </c>
      <c r="K68" s="37">
        <v>0</v>
      </c>
      <c r="L68" s="37">
        <v>0</v>
      </c>
      <c r="M68" s="37">
        <f t="shared" si="41"/>
        <v>822.47460000000001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f t="shared" si="40"/>
        <v>822.47460000000001</v>
      </c>
    </row>
    <row r="69" spans="1:27">
      <c r="A69" s="70" t="s">
        <v>230</v>
      </c>
      <c r="B69" s="9" t="s">
        <v>77</v>
      </c>
      <c r="C69" s="70" t="s">
        <v>78</v>
      </c>
      <c r="D69" s="9" t="s">
        <v>32</v>
      </c>
      <c r="E69" s="71">
        <v>5</v>
      </c>
      <c r="F69" s="35">
        <f>SUM(E69)</f>
        <v>5</v>
      </c>
      <c r="G69" s="55">
        <v>49.88</v>
      </c>
      <c r="H69" s="131">
        <f t="shared" si="39"/>
        <v>0.24940000000000001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f>G69*5</f>
        <v>249.4</v>
      </c>
      <c r="R69" s="37">
        <v>0</v>
      </c>
      <c r="S69" s="37">
        <v>0</v>
      </c>
      <c r="T69" s="37">
        <v>0</v>
      </c>
      <c r="U69" s="37">
        <f t="shared" si="40"/>
        <v>249.4</v>
      </c>
    </row>
    <row r="70" spans="1:27">
      <c r="A70" s="70"/>
      <c r="B70" s="18" t="s">
        <v>79</v>
      </c>
      <c r="C70" s="70"/>
      <c r="D70" s="9"/>
      <c r="E70" s="71"/>
      <c r="F70" s="55"/>
      <c r="G70" s="55"/>
      <c r="H70" s="131" t="s">
        <v>43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7">
      <c r="A71" s="70" t="s">
        <v>231</v>
      </c>
      <c r="B71" s="9" t="s">
        <v>112</v>
      </c>
      <c r="C71" s="70" t="s">
        <v>113</v>
      </c>
      <c r="D71" s="9"/>
      <c r="E71" s="71">
        <v>10</v>
      </c>
      <c r="F71" s="67">
        <v>1</v>
      </c>
      <c r="G71" s="55">
        <v>501.62</v>
      </c>
      <c r="H71" s="131">
        <f>F71*G71/1000</f>
        <v>0.50161999999999995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f>SUM(I71:T71)</f>
        <v>0</v>
      </c>
    </row>
    <row r="72" spans="1:27">
      <c r="A72" s="70" t="s">
        <v>232</v>
      </c>
      <c r="B72" s="9" t="s">
        <v>80</v>
      </c>
      <c r="C72" s="70" t="s">
        <v>34</v>
      </c>
      <c r="D72" s="9"/>
      <c r="E72" s="71">
        <v>1</v>
      </c>
      <c r="F72" s="35">
        <v>1</v>
      </c>
      <c r="G72" s="55">
        <v>358.51</v>
      </c>
      <c r="H72" s="131">
        <f>F72*G72/1000</f>
        <v>0.35851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f>SUM(I72:T72)</f>
        <v>0</v>
      </c>
    </row>
    <row r="73" spans="1:27">
      <c r="A73" s="70" t="s">
        <v>233</v>
      </c>
      <c r="B73" s="9" t="s">
        <v>99</v>
      </c>
      <c r="C73" s="70" t="s">
        <v>34</v>
      </c>
      <c r="D73" s="9"/>
      <c r="E73" s="71">
        <v>1</v>
      </c>
      <c r="F73" s="55">
        <v>1</v>
      </c>
      <c r="G73" s="55">
        <v>852.99</v>
      </c>
      <c r="H73" s="131">
        <f>F73*G73/1000</f>
        <v>0.85299000000000003</v>
      </c>
      <c r="I73" s="37">
        <v>0</v>
      </c>
      <c r="J73" s="37">
        <f>G73*2</f>
        <v>1705.98</v>
      </c>
      <c r="K73" s="37">
        <v>0</v>
      </c>
      <c r="L73" s="37">
        <v>0</v>
      </c>
      <c r="M73" s="37">
        <f>G73</f>
        <v>852.99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f>SUM(I73:T73)</f>
        <v>2558.9700000000003</v>
      </c>
    </row>
    <row r="74" spans="1:27">
      <c r="A74" s="70"/>
      <c r="B74" s="73" t="s">
        <v>81</v>
      </c>
      <c r="C74" s="70"/>
      <c r="D74" s="9"/>
      <c r="E74" s="71"/>
      <c r="F74" s="55"/>
      <c r="G74" s="55" t="s">
        <v>43</v>
      </c>
      <c r="H74" s="131" t="s">
        <v>43</v>
      </c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7" s="2" customFormat="1">
      <c r="A75" s="72" t="s">
        <v>82</v>
      </c>
      <c r="B75" s="74" t="s">
        <v>83</v>
      </c>
      <c r="C75" s="72" t="s">
        <v>76</v>
      </c>
      <c r="D75" s="16"/>
      <c r="E75" s="75"/>
      <c r="F75" s="56">
        <v>1.35</v>
      </c>
      <c r="G75" s="56">
        <v>2759.44</v>
      </c>
      <c r="H75" s="131">
        <f t="shared" si="39"/>
        <v>3.725244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37">
        <f>SUM(I75:T75)</f>
        <v>0</v>
      </c>
      <c r="V75" s="149"/>
      <c r="W75" s="149"/>
      <c r="X75" s="149"/>
      <c r="Y75" s="149"/>
      <c r="Z75" s="149"/>
      <c r="AA75" s="149"/>
    </row>
    <row r="76" spans="1:27" s="21" customFormat="1">
      <c r="A76" s="76"/>
      <c r="B76" s="20" t="s">
        <v>27</v>
      </c>
      <c r="C76" s="77"/>
      <c r="D76" s="78"/>
      <c r="E76" s="79"/>
      <c r="F76" s="60"/>
      <c r="G76" s="60"/>
      <c r="H76" s="80">
        <f>SUM(H55:H75)</f>
        <v>175.61339591999999</v>
      </c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>
        <f>SUM(U55:U75)</f>
        <v>166201.36666999996</v>
      </c>
      <c r="V76" s="149"/>
      <c r="W76" s="149"/>
      <c r="X76" s="149"/>
      <c r="Y76" s="149"/>
      <c r="Z76" s="149"/>
      <c r="AA76" s="149"/>
    </row>
    <row r="77" spans="1:27">
      <c r="A77" s="160" t="s">
        <v>128</v>
      </c>
      <c r="B77" s="11" t="s">
        <v>129</v>
      </c>
      <c r="C77" s="81"/>
      <c r="D77" s="82"/>
      <c r="E77" s="128"/>
      <c r="F77" s="83">
        <v>1</v>
      </c>
      <c r="G77" s="84">
        <v>25556</v>
      </c>
      <c r="H77" s="131">
        <f>G77*F77/1000</f>
        <v>25.556000000000001</v>
      </c>
      <c r="I77" s="37">
        <v>0</v>
      </c>
      <c r="J77" s="37">
        <f>G77</f>
        <v>25556</v>
      </c>
      <c r="K77" s="37">
        <v>0</v>
      </c>
      <c r="L77" s="37">
        <v>0</v>
      </c>
      <c r="M77" s="38">
        <v>0</v>
      </c>
      <c r="N77" s="38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f>SUM(I77:T77)</f>
        <v>25556</v>
      </c>
    </row>
    <row r="78" spans="1:27" ht="12.75" customHeight="1">
      <c r="A78" s="161"/>
      <c r="B78" s="24" t="s">
        <v>84</v>
      </c>
      <c r="C78" s="70" t="s">
        <v>85</v>
      </c>
      <c r="D78" s="85"/>
      <c r="E78" s="55">
        <v>5916.3</v>
      </c>
      <c r="F78" s="55">
        <f>SUM(E78*12)</f>
        <v>70995.600000000006</v>
      </c>
      <c r="G78" s="86">
        <v>2.1</v>
      </c>
      <c r="H78" s="131">
        <f>SUM(F78*G78/1000)</f>
        <v>149.09076000000002</v>
      </c>
      <c r="I78" s="37">
        <f>F78/12*G78</f>
        <v>12424.230000000001</v>
      </c>
      <c r="J78" s="37">
        <f>F78/12*G78</f>
        <v>12424.230000000001</v>
      </c>
      <c r="K78" s="37">
        <f>F78/12*G78</f>
        <v>12424.230000000001</v>
      </c>
      <c r="L78" s="37">
        <f>F78/12*G78</f>
        <v>12424.230000000001</v>
      </c>
      <c r="M78" s="38">
        <f>F78/12*G78</f>
        <v>12424.230000000001</v>
      </c>
      <c r="N78" s="38">
        <f>F78/12*G78</f>
        <v>12424.230000000001</v>
      </c>
      <c r="O78" s="37">
        <f>F78/12*G78</f>
        <v>12424.230000000001</v>
      </c>
      <c r="P78" s="37">
        <f>F78/12*G78</f>
        <v>12424.230000000001</v>
      </c>
      <c r="Q78" s="37">
        <f>F78/12*G78</f>
        <v>12424.230000000001</v>
      </c>
      <c r="R78" s="37">
        <f>F78/12*G78</f>
        <v>12424.230000000001</v>
      </c>
      <c r="S78" s="37">
        <f>F78/12*G78</f>
        <v>12424.230000000001</v>
      </c>
      <c r="T78" s="37">
        <f>F78/12*G78</f>
        <v>12424.230000000001</v>
      </c>
      <c r="U78" s="37">
        <f>SUM(I78:T78)</f>
        <v>149090.76</v>
      </c>
    </row>
    <row r="79" spans="1:27" s="19" customFormat="1">
      <c r="A79" s="87"/>
      <c r="B79" s="20" t="s">
        <v>27</v>
      </c>
      <c r="C79" s="88"/>
      <c r="D79" s="89"/>
      <c r="E79" s="90"/>
      <c r="F79" s="46"/>
      <c r="G79" s="91"/>
      <c r="H79" s="47">
        <f>SUM(H77:H78)</f>
        <v>174.64676000000003</v>
      </c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>
        <f>SUM(U77:U78)</f>
        <v>174646.76</v>
      </c>
      <c r="V79" s="149"/>
      <c r="W79" s="149"/>
      <c r="X79" s="149"/>
      <c r="Y79" s="149"/>
      <c r="Z79" s="149"/>
      <c r="AA79" s="149"/>
    </row>
    <row r="80" spans="1:27" ht="25.5" customHeight="1">
      <c r="A80" s="92"/>
      <c r="B80" s="9" t="s">
        <v>86</v>
      </c>
      <c r="C80" s="70"/>
      <c r="D80" s="25"/>
      <c r="E80" s="34">
        <f>E78</f>
        <v>5916.3</v>
      </c>
      <c r="F80" s="55">
        <f>E80*12</f>
        <v>70995.600000000006</v>
      </c>
      <c r="G80" s="55">
        <v>1.63</v>
      </c>
      <c r="H80" s="131">
        <f>F80*G80/1000</f>
        <v>115.72282800000001</v>
      </c>
      <c r="I80" s="37">
        <f>F80/12*G80</f>
        <v>9643.5689999999995</v>
      </c>
      <c r="J80" s="37">
        <f>F80/12*G80</f>
        <v>9643.5689999999995</v>
      </c>
      <c r="K80" s="37">
        <f>F80/12*G80</f>
        <v>9643.5689999999995</v>
      </c>
      <c r="L80" s="37">
        <f>F80/12*G80</f>
        <v>9643.5689999999995</v>
      </c>
      <c r="M80" s="37">
        <f>F80/12*G80</f>
        <v>9643.5689999999995</v>
      </c>
      <c r="N80" s="37">
        <f>F80/12*G80</f>
        <v>9643.5689999999995</v>
      </c>
      <c r="O80" s="37">
        <f>F80/12*G80</f>
        <v>9643.5689999999995</v>
      </c>
      <c r="P80" s="37">
        <f>F80/12*G80</f>
        <v>9643.5689999999995</v>
      </c>
      <c r="Q80" s="37">
        <f>F80/12*G80</f>
        <v>9643.5689999999995</v>
      </c>
      <c r="R80" s="37">
        <f>F80/12*G80</f>
        <v>9643.5689999999995</v>
      </c>
      <c r="S80" s="37">
        <f>F80/12*G80</f>
        <v>9643.5689999999995</v>
      </c>
      <c r="T80" s="37">
        <f t="shared" ref="T80" si="42">F80/12*G80</f>
        <v>9643.5689999999995</v>
      </c>
      <c r="U80" s="37">
        <f>SUM(I80:T80)</f>
        <v>115722.82800000002</v>
      </c>
      <c r="W80" s="180"/>
      <c r="X80" s="180"/>
      <c r="Y80" s="180"/>
      <c r="Z80" s="180"/>
      <c r="AA80" s="180"/>
    </row>
    <row r="81" spans="1:27" s="19" customFormat="1">
      <c r="A81" s="87"/>
      <c r="B81" s="93" t="s">
        <v>87</v>
      </c>
      <c r="C81" s="94"/>
      <c r="D81" s="93"/>
      <c r="E81" s="46"/>
      <c r="F81" s="46"/>
      <c r="G81" s="46"/>
      <c r="H81" s="80">
        <f>H80</f>
        <v>115.72282800000001</v>
      </c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124">
        <f>U80</f>
        <v>115722.82800000002</v>
      </c>
      <c r="V81" s="149"/>
      <c r="W81" s="149"/>
      <c r="X81" s="149"/>
      <c r="Y81" s="149"/>
      <c r="Z81" s="149"/>
      <c r="AA81" s="149"/>
    </row>
    <row r="82" spans="1:27" s="19" customFormat="1">
      <c r="A82" s="87"/>
      <c r="B82" s="93" t="s">
        <v>88</v>
      </c>
      <c r="C82" s="95"/>
      <c r="D82" s="96"/>
      <c r="E82" s="97"/>
      <c r="F82" s="97"/>
      <c r="G82" s="97"/>
      <c r="H82" s="80">
        <f>SUM(H81+H79+H76+H53+H42+H33+H22)</f>
        <v>1180.7987459619333</v>
      </c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124">
        <f>SUM(U81+U79+U76+U53+U42+U33+U22)*1.094</f>
        <v>1277172.1283776753</v>
      </c>
      <c r="V82" s="149"/>
      <c r="W82" s="149"/>
      <c r="X82" s="149"/>
      <c r="Y82" s="149"/>
      <c r="Z82" s="149"/>
      <c r="AA82" s="149"/>
    </row>
    <row r="83" spans="1:27" s="123" customFormat="1" ht="51" customHeight="1">
      <c r="A83" s="92"/>
      <c r="B83" s="73"/>
      <c r="C83" s="70"/>
      <c r="D83" s="25"/>
      <c r="E83" s="55"/>
      <c r="F83" s="55"/>
      <c r="G83" s="55"/>
      <c r="H83" s="122"/>
      <c r="I83" s="55"/>
      <c r="J83" s="55"/>
      <c r="K83" s="55"/>
      <c r="L83" s="55"/>
      <c r="M83" s="55"/>
      <c r="N83" s="55"/>
      <c r="O83" s="55"/>
      <c r="P83" s="55"/>
      <c r="Q83" s="55"/>
      <c r="R83" s="133"/>
      <c r="S83" s="133"/>
      <c r="T83" s="133"/>
      <c r="U83" s="132" t="s">
        <v>144</v>
      </c>
      <c r="V83" s="149"/>
      <c r="W83" s="149"/>
      <c r="X83" s="149"/>
      <c r="Y83" s="149"/>
      <c r="Z83" s="149"/>
      <c r="AA83" s="149"/>
    </row>
    <row r="84" spans="1:27">
      <c r="A84" s="92"/>
      <c r="B84" s="25" t="s">
        <v>89</v>
      </c>
      <c r="C84" s="70"/>
      <c r="D84" s="25"/>
      <c r="E84" s="55"/>
      <c r="F84" s="55"/>
      <c r="G84" s="55" t="s">
        <v>90</v>
      </c>
      <c r="H84" s="98">
        <f>E80</f>
        <v>5916.3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7" s="19" customFormat="1">
      <c r="A85" s="87"/>
      <c r="B85" s="96" t="s">
        <v>91</v>
      </c>
      <c r="C85" s="95"/>
      <c r="D85" s="96"/>
      <c r="E85" s="97"/>
      <c r="F85" s="97"/>
      <c r="G85" s="97"/>
      <c r="H85" s="99">
        <f>SUM(H82/H84/12*1000)</f>
        <v>16.631998968414003</v>
      </c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125"/>
      <c r="V85" s="149"/>
      <c r="W85" s="149"/>
      <c r="X85" s="149"/>
      <c r="Y85" s="149"/>
      <c r="Z85" s="149"/>
      <c r="AA85" s="149"/>
    </row>
    <row r="86" spans="1:27">
      <c r="A86" s="92"/>
      <c r="B86" s="25"/>
      <c r="C86" s="70"/>
      <c r="D86" s="25"/>
      <c r="E86" s="55"/>
      <c r="F86" s="55"/>
      <c r="G86" s="55"/>
      <c r="H86" s="100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126"/>
    </row>
    <row r="87" spans="1:27">
      <c r="A87" s="92"/>
      <c r="B87" s="73" t="s">
        <v>92</v>
      </c>
      <c r="C87" s="70"/>
      <c r="D87" s="25"/>
      <c r="E87" s="55"/>
      <c r="F87" s="55"/>
      <c r="G87" s="55"/>
      <c r="H87" s="55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7">
      <c r="A88" s="138" t="s">
        <v>234</v>
      </c>
      <c r="B88" s="139" t="s">
        <v>142</v>
      </c>
      <c r="C88" s="140" t="s">
        <v>141</v>
      </c>
      <c r="D88" s="25"/>
      <c r="E88" s="55"/>
      <c r="F88" s="55">
        <v>1</v>
      </c>
      <c r="G88" s="55">
        <v>559.62</v>
      </c>
      <c r="H88" s="131">
        <f t="shared" ref="H88" si="43">G88*F88/1000</f>
        <v>0.55962000000000001</v>
      </c>
      <c r="I88" s="37">
        <f>G88</f>
        <v>559.62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37">
        <v>0</v>
      </c>
      <c r="U88" s="37">
        <f t="shared" ref="U88:U126" si="44">SUM(I88:T88)</f>
        <v>559.62</v>
      </c>
    </row>
    <row r="89" spans="1:27" ht="25.5">
      <c r="A89" s="134" t="s">
        <v>137</v>
      </c>
      <c r="B89" s="135" t="s">
        <v>138</v>
      </c>
      <c r="C89" s="136" t="s">
        <v>139</v>
      </c>
      <c r="D89" s="137"/>
      <c r="E89" s="55"/>
      <c r="F89" s="55">
        <v>2</v>
      </c>
      <c r="G89" s="55">
        <v>1835.8</v>
      </c>
      <c r="H89" s="131">
        <f>G89*F89/1000</f>
        <v>3.6715999999999998</v>
      </c>
      <c r="I89" s="37">
        <v>0</v>
      </c>
      <c r="J89" s="37">
        <f>G89*1</f>
        <v>1835.8</v>
      </c>
      <c r="K89" s="37">
        <v>0</v>
      </c>
      <c r="L89" s="37">
        <v>0</v>
      </c>
      <c r="M89" s="37">
        <f>G89</f>
        <v>1835.8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f t="shared" si="44"/>
        <v>3671.6</v>
      </c>
    </row>
    <row r="90" spans="1:27" ht="25.5">
      <c r="A90" s="138" t="s">
        <v>235</v>
      </c>
      <c r="B90" s="139" t="s">
        <v>140</v>
      </c>
      <c r="C90" s="140" t="s">
        <v>61</v>
      </c>
      <c r="D90" s="25"/>
      <c r="E90" s="55"/>
      <c r="F90" s="55">
        <v>1</v>
      </c>
      <c r="G90" s="55">
        <v>2179.33</v>
      </c>
      <c r="H90" s="131">
        <f t="shared" ref="H90" si="45">G90*F90/1000</f>
        <v>2.1793299999999998</v>
      </c>
      <c r="I90" s="37">
        <v>0</v>
      </c>
      <c r="J90" s="37">
        <f t="shared" ref="J90" si="46">G90</f>
        <v>2179.33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f t="shared" si="44"/>
        <v>2179.33</v>
      </c>
    </row>
    <row r="91" spans="1:27" ht="25.5">
      <c r="A91" s="141" t="s">
        <v>236</v>
      </c>
      <c r="B91" s="142" t="s">
        <v>146</v>
      </c>
      <c r="C91" s="141" t="s">
        <v>147</v>
      </c>
      <c r="D91" s="25"/>
      <c r="E91" s="55"/>
      <c r="F91" s="55">
        <v>1</v>
      </c>
      <c r="G91" s="55">
        <v>195.95</v>
      </c>
      <c r="H91" s="131">
        <f t="shared" ref="H91:H106" si="47">G91*F91/1000</f>
        <v>0.19594999999999999</v>
      </c>
      <c r="I91" s="37">
        <v>0</v>
      </c>
      <c r="J91" s="37">
        <v>0</v>
      </c>
      <c r="K91" s="37">
        <f>G91</f>
        <v>195.95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f t="shared" si="44"/>
        <v>195.95</v>
      </c>
    </row>
    <row r="92" spans="1:27" ht="25.5">
      <c r="A92" s="143" t="s">
        <v>237</v>
      </c>
      <c r="B92" s="142" t="s">
        <v>148</v>
      </c>
      <c r="C92" s="141" t="s">
        <v>141</v>
      </c>
      <c r="D92" s="25"/>
      <c r="E92" s="55"/>
      <c r="F92" s="55">
        <v>38</v>
      </c>
      <c r="G92" s="55">
        <v>559.62</v>
      </c>
      <c r="H92" s="131">
        <f t="shared" si="47"/>
        <v>21.265560000000001</v>
      </c>
      <c r="I92" s="37">
        <v>0</v>
      </c>
      <c r="J92" s="37">
        <v>0</v>
      </c>
      <c r="K92" s="37">
        <f>G92*6</f>
        <v>3357.7200000000003</v>
      </c>
      <c r="L92" s="37">
        <f>G92</f>
        <v>559.62</v>
      </c>
      <c r="M92" s="37">
        <v>0</v>
      </c>
      <c r="N92" s="37">
        <f>G92*27</f>
        <v>15109.74</v>
      </c>
      <c r="O92" s="37">
        <v>0</v>
      </c>
      <c r="P92" s="37">
        <f>G92*4</f>
        <v>2238.48</v>
      </c>
      <c r="Q92" s="37">
        <v>0</v>
      </c>
      <c r="R92" s="37">
        <v>0</v>
      </c>
      <c r="S92" s="37">
        <v>0</v>
      </c>
      <c r="T92" s="37">
        <v>0</v>
      </c>
      <c r="U92" s="37">
        <f t="shared" si="44"/>
        <v>21265.56</v>
      </c>
    </row>
    <row r="93" spans="1:27" s="149" customFormat="1" ht="25.5">
      <c r="A93" s="144" t="s">
        <v>238</v>
      </c>
      <c r="B93" s="145" t="s">
        <v>151</v>
      </c>
      <c r="C93" s="146" t="s">
        <v>141</v>
      </c>
      <c r="D93" s="137"/>
      <c r="E93" s="147"/>
      <c r="F93" s="147">
        <v>8</v>
      </c>
      <c r="G93" s="147">
        <v>942.79</v>
      </c>
      <c r="H93" s="148">
        <f t="shared" si="47"/>
        <v>7.5423200000000001</v>
      </c>
      <c r="I93" s="37">
        <v>0</v>
      </c>
      <c r="J93" s="37">
        <v>0</v>
      </c>
      <c r="K93" s="37">
        <f>G93*8</f>
        <v>7542.32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>
        <f t="shared" si="44"/>
        <v>7542.32</v>
      </c>
    </row>
    <row r="94" spans="1:27" s="149" customFormat="1" ht="25.5">
      <c r="A94" s="146" t="s">
        <v>239</v>
      </c>
      <c r="B94" s="145" t="s">
        <v>149</v>
      </c>
      <c r="C94" s="146" t="s">
        <v>147</v>
      </c>
      <c r="D94" s="137"/>
      <c r="E94" s="147"/>
      <c r="F94" s="147">
        <v>2</v>
      </c>
      <c r="G94" s="147">
        <v>290.67</v>
      </c>
      <c r="H94" s="148">
        <f t="shared" si="47"/>
        <v>0.58134000000000008</v>
      </c>
      <c r="I94" s="37">
        <v>0</v>
      </c>
      <c r="J94" s="37">
        <v>0</v>
      </c>
      <c r="K94" s="37">
        <f>G94*2</f>
        <v>581.34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>
        <f t="shared" si="44"/>
        <v>581.34</v>
      </c>
    </row>
    <row r="95" spans="1:27" ht="25.5" customHeight="1">
      <c r="A95" s="143" t="s">
        <v>234</v>
      </c>
      <c r="B95" s="142" t="s">
        <v>155</v>
      </c>
      <c r="C95" s="141" t="s">
        <v>141</v>
      </c>
      <c r="D95" s="25"/>
      <c r="E95" s="55"/>
      <c r="F95" s="55">
        <v>1</v>
      </c>
      <c r="G95" s="55">
        <v>476.76</v>
      </c>
      <c r="H95" s="131">
        <f t="shared" si="47"/>
        <v>0.47676000000000002</v>
      </c>
      <c r="I95" s="37">
        <v>0</v>
      </c>
      <c r="J95" s="37">
        <v>0</v>
      </c>
      <c r="K95" s="37">
        <f>G95</f>
        <v>476.76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f t="shared" si="44"/>
        <v>476.76</v>
      </c>
    </row>
    <row r="96" spans="1:27" ht="25.5" customHeight="1">
      <c r="A96" s="146" t="s">
        <v>240</v>
      </c>
      <c r="B96" s="145" t="s">
        <v>167</v>
      </c>
      <c r="C96" s="146" t="s">
        <v>145</v>
      </c>
      <c r="D96" s="25"/>
      <c r="E96" s="55"/>
      <c r="F96" s="55">
        <v>1.5</v>
      </c>
      <c r="G96" s="55">
        <v>1264.3399999999999</v>
      </c>
      <c r="H96" s="131">
        <f t="shared" si="47"/>
        <v>1.8965099999999997</v>
      </c>
      <c r="I96" s="37">
        <v>0</v>
      </c>
      <c r="J96" s="37">
        <v>0</v>
      </c>
      <c r="K96" s="37">
        <f>G96*1.5</f>
        <v>1896.5099999999998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>
        <f t="shared" si="44"/>
        <v>1896.5099999999998</v>
      </c>
    </row>
    <row r="97" spans="1:27" ht="25.5" customHeight="1">
      <c r="A97" s="146" t="s">
        <v>241</v>
      </c>
      <c r="B97" s="145" t="s">
        <v>150</v>
      </c>
      <c r="C97" s="146" t="s">
        <v>61</v>
      </c>
      <c r="D97" s="25"/>
      <c r="E97" s="55"/>
      <c r="F97" s="55">
        <v>6</v>
      </c>
      <c r="G97" s="55">
        <v>180.15</v>
      </c>
      <c r="H97" s="131">
        <f t="shared" si="47"/>
        <v>1.0809000000000002</v>
      </c>
      <c r="I97" s="37">
        <v>0</v>
      </c>
      <c r="J97" s="37">
        <v>0</v>
      </c>
      <c r="K97" s="37">
        <f>G97</f>
        <v>180.15</v>
      </c>
      <c r="L97" s="37">
        <v>0</v>
      </c>
      <c r="M97" s="37">
        <v>0</v>
      </c>
      <c r="N97" s="37">
        <f>G97</f>
        <v>180.15</v>
      </c>
      <c r="O97" s="37">
        <v>0</v>
      </c>
      <c r="P97" s="37">
        <v>0</v>
      </c>
      <c r="Q97" s="37">
        <v>0</v>
      </c>
      <c r="R97" s="37">
        <f>G97*2</f>
        <v>360.3</v>
      </c>
      <c r="S97" s="37">
        <f>G97</f>
        <v>180.15</v>
      </c>
      <c r="T97" s="37">
        <f>G97</f>
        <v>180.15</v>
      </c>
      <c r="U97" s="37">
        <f t="shared" si="44"/>
        <v>1080.9000000000001</v>
      </c>
    </row>
    <row r="98" spans="1:27">
      <c r="A98" s="138" t="s">
        <v>242</v>
      </c>
      <c r="B98" s="139" t="s">
        <v>152</v>
      </c>
      <c r="C98" s="140" t="s">
        <v>61</v>
      </c>
      <c r="D98" s="25"/>
      <c r="E98" s="55"/>
      <c r="F98" s="55">
        <v>5</v>
      </c>
      <c r="G98" s="55">
        <v>1072.21</v>
      </c>
      <c r="H98" s="131">
        <f t="shared" si="47"/>
        <v>5.3610500000000005</v>
      </c>
      <c r="I98" s="37">
        <v>0</v>
      </c>
      <c r="J98" s="37">
        <v>0</v>
      </c>
      <c r="K98" s="37">
        <v>0</v>
      </c>
      <c r="L98" s="37">
        <f>G98*2</f>
        <v>2144.42</v>
      </c>
      <c r="M98" s="37">
        <f>G98*2</f>
        <v>2144.42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f>G98</f>
        <v>1072.21</v>
      </c>
      <c r="T98" s="37">
        <v>0</v>
      </c>
      <c r="U98" s="37">
        <f t="shared" si="44"/>
        <v>5361.05</v>
      </c>
    </row>
    <row r="99" spans="1:27" ht="25.5" customHeight="1">
      <c r="A99" s="134" t="s">
        <v>243</v>
      </c>
      <c r="B99" s="145" t="s">
        <v>153</v>
      </c>
      <c r="C99" s="144" t="s">
        <v>154</v>
      </c>
      <c r="D99" s="25"/>
      <c r="E99" s="55"/>
      <c r="F99" s="55">
        <f>1/10</f>
        <v>0.1</v>
      </c>
      <c r="G99" s="55">
        <v>3888.02</v>
      </c>
      <c r="H99" s="131">
        <f t="shared" si="47"/>
        <v>0.38880200000000004</v>
      </c>
      <c r="I99" s="37">
        <v>0</v>
      </c>
      <c r="J99" s="37">
        <v>0</v>
      </c>
      <c r="K99" s="37">
        <v>0</v>
      </c>
      <c r="L99" s="37">
        <f>G99*0.1</f>
        <v>388.80200000000002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f t="shared" si="44"/>
        <v>388.80200000000002</v>
      </c>
    </row>
    <row r="100" spans="1:27" ht="12.75" customHeight="1">
      <c r="A100" s="134" t="s">
        <v>170</v>
      </c>
      <c r="B100" s="145" t="s">
        <v>171</v>
      </c>
      <c r="C100" s="144" t="s">
        <v>172</v>
      </c>
      <c r="D100" s="25"/>
      <c r="E100" s="55"/>
      <c r="F100" s="55">
        <v>1</v>
      </c>
      <c r="G100" s="55">
        <v>1753</v>
      </c>
      <c r="H100" s="131">
        <f t="shared" si="47"/>
        <v>1.7529999999999999</v>
      </c>
      <c r="I100" s="37">
        <v>0</v>
      </c>
      <c r="J100" s="37">
        <v>0</v>
      </c>
      <c r="K100" s="37">
        <v>0</v>
      </c>
      <c r="L100" s="37">
        <v>0</v>
      </c>
      <c r="M100" s="37">
        <f>G100</f>
        <v>1753</v>
      </c>
      <c r="N100" s="37">
        <v>0</v>
      </c>
      <c r="O100" s="37">
        <v>0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f t="shared" si="44"/>
        <v>1753</v>
      </c>
    </row>
    <row r="101" spans="1:27" ht="12.75" customHeight="1">
      <c r="A101" s="146" t="s">
        <v>244</v>
      </c>
      <c r="B101" s="145" t="s">
        <v>173</v>
      </c>
      <c r="C101" s="146" t="s">
        <v>141</v>
      </c>
      <c r="D101" s="25"/>
      <c r="E101" s="55"/>
      <c r="F101" s="55">
        <v>21</v>
      </c>
      <c r="G101" s="55">
        <v>174.63</v>
      </c>
      <c r="H101" s="131">
        <f t="shared" si="47"/>
        <v>3.66723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f>G101*19</f>
        <v>3317.97</v>
      </c>
      <c r="O101" s="37">
        <v>0</v>
      </c>
      <c r="P101" s="37">
        <f>G101*2</f>
        <v>349.26</v>
      </c>
      <c r="Q101" s="37">
        <v>0</v>
      </c>
      <c r="R101" s="37">
        <v>0</v>
      </c>
      <c r="S101" s="37">
        <v>0</v>
      </c>
      <c r="T101" s="37">
        <v>0</v>
      </c>
      <c r="U101" s="37">
        <f t="shared" si="44"/>
        <v>3667.2299999999996</v>
      </c>
    </row>
    <row r="102" spans="1:27" s="19" customFormat="1" ht="25.5">
      <c r="A102" s="140" t="s">
        <v>245</v>
      </c>
      <c r="B102" s="139" t="s">
        <v>174</v>
      </c>
      <c r="C102" s="140" t="s">
        <v>145</v>
      </c>
      <c r="D102" s="25"/>
      <c r="E102" s="55"/>
      <c r="F102" s="55">
        <v>1</v>
      </c>
      <c r="G102" s="55">
        <v>771.29</v>
      </c>
      <c r="H102" s="131">
        <f t="shared" si="47"/>
        <v>0.77128999999999992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f>G102</f>
        <v>771.29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f t="shared" si="44"/>
        <v>771.29</v>
      </c>
      <c r="V102" s="149"/>
      <c r="W102" s="149"/>
      <c r="X102" s="149"/>
      <c r="Y102" s="149"/>
      <c r="Z102" s="149"/>
      <c r="AA102" s="149"/>
    </row>
    <row r="103" spans="1:27" s="19" customFormat="1">
      <c r="A103" s="140" t="s">
        <v>175</v>
      </c>
      <c r="B103" s="139" t="s">
        <v>176</v>
      </c>
      <c r="C103" s="140" t="s">
        <v>61</v>
      </c>
      <c r="D103" s="25"/>
      <c r="E103" s="55"/>
      <c r="F103" s="55">
        <v>4</v>
      </c>
      <c r="G103" s="55">
        <v>46.75</v>
      </c>
      <c r="H103" s="131">
        <f t="shared" si="47"/>
        <v>0.187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f>G103*4</f>
        <v>187</v>
      </c>
      <c r="O103" s="37">
        <v>0</v>
      </c>
      <c r="P103" s="37">
        <v>0</v>
      </c>
      <c r="Q103" s="37">
        <v>0</v>
      </c>
      <c r="R103" s="37">
        <v>0</v>
      </c>
      <c r="S103" s="37">
        <v>0</v>
      </c>
      <c r="T103" s="37">
        <v>0</v>
      </c>
      <c r="U103" s="37">
        <f t="shared" si="44"/>
        <v>187</v>
      </c>
      <c r="V103" s="149"/>
      <c r="W103" s="149"/>
      <c r="X103" s="149"/>
      <c r="Y103" s="149"/>
      <c r="Z103" s="149"/>
      <c r="AA103" s="149"/>
    </row>
    <row r="104" spans="1:27">
      <c r="A104" s="140" t="s">
        <v>175</v>
      </c>
      <c r="B104" s="139" t="s">
        <v>177</v>
      </c>
      <c r="C104" s="140" t="s">
        <v>61</v>
      </c>
      <c r="D104" s="25"/>
      <c r="E104" s="55"/>
      <c r="F104" s="55">
        <v>1</v>
      </c>
      <c r="G104" s="55">
        <v>109.73</v>
      </c>
      <c r="H104" s="131">
        <f t="shared" si="47"/>
        <v>0.10973000000000001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f t="shared" ref="N104" si="48">G104</f>
        <v>109.73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f t="shared" si="44"/>
        <v>109.73</v>
      </c>
    </row>
    <row r="105" spans="1:27" ht="12" customHeight="1">
      <c r="A105" s="140" t="s">
        <v>175</v>
      </c>
      <c r="B105" s="139" t="s">
        <v>178</v>
      </c>
      <c r="C105" s="140" t="s">
        <v>61</v>
      </c>
      <c r="D105" s="25"/>
      <c r="E105" s="55"/>
      <c r="F105" s="55">
        <v>2</v>
      </c>
      <c r="G105" s="55">
        <v>27.36</v>
      </c>
      <c r="H105" s="131">
        <f t="shared" si="47"/>
        <v>5.4719999999999998E-2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f>G105*2</f>
        <v>54.72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>
        <f t="shared" si="44"/>
        <v>54.72</v>
      </c>
    </row>
    <row r="106" spans="1:27" ht="12" customHeight="1">
      <c r="A106" s="140" t="s">
        <v>175</v>
      </c>
      <c r="B106" s="139" t="s">
        <v>180</v>
      </c>
      <c r="C106" s="140" t="s">
        <v>61</v>
      </c>
      <c r="D106" s="25"/>
      <c r="E106" s="55"/>
      <c r="F106" s="55">
        <v>0.5</v>
      </c>
      <c r="G106" s="55">
        <v>164</v>
      </c>
      <c r="H106" s="131">
        <f t="shared" si="47"/>
        <v>8.2000000000000003E-2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f>G106*0.5</f>
        <v>82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f t="shared" si="44"/>
        <v>82</v>
      </c>
    </row>
    <row r="107" spans="1:27" ht="12" customHeight="1">
      <c r="A107" s="146" t="s">
        <v>246</v>
      </c>
      <c r="B107" s="145" t="s">
        <v>181</v>
      </c>
      <c r="C107" s="141" t="s">
        <v>182</v>
      </c>
      <c r="D107" s="9"/>
      <c r="E107" s="71"/>
      <c r="F107" s="55">
        <v>5</v>
      </c>
      <c r="G107" s="55">
        <v>185.81</v>
      </c>
      <c r="H107" s="131">
        <f t="shared" ref="H107:H126" si="49">G107*F107/1000</f>
        <v>0.92904999999999993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f>G107*2</f>
        <v>371.62</v>
      </c>
      <c r="O107" s="37">
        <v>0</v>
      </c>
      <c r="P107" s="37">
        <f>G107</f>
        <v>185.81</v>
      </c>
      <c r="Q107" s="37">
        <f>G107</f>
        <v>185.81</v>
      </c>
      <c r="R107" s="37">
        <v>0</v>
      </c>
      <c r="S107" s="37">
        <f>G107</f>
        <v>185.81</v>
      </c>
      <c r="T107" s="37">
        <v>0</v>
      </c>
      <c r="U107" s="37">
        <f t="shared" si="44"/>
        <v>929.05</v>
      </c>
    </row>
    <row r="108" spans="1:27" ht="51" customHeight="1">
      <c r="A108" s="140" t="s">
        <v>247</v>
      </c>
      <c r="B108" s="139" t="s">
        <v>183</v>
      </c>
      <c r="C108" s="140" t="s">
        <v>184</v>
      </c>
      <c r="D108" s="9"/>
      <c r="E108" s="71"/>
      <c r="F108" s="55">
        <f>30/10</f>
        <v>3</v>
      </c>
      <c r="G108" s="147">
        <v>3875.44</v>
      </c>
      <c r="H108" s="131">
        <f t="shared" si="49"/>
        <v>11.62632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f>G108*3</f>
        <v>11626.32</v>
      </c>
      <c r="O108" s="37">
        <v>0</v>
      </c>
      <c r="P108" s="37">
        <v>0</v>
      </c>
      <c r="Q108" s="37">
        <v>0</v>
      </c>
      <c r="R108" s="37">
        <v>0</v>
      </c>
      <c r="S108" s="37">
        <v>0</v>
      </c>
      <c r="T108" s="37">
        <v>0</v>
      </c>
      <c r="U108" s="37">
        <f t="shared" si="44"/>
        <v>11626.32</v>
      </c>
    </row>
    <row r="109" spans="1:27" ht="25.5" customHeight="1">
      <c r="A109" s="134" t="s">
        <v>248</v>
      </c>
      <c r="B109" s="145" t="s">
        <v>188</v>
      </c>
      <c r="C109" s="144" t="s">
        <v>189</v>
      </c>
      <c r="D109" s="9"/>
      <c r="E109" s="71"/>
      <c r="F109" s="55">
        <f>2.6/10</f>
        <v>0.26</v>
      </c>
      <c r="G109" s="147">
        <v>4230.68</v>
      </c>
      <c r="H109" s="131">
        <f t="shared" si="49"/>
        <v>1.0999768000000001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f>G109*F109</f>
        <v>1099.9768000000001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f t="shared" si="44"/>
        <v>1099.9768000000001</v>
      </c>
    </row>
    <row r="110" spans="1:27" ht="12.75" customHeight="1">
      <c r="A110" s="140" t="s">
        <v>249</v>
      </c>
      <c r="B110" s="165" t="s">
        <v>190</v>
      </c>
      <c r="C110" s="138" t="s">
        <v>184</v>
      </c>
      <c r="D110" s="9"/>
      <c r="E110" s="71"/>
      <c r="F110" s="55">
        <f>1.5/10</f>
        <v>0.15</v>
      </c>
      <c r="G110" s="147">
        <v>6107.37</v>
      </c>
      <c r="H110" s="131">
        <f t="shared" si="49"/>
        <v>0.91610550000000002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f>G110*F110</f>
        <v>916.10550000000001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f t="shared" si="44"/>
        <v>916.10550000000001</v>
      </c>
    </row>
    <row r="111" spans="1:27" ht="12.75" customHeight="1">
      <c r="A111" s="166" t="s">
        <v>250</v>
      </c>
      <c r="B111" s="165" t="s">
        <v>191</v>
      </c>
      <c r="C111" s="138" t="s">
        <v>24</v>
      </c>
      <c r="D111" s="9"/>
      <c r="E111" s="71"/>
      <c r="F111" s="55">
        <f>3/100</f>
        <v>0.03</v>
      </c>
      <c r="G111" s="147">
        <v>588.05999999999995</v>
      </c>
      <c r="H111" s="131">
        <f t="shared" si="49"/>
        <v>1.7641799999999996E-2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f>G111*F111</f>
        <v>17.641799999999996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37">
        <v>0</v>
      </c>
      <c r="U111" s="37">
        <f t="shared" si="44"/>
        <v>17.641799999999996</v>
      </c>
    </row>
    <row r="112" spans="1:27" ht="12.75" customHeight="1">
      <c r="A112" s="140" t="s">
        <v>137</v>
      </c>
      <c r="B112" s="139" t="s">
        <v>186</v>
      </c>
      <c r="C112" s="140" t="s">
        <v>187</v>
      </c>
      <c r="D112" s="9"/>
      <c r="E112" s="71"/>
      <c r="F112" s="55">
        <v>5</v>
      </c>
      <c r="G112" s="147">
        <v>1501</v>
      </c>
      <c r="H112" s="131">
        <f t="shared" si="49"/>
        <v>7.5049999999999999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f>G112*5</f>
        <v>7505</v>
      </c>
      <c r="O112" s="37">
        <v>0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f t="shared" si="44"/>
        <v>7505</v>
      </c>
    </row>
    <row r="113" spans="1:27" ht="12.75" customHeight="1">
      <c r="A113" s="134" t="s">
        <v>251</v>
      </c>
      <c r="B113" s="163" t="s">
        <v>185</v>
      </c>
      <c r="C113" s="146" t="s">
        <v>61</v>
      </c>
      <c r="D113" s="9"/>
      <c r="E113" s="71"/>
      <c r="F113" s="55">
        <v>1</v>
      </c>
      <c r="G113" s="147">
        <v>179.96</v>
      </c>
      <c r="H113" s="131">
        <f t="shared" si="49"/>
        <v>0.17996000000000001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f>G113</f>
        <v>179.96</v>
      </c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f t="shared" si="44"/>
        <v>179.96</v>
      </c>
    </row>
    <row r="114" spans="1:27" ht="12.75" customHeight="1">
      <c r="A114" s="168" t="s">
        <v>254</v>
      </c>
      <c r="B114" s="169" t="s">
        <v>252</v>
      </c>
      <c r="C114" s="168" t="s">
        <v>253</v>
      </c>
      <c r="D114" s="9"/>
      <c r="E114" s="71"/>
      <c r="F114" s="55">
        <f>15/3</f>
        <v>5</v>
      </c>
      <c r="G114" s="147">
        <v>1063.47</v>
      </c>
      <c r="H114" s="131">
        <f t="shared" si="49"/>
        <v>5.3173500000000002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f>G114</f>
        <v>1063.47</v>
      </c>
      <c r="Q114" s="37">
        <f>G114</f>
        <v>1063.47</v>
      </c>
      <c r="R114" s="37">
        <f>G114*((3+3)/3)</f>
        <v>2126.94</v>
      </c>
      <c r="S114" s="37">
        <v>0</v>
      </c>
      <c r="T114" s="37">
        <f>G114</f>
        <v>1063.47</v>
      </c>
      <c r="U114" s="37">
        <f t="shared" si="44"/>
        <v>5317.35</v>
      </c>
    </row>
    <row r="115" spans="1:27" ht="12.75" customHeight="1">
      <c r="A115" s="146" t="s">
        <v>244</v>
      </c>
      <c r="B115" s="145" t="s">
        <v>255</v>
      </c>
      <c r="C115" s="146" t="s">
        <v>141</v>
      </c>
      <c r="D115" s="25"/>
      <c r="E115" s="55"/>
      <c r="F115" s="55">
        <v>2</v>
      </c>
      <c r="G115" s="55">
        <v>174.63</v>
      </c>
      <c r="H115" s="131">
        <f t="shared" si="49"/>
        <v>0.34926000000000001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f>G115*2</f>
        <v>349.26</v>
      </c>
      <c r="Q115" s="37">
        <v>0</v>
      </c>
      <c r="R115" s="37">
        <v>0</v>
      </c>
      <c r="S115" s="37">
        <v>0</v>
      </c>
      <c r="T115" s="37">
        <v>0</v>
      </c>
      <c r="U115" s="37">
        <f t="shared" si="44"/>
        <v>349.26</v>
      </c>
    </row>
    <row r="116" spans="1:27" ht="25.5" customHeight="1">
      <c r="A116" s="140" t="s">
        <v>219</v>
      </c>
      <c r="B116" s="139" t="s">
        <v>256</v>
      </c>
      <c r="C116" s="140" t="s">
        <v>58</v>
      </c>
      <c r="D116" s="137"/>
      <c r="E116" s="55"/>
      <c r="F116" s="55">
        <f>3/100</f>
        <v>0.03</v>
      </c>
      <c r="G116" s="55">
        <v>3397.65</v>
      </c>
      <c r="H116" s="131">
        <f t="shared" si="49"/>
        <v>0.10192950000000001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0</v>
      </c>
      <c r="P116" s="37">
        <f>G116*0.02</f>
        <v>67.953000000000003</v>
      </c>
      <c r="Q116" s="37">
        <v>0</v>
      </c>
      <c r="R116" s="37">
        <v>0</v>
      </c>
      <c r="S116" s="37">
        <f>G116*0.01</f>
        <v>33.976500000000001</v>
      </c>
      <c r="T116" s="37">
        <v>0</v>
      </c>
      <c r="U116" s="37">
        <f t="shared" si="44"/>
        <v>101.9295</v>
      </c>
      <c r="V116"/>
      <c r="W116"/>
      <c r="X116"/>
      <c r="Y116"/>
      <c r="Z116"/>
      <c r="AA116"/>
    </row>
    <row r="117" spans="1:27" ht="38.25" customHeight="1">
      <c r="A117" s="140" t="s">
        <v>257</v>
      </c>
      <c r="B117" s="139" t="s">
        <v>258</v>
      </c>
      <c r="C117" s="140" t="s">
        <v>259</v>
      </c>
      <c r="D117" s="137"/>
      <c r="E117" s="55"/>
      <c r="F117" s="55">
        <v>1</v>
      </c>
      <c r="G117" s="55">
        <v>51.39</v>
      </c>
      <c r="H117" s="131">
        <f t="shared" si="49"/>
        <v>5.1389999999999998E-2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f>G117</f>
        <v>51.39</v>
      </c>
      <c r="R117" s="37">
        <v>0</v>
      </c>
      <c r="S117" s="37">
        <v>0</v>
      </c>
      <c r="T117" s="37">
        <v>0</v>
      </c>
      <c r="U117" s="37">
        <f t="shared" si="44"/>
        <v>51.39</v>
      </c>
      <c r="V117"/>
      <c r="W117"/>
      <c r="X117"/>
      <c r="Y117"/>
      <c r="Z117"/>
      <c r="AA117"/>
    </row>
    <row r="118" spans="1:27" ht="25.5" customHeight="1">
      <c r="A118" s="138" t="s">
        <v>271</v>
      </c>
      <c r="B118" s="139" t="s">
        <v>272</v>
      </c>
      <c r="C118" s="140" t="s">
        <v>141</v>
      </c>
      <c r="D118" s="137"/>
      <c r="E118" s="55"/>
      <c r="F118" s="55">
        <v>1</v>
      </c>
      <c r="G118" s="55">
        <v>246.89</v>
      </c>
      <c r="H118" s="131">
        <f t="shared" si="49"/>
        <v>0.24689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f>G118</f>
        <v>246.89</v>
      </c>
      <c r="R118" s="37">
        <v>0</v>
      </c>
      <c r="S118" s="37">
        <v>0</v>
      </c>
      <c r="T118" s="37">
        <v>0</v>
      </c>
      <c r="U118" s="37">
        <f t="shared" si="44"/>
        <v>246.89</v>
      </c>
      <c r="V118"/>
      <c r="W118"/>
      <c r="X118"/>
      <c r="Y118"/>
      <c r="Z118"/>
      <c r="AA118"/>
    </row>
    <row r="119" spans="1:27" ht="25.5" customHeight="1">
      <c r="A119" s="138" t="s">
        <v>170</v>
      </c>
      <c r="B119" s="139" t="s">
        <v>274</v>
      </c>
      <c r="C119" s="140" t="s">
        <v>145</v>
      </c>
      <c r="D119" s="137"/>
      <c r="E119" s="55"/>
      <c r="F119" s="55">
        <v>1.5</v>
      </c>
      <c r="G119" s="55">
        <v>1272</v>
      </c>
      <c r="H119" s="131">
        <v>11.45</v>
      </c>
      <c r="I119" s="37">
        <v>0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f>G119*1.5</f>
        <v>1908</v>
      </c>
      <c r="S119" s="37">
        <v>0</v>
      </c>
      <c r="T119" s="37">
        <v>0</v>
      </c>
      <c r="U119" s="37">
        <f t="shared" si="44"/>
        <v>1908</v>
      </c>
      <c r="V119"/>
      <c r="W119"/>
      <c r="X119"/>
      <c r="Y119"/>
      <c r="Z119"/>
      <c r="AA119"/>
    </row>
    <row r="120" spans="1:27" ht="12.75" customHeight="1">
      <c r="A120" s="140" t="s">
        <v>245</v>
      </c>
      <c r="B120" s="139" t="s">
        <v>260</v>
      </c>
      <c r="C120" s="140" t="s">
        <v>145</v>
      </c>
      <c r="D120" s="137"/>
      <c r="E120" s="55"/>
      <c r="F120" s="55">
        <v>4</v>
      </c>
      <c r="G120" s="55">
        <v>778.86</v>
      </c>
      <c r="H120" s="131">
        <f t="shared" si="49"/>
        <v>3.11544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v>0</v>
      </c>
      <c r="R120" s="37">
        <f>G120*4</f>
        <v>3115.44</v>
      </c>
      <c r="S120" s="37">
        <v>0</v>
      </c>
      <c r="T120" s="37">
        <v>0</v>
      </c>
      <c r="U120" s="37">
        <f t="shared" si="44"/>
        <v>3115.44</v>
      </c>
      <c r="V120"/>
      <c r="W120"/>
      <c r="X120"/>
      <c r="Y120"/>
      <c r="Z120"/>
      <c r="AA120"/>
    </row>
    <row r="121" spans="1:27" ht="12.75" customHeight="1">
      <c r="A121" s="140" t="s">
        <v>170</v>
      </c>
      <c r="B121" s="145" t="s">
        <v>273</v>
      </c>
      <c r="C121" s="140" t="s">
        <v>172</v>
      </c>
      <c r="D121" s="137"/>
      <c r="E121" s="55"/>
      <c r="F121" s="55">
        <v>1</v>
      </c>
      <c r="G121" s="55">
        <v>32249</v>
      </c>
      <c r="H121" s="131">
        <f t="shared" si="49"/>
        <v>32.249000000000002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f>G121</f>
        <v>32249</v>
      </c>
      <c r="S121" s="37">
        <v>0</v>
      </c>
      <c r="T121" s="37">
        <v>0</v>
      </c>
      <c r="U121" s="37">
        <f t="shared" si="44"/>
        <v>32249</v>
      </c>
      <c r="V121"/>
      <c r="W121"/>
      <c r="X121"/>
      <c r="Y121"/>
      <c r="Z121"/>
      <c r="AA121"/>
    </row>
    <row r="122" spans="1:27" ht="25.5" customHeight="1">
      <c r="A122" s="144" t="s">
        <v>261</v>
      </c>
      <c r="B122" s="145" t="s">
        <v>262</v>
      </c>
      <c r="C122" s="141" t="s">
        <v>61</v>
      </c>
      <c r="D122" s="25"/>
      <c r="E122" s="55"/>
      <c r="F122" s="55">
        <v>2</v>
      </c>
      <c r="G122" s="55">
        <v>79.09</v>
      </c>
      <c r="H122" s="131">
        <f t="shared" si="49"/>
        <v>0.15818000000000002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0</v>
      </c>
      <c r="S122" s="37">
        <f>G122*2</f>
        <v>158.18</v>
      </c>
      <c r="T122" s="37">
        <v>0</v>
      </c>
      <c r="U122" s="37">
        <f t="shared" si="44"/>
        <v>158.18</v>
      </c>
      <c r="V122"/>
      <c r="W122"/>
      <c r="X122"/>
      <c r="Y122"/>
      <c r="Z122"/>
      <c r="AA122"/>
    </row>
    <row r="123" spans="1:27" ht="25.5" customHeight="1">
      <c r="A123" s="140" t="s">
        <v>269</v>
      </c>
      <c r="B123" s="139" t="s">
        <v>270</v>
      </c>
      <c r="C123" s="140" t="s">
        <v>24</v>
      </c>
      <c r="D123" s="25"/>
      <c r="E123" s="55"/>
      <c r="F123" s="55">
        <f>6/100</f>
        <v>0.06</v>
      </c>
      <c r="G123" s="147">
        <v>48499.78</v>
      </c>
      <c r="H123" s="131">
        <f t="shared" si="49"/>
        <v>2.9099867999999995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f>G123*F123</f>
        <v>2909.9867999999997</v>
      </c>
      <c r="T123" s="37">
        <v>0</v>
      </c>
      <c r="U123" s="37">
        <f t="shared" si="44"/>
        <v>2909.9867999999997</v>
      </c>
      <c r="V123"/>
      <c r="W123"/>
      <c r="X123"/>
      <c r="Y123"/>
      <c r="Z123"/>
      <c r="AA123"/>
    </row>
    <row r="124" spans="1:27" ht="25.5" customHeight="1">
      <c r="A124" s="134" t="s">
        <v>264</v>
      </c>
      <c r="B124" s="145" t="s">
        <v>263</v>
      </c>
      <c r="C124" s="146" t="s">
        <v>85</v>
      </c>
      <c r="D124" s="25"/>
      <c r="E124" s="55"/>
      <c r="F124" s="55">
        <v>0.69</v>
      </c>
      <c r="G124" s="55">
        <v>612.87</v>
      </c>
      <c r="H124" s="131">
        <f t="shared" si="49"/>
        <v>0.42288029999999999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f>G124*F124</f>
        <v>422.88029999999998</v>
      </c>
      <c r="T124" s="37">
        <v>0</v>
      </c>
      <c r="U124" s="37">
        <f t="shared" si="44"/>
        <v>422.88029999999998</v>
      </c>
      <c r="V124"/>
      <c r="W124"/>
      <c r="X124"/>
      <c r="Y124"/>
      <c r="Z124"/>
      <c r="AA124"/>
    </row>
    <row r="125" spans="1:27" ht="25.5" customHeight="1">
      <c r="A125" s="140" t="s">
        <v>276</v>
      </c>
      <c r="B125" s="139" t="s">
        <v>277</v>
      </c>
      <c r="C125" s="140" t="s">
        <v>275</v>
      </c>
      <c r="D125" s="25"/>
      <c r="E125" s="55"/>
      <c r="F125" s="55">
        <v>1</v>
      </c>
      <c r="G125" s="55">
        <v>574.22</v>
      </c>
      <c r="H125" s="131">
        <f t="shared" si="49"/>
        <v>0.57422000000000006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f>G125</f>
        <v>574.22</v>
      </c>
      <c r="U125" s="37">
        <f t="shared" si="44"/>
        <v>574.22</v>
      </c>
      <c r="V125"/>
      <c r="W125"/>
      <c r="X125"/>
      <c r="Y125"/>
      <c r="Z125"/>
      <c r="AA125"/>
    </row>
    <row r="126" spans="1:27" ht="38.25" customHeight="1">
      <c r="A126" s="166" t="s">
        <v>265</v>
      </c>
      <c r="B126" s="139" t="s">
        <v>266</v>
      </c>
      <c r="C126" s="140" t="s">
        <v>184</v>
      </c>
      <c r="D126" s="25"/>
      <c r="E126" s="55"/>
      <c r="F126" s="55">
        <f>0.2/10</f>
        <v>0.02</v>
      </c>
      <c r="G126" s="55">
        <v>9750.4599999999991</v>
      </c>
      <c r="H126" s="131">
        <f t="shared" si="49"/>
        <v>0.19500919999999999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f>G126*F126</f>
        <v>195.00919999999999</v>
      </c>
      <c r="U126" s="37">
        <f t="shared" si="44"/>
        <v>195.00919999999999</v>
      </c>
      <c r="V126"/>
      <c r="W126"/>
      <c r="X126"/>
      <c r="Y126"/>
      <c r="Z126"/>
      <c r="AA126"/>
    </row>
    <row r="127" spans="1:27" s="19" customFormat="1">
      <c r="A127" s="101"/>
      <c r="B127" s="102" t="s">
        <v>93</v>
      </c>
      <c r="C127" s="101"/>
      <c r="D127" s="101"/>
      <c r="E127" s="97"/>
      <c r="F127" s="97"/>
      <c r="G127" s="97"/>
      <c r="H127" s="47">
        <f>SUM(H88:H126)</f>
        <v>131.24030189999996</v>
      </c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46">
        <f>SUM(U88:U126)</f>
        <v>121698.30190000002</v>
      </c>
      <c r="V127" s="149"/>
      <c r="W127" s="149"/>
      <c r="X127" s="149"/>
      <c r="Y127" s="149"/>
      <c r="Z127" s="149"/>
      <c r="AA127" s="149"/>
    </row>
    <row r="128" spans="1:27">
      <c r="A128" s="103"/>
      <c r="B128" s="104"/>
      <c r="C128" s="103"/>
      <c r="D128" s="103"/>
      <c r="E128" s="55"/>
      <c r="F128" s="55"/>
      <c r="G128" s="55"/>
      <c r="H128" s="105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127"/>
    </row>
    <row r="129" spans="1:21" ht="25.5">
      <c r="A129" s="92"/>
      <c r="B129" s="18" t="s">
        <v>94</v>
      </c>
      <c r="C129" s="70"/>
      <c r="D129" s="25"/>
      <c r="E129" s="55"/>
      <c r="F129" s="55"/>
      <c r="G129" s="55"/>
      <c r="H129" s="106">
        <f>H127/E130/12*1000</f>
        <v>1.8485695155756123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127"/>
    </row>
    <row r="130" spans="1:21">
      <c r="A130" s="107"/>
      <c r="B130" s="108" t="s">
        <v>179</v>
      </c>
      <c r="C130" s="109"/>
      <c r="D130" s="108"/>
      <c r="E130" s="162">
        <v>5916.3</v>
      </c>
      <c r="F130" s="110">
        <f>SUM(E130*12)</f>
        <v>70995.600000000006</v>
      </c>
      <c r="G130" s="111">
        <f>H85+H129</f>
        <v>18.480568483989614</v>
      </c>
      <c r="H130" s="112">
        <f>SUM(F130*G130/1000)</f>
        <v>1312.0390478619333</v>
      </c>
      <c r="I130" s="97">
        <f t="shared" ref="I130:S130" si="50">SUM(I11:I129)</f>
        <v>101409.7996</v>
      </c>
      <c r="J130" s="97">
        <f t="shared" si="50"/>
        <v>117296.36960000001</v>
      </c>
      <c r="K130" s="97">
        <f t="shared" si="50"/>
        <v>98988.068224999995</v>
      </c>
      <c r="L130" s="97">
        <f t="shared" si="50"/>
        <v>105091.7389</v>
      </c>
      <c r="M130" s="97">
        <f t="shared" si="50"/>
        <v>212243.40052018885</v>
      </c>
      <c r="N130" s="97">
        <f t="shared" si="50"/>
        <v>113134.66630288887</v>
      </c>
      <c r="O130" s="97">
        <f t="shared" si="50"/>
        <v>71965.362202888893</v>
      </c>
      <c r="P130" s="97">
        <f t="shared" si="50"/>
        <v>90870.555202888878</v>
      </c>
      <c r="Q130" s="97">
        <f t="shared" si="50"/>
        <v>85756.169585188894</v>
      </c>
      <c r="R130" s="97">
        <f t="shared" si="50"/>
        <v>116923.1908778889</v>
      </c>
      <c r="S130" s="97">
        <f t="shared" si="50"/>
        <v>88309.861825</v>
      </c>
      <c r="T130" s="97">
        <f>SUM(T11:T129)</f>
        <v>87142.508799999996</v>
      </c>
      <c r="U130" s="46">
        <f>U82+U127</f>
        <v>1398870.4302776754</v>
      </c>
    </row>
    <row r="131" spans="1:21" ht="12.75" customHeight="1">
      <c r="A131" s="113"/>
      <c r="B131" s="113"/>
      <c r="C131" s="113"/>
      <c r="D131" s="113"/>
      <c r="E131" s="114"/>
      <c r="F131" s="114"/>
      <c r="G131" s="114"/>
      <c r="H131" s="114"/>
      <c r="I131" s="114"/>
      <c r="J131" s="114"/>
      <c r="K131" s="114"/>
      <c r="L131" s="114"/>
      <c r="M131" s="113"/>
      <c r="N131" s="114"/>
      <c r="O131" s="113"/>
      <c r="P131" s="113"/>
      <c r="Q131" s="113"/>
      <c r="R131" s="113"/>
      <c r="S131" s="113"/>
      <c r="T131" s="113"/>
      <c r="U131" s="113"/>
    </row>
    <row r="132" spans="1:21" ht="12.75" customHeight="1">
      <c r="A132" s="113"/>
      <c r="B132" s="113"/>
      <c r="C132" s="113"/>
      <c r="D132" s="113"/>
      <c r="E132" s="114"/>
      <c r="F132" s="114"/>
      <c r="G132" s="114"/>
      <c r="H132" s="114"/>
      <c r="I132" s="114"/>
      <c r="J132" s="115"/>
      <c r="K132" s="116"/>
      <c r="L132" s="115"/>
      <c r="M132" s="114"/>
      <c r="N132" s="113"/>
      <c r="O132" s="113"/>
      <c r="P132" s="113"/>
      <c r="Q132" s="113"/>
      <c r="R132" s="113"/>
      <c r="S132" s="113"/>
      <c r="T132" s="113"/>
      <c r="U132" s="113"/>
    </row>
    <row r="133" spans="1:21" ht="51.75" customHeight="1">
      <c r="A133" s="113"/>
      <c r="B133" s="121" t="s">
        <v>130</v>
      </c>
      <c r="C133" s="170">
        <v>-467724.9</v>
      </c>
      <c r="D133" s="171"/>
      <c r="E133" s="171"/>
      <c r="F133" s="172"/>
      <c r="G133" s="114"/>
      <c r="H133" s="114"/>
      <c r="I133" s="114"/>
      <c r="J133" s="115"/>
      <c r="K133" s="116"/>
      <c r="L133" s="115"/>
      <c r="M133" s="114"/>
      <c r="N133" s="113"/>
      <c r="O133" s="113"/>
      <c r="P133" s="113"/>
      <c r="Q133" s="113"/>
      <c r="R133" s="113"/>
      <c r="S133" s="113"/>
      <c r="T133" s="113"/>
      <c r="U133" s="113"/>
    </row>
    <row r="134" spans="1:21" ht="30">
      <c r="A134" s="113"/>
      <c r="B134" s="121" t="s">
        <v>168</v>
      </c>
      <c r="C134" s="170">
        <f>120397.01*12</f>
        <v>1444764.1199999999</v>
      </c>
      <c r="D134" s="171"/>
      <c r="E134" s="171"/>
      <c r="F134" s="172"/>
      <c r="G134" s="114"/>
      <c r="H134" s="114"/>
      <c r="I134" s="114"/>
      <c r="J134" s="115"/>
      <c r="K134" s="116"/>
      <c r="L134" s="115"/>
      <c r="M134" s="114"/>
      <c r="N134" s="113"/>
      <c r="O134" s="113"/>
      <c r="P134" s="113"/>
      <c r="Q134" s="113"/>
      <c r="R134" s="113"/>
      <c r="S134" s="113"/>
      <c r="T134" s="113"/>
      <c r="U134" s="113"/>
    </row>
    <row r="135" spans="1:21" ht="37.5" customHeight="1">
      <c r="A135" s="113"/>
      <c r="B135" s="121" t="s">
        <v>134</v>
      </c>
      <c r="C135" s="170">
        <f>SUM(U130-U127)</f>
        <v>1277172.1283776753</v>
      </c>
      <c r="D135" s="171"/>
      <c r="E135" s="171"/>
      <c r="F135" s="172"/>
      <c r="G135" s="114"/>
      <c r="H135" s="114"/>
      <c r="I135" s="114"/>
      <c r="J135" s="115"/>
      <c r="K135" s="116"/>
      <c r="L135" s="115"/>
      <c r="M135" s="114"/>
      <c r="N135" s="113"/>
      <c r="O135" s="113"/>
      <c r="P135" s="113"/>
      <c r="Q135" s="113"/>
      <c r="R135" s="113"/>
      <c r="S135" s="113"/>
      <c r="T135" s="113"/>
      <c r="U135" s="113"/>
    </row>
    <row r="136" spans="1:21" ht="30">
      <c r="A136" s="113"/>
      <c r="B136" s="121" t="s">
        <v>135</v>
      </c>
      <c r="C136" s="170">
        <f>SUM(U127)</f>
        <v>121698.30190000002</v>
      </c>
      <c r="D136" s="171"/>
      <c r="E136" s="171"/>
      <c r="F136" s="172"/>
      <c r="G136" s="114"/>
      <c r="H136" s="114"/>
      <c r="I136" s="114"/>
      <c r="J136" s="115"/>
      <c r="K136" s="116"/>
      <c r="L136" s="115"/>
      <c r="M136" s="114"/>
      <c r="N136" s="113"/>
      <c r="O136" s="113"/>
      <c r="P136" s="113"/>
      <c r="Q136" s="113"/>
      <c r="R136" s="113"/>
      <c r="S136" s="113"/>
      <c r="T136" s="113"/>
      <c r="U136" s="113"/>
    </row>
    <row r="137" spans="1:21" ht="18">
      <c r="A137" s="113"/>
      <c r="B137" s="130" t="s">
        <v>136</v>
      </c>
      <c r="C137" s="176">
        <f>112975.02+108248.54+108689.01+103475.08+116117.82+106149.45+101348.39+107284.54+116720.07+111147.54+117133.29+122458.8</f>
        <v>1331747.55</v>
      </c>
      <c r="D137" s="174"/>
      <c r="E137" s="174"/>
      <c r="F137" s="175"/>
      <c r="G137" s="113"/>
      <c r="I137" s="117" t="s">
        <v>100</v>
      </c>
      <c r="J137" s="118"/>
      <c r="K137" s="119"/>
      <c r="L137" s="120"/>
      <c r="M137" s="117"/>
      <c r="N137" s="117"/>
      <c r="O137" s="113"/>
      <c r="P137" s="113"/>
      <c r="Q137" s="113"/>
      <c r="R137" s="113"/>
      <c r="S137" s="113"/>
      <c r="T137" s="113"/>
      <c r="U137" s="113"/>
    </row>
    <row r="138" spans="1:21" ht="78.75">
      <c r="A138" s="113"/>
      <c r="B138" s="164" t="s">
        <v>267</v>
      </c>
      <c r="C138" s="177">
        <v>475662.02</v>
      </c>
      <c r="D138" s="178"/>
      <c r="E138" s="178"/>
      <c r="F138" s="179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</row>
    <row r="139" spans="1:21" ht="51.75" customHeight="1">
      <c r="A139" s="113"/>
      <c r="B139" s="121" t="s">
        <v>268</v>
      </c>
      <c r="C139" s="173">
        <f>SUM(U130-C134)+C133</f>
        <v>-513618.58972232451</v>
      </c>
      <c r="D139" s="174"/>
      <c r="E139" s="174"/>
      <c r="F139" s="175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</row>
    <row r="141" spans="1:21">
      <c r="J141" s="4"/>
      <c r="K141" s="5"/>
      <c r="L141" s="5"/>
      <c r="M141" s="3"/>
    </row>
    <row r="142" spans="1:21">
      <c r="G142" s="6"/>
      <c r="H142" s="6"/>
    </row>
    <row r="143" spans="1:21">
      <c r="G143" s="7"/>
    </row>
  </sheetData>
  <mergeCells count="12">
    <mergeCell ref="W80:AA80"/>
    <mergeCell ref="B3:L3"/>
    <mergeCell ref="B4:L4"/>
    <mergeCell ref="B5:L5"/>
    <mergeCell ref="B6:L6"/>
    <mergeCell ref="C133:F133"/>
    <mergeCell ref="C139:F139"/>
    <mergeCell ref="C134:F134"/>
    <mergeCell ref="C135:F135"/>
    <mergeCell ref="C136:F136"/>
    <mergeCell ref="C137:F137"/>
    <mergeCell ref="C138:F138"/>
  </mergeCells>
  <pageMargins left="0.31496062992125984" right="0.31496062992125984" top="0.15748031496062992" bottom="0.19685039370078741" header="0.15748031496062992" footer="0.15748031496062992"/>
  <pageSetup paperSize="9" scale="3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Нефт.,8</vt:lpstr>
      <vt:lpstr>'Нефт.,8'!Область_печати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2017-03-27T10:03:54Z</dcterms:modified>
</cp:coreProperties>
</file>