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'Шахт.,7'!$A$1:$U$129</definedName>
  </definedNames>
  <calcPr calcId="124519"/>
</workbook>
</file>

<file path=xl/calcChain.xml><?xml version="1.0" encoding="utf-8"?>
<calcChain xmlns="http://schemas.openxmlformats.org/spreadsheetml/2006/main">
  <c r="S114" i="1"/>
  <c r="S116"/>
  <c r="S110"/>
  <c r="Q110"/>
  <c r="I92"/>
  <c r="U116"/>
  <c r="H116"/>
  <c r="T114"/>
  <c r="R106"/>
  <c r="R107"/>
  <c r="R105"/>
  <c r="S95"/>
  <c r="S88"/>
  <c r="S115"/>
  <c r="U115" s="1"/>
  <c r="H115"/>
  <c r="T97"/>
  <c r="T91"/>
  <c r="S91"/>
  <c r="T63"/>
  <c r="T95"/>
  <c r="K37"/>
  <c r="U114"/>
  <c r="H114"/>
  <c r="O113"/>
  <c r="U113" s="1"/>
  <c r="H113"/>
  <c r="P103"/>
  <c r="P102"/>
  <c r="P112" l="1"/>
  <c r="U112" s="1"/>
  <c r="H112"/>
  <c r="Q111"/>
  <c r="U111" s="1"/>
  <c r="H111"/>
  <c r="Q88"/>
  <c r="U110"/>
  <c r="H110"/>
  <c r="O98"/>
  <c r="Q109"/>
  <c r="O109"/>
  <c r="N98"/>
  <c r="N109"/>
  <c r="H109"/>
  <c r="N108"/>
  <c r="U108" s="1"/>
  <c r="H108"/>
  <c r="N107"/>
  <c r="U107" s="1"/>
  <c r="H107"/>
  <c r="H91"/>
  <c r="Q91"/>
  <c r="U106"/>
  <c r="T106"/>
  <c r="H106"/>
  <c r="T105"/>
  <c r="U105" s="1"/>
  <c r="H105"/>
  <c r="N104"/>
  <c r="U104" s="1"/>
  <c r="H104"/>
  <c r="R95"/>
  <c r="Q95"/>
  <c r="P95"/>
  <c r="O95"/>
  <c r="N95"/>
  <c r="L95"/>
  <c r="K95"/>
  <c r="R96"/>
  <c r="N94"/>
  <c r="Q64"/>
  <c r="Q63"/>
  <c r="P63"/>
  <c r="O63"/>
  <c r="R103"/>
  <c r="N103"/>
  <c r="H103"/>
  <c r="N102"/>
  <c r="U102" s="1"/>
  <c r="H102"/>
  <c r="O101"/>
  <c r="N101"/>
  <c r="H101"/>
  <c r="S51"/>
  <c r="R91"/>
  <c r="P91"/>
  <c r="O91"/>
  <c r="N91"/>
  <c r="T56"/>
  <c r="S56"/>
  <c r="T41"/>
  <c r="S41"/>
  <c r="T35"/>
  <c r="S35"/>
  <c r="I91"/>
  <c r="P52"/>
  <c r="R28"/>
  <c r="Q28"/>
  <c r="P28"/>
  <c r="O28"/>
  <c r="N28"/>
  <c r="R27"/>
  <c r="Q27"/>
  <c r="P27"/>
  <c r="O27"/>
  <c r="N27"/>
  <c r="N20"/>
  <c r="M100"/>
  <c r="U100" s="1"/>
  <c r="H100"/>
  <c r="M99"/>
  <c r="U99" s="1"/>
  <c r="H99"/>
  <c r="M91"/>
  <c r="L52"/>
  <c r="M28"/>
  <c r="M27"/>
  <c r="L98"/>
  <c r="U98" s="1"/>
  <c r="H98"/>
  <c r="L94"/>
  <c r="L63"/>
  <c r="L91"/>
  <c r="L97"/>
  <c r="U97" s="1"/>
  <c r="H97"/>
  <c r="L56"/>
  <c r="L41"/>
  <c r="L35"/>
  <c r="K96"/>
  <c r="U96" s="1"/>
  <c r="H96"/>
  <c r="K90"/>
  <c r="U90" s="1"/>
  <c r="K91"/>
  <c r="K63"/>
  <c r="K56"/>
  <c r="K41"/>
  <c r="K35"/>
  <c r="F77"/>
  <c r="N77" s="1"/>
  <c r="U77" s="1"/>
  <c r="J95"/>
  <c r="U95" s="1"/>
  <c r="H95"/>
  <c r="J63"/>
  <c r="J94"/>
  <c r="U94" s="1"/>
  <c r="H94"/>
  <c r="J56"/>
  <c r="J52"/>
  <c r="J41"/>
  <c r="J35"/>
  <c r="I93"/>
  <c r="U93" s="1"/>
  <c r="H93"/>
  <c r="U92"/>
  <c r="H92"/>
  <c r="H90"/>
  <c r="I88"/>
  <c r="U88" s="1"/>
  <c r="U75"/>
  <c r="U73"/>
  <c r="U72"/>
  <c r="U64"/>
  <c r="U63"/>
  <c r="U61"/>
  <c r="U58"/>
  <c r="U55"/>
  <c r="U52"/>
  <c r="U37"/>
  <c r="U31"/>
  <c r="U30"/>
  <c r="U28"/>
  <c r="U27"/>
  <c r="U20"/>
  <c r="F60"/>
  <c r="I60" s="1"/>
  <c r="I56"/>
  <c r="U56" s="1"/>
  <c r="I51"/>
  <c r="U51" s="1"/>
  <c r="I41"/>
  <c r="U41" s="1"/>
  <c r="I35"/>
  <c r="U35" s="1"/>
  <c r="H35"/>
  <c r="F32"/>
  <c r="I32" s="1"/>
  <c r="U101" l="1"/>
  <c r="U103"/>
  <c r="U91"/>
  <c r="H77"/>
  <c r="U109"/>
  <c r="O32"/>
  <c r="Q32"/>
  <c r="N60"/>
  <c r="P60"/>
  <c r="R60"/>
  <c r="T32"/>
  <c r="S60"/>
  <c r="N32"/>
  <c r="P32"/>
  <c r="R32"/>
  <c r="O60"/>
  <c r="Q60"/>
  <c r="S32"/>
  <c r="T60"/>
  <c r="L32"/>
  <c r="L60"/>
  <c r="M60"/>
  <c r="M32"/>
  <c r="J60"/>
  <c r="K32"/>
  <c r="K60"/>
  <c r="J32"/>
  <c r="F57"/>
  <c r="F55"/>
  <c r="I89"/>
  <c r="U89" s="1"/>
  <c r="U117" s="1"/>
  <c r="H89"/>
  <c r="H88"/>
  <c r="H61"/>
  <c r="H58"/>
  <c r="H117" l="1"/>
  <c r="T57"/>
  <c r="S57"/>
  <c r="U60"/>
  <c r="J57"/>
  <c r="L57"/>
  <c r="K57"/>
  <c r="U32"/>
  <c r="H57"/>
  <c r="I57"/>
  <c r="F52"/>
  <c r="U57" l="1"/>
  <c r="F39"/>
  <c r="L39" l="1"/>
  <c r="S39"/>
  <c r="T39"/>
  <c r="I39"/>
  <c r="J39"/>
  <c r="K39"/>
  <c r="H28"/>
  <c r="F24"/>
  <c r="H20"/>
  <c r="F19"/>
  <c r="F21"/>
  <c r="H60"/>
  <c r="H56"/>
  <c r="H55"/>
  <c r="M24" l="1"/>
  <c r="Q24"/>
  <c r="O24"/>
  <c r="R24"/>
  <c r="P24"/>
  <c r="N24"/>
  <c r="S21"/>
  <c r="Q21"/>
  <c r="O21"/>
  <c r="T21"/>
  <c r="R21"/>
  <c r="P21"/>
  <c r="N21"/>
  <c r="T19"/>
  <c r="Q19"/>
  <c r="O19"/>
  <c r="S19"/>
  <c r="R19"/>
  <c r="P19"/>
  <c r="N19"/>
  <c r="M21"/>
  <c r="L21"/>
  <c r="M19"/>
  <c r="L19"/>
  <c r="K19"/>
  <c r="J19"/>
  <c r="I21"/>
  <c r="J21"/>
  <c r="K21"/>
  <c r="U39"/>
  <c r="H19"/>
  <c r="I19"/>
  <c r="U19" s="1"/>
  <c r="H37"/>
  <c r="U24" l="1"/>
  <c r="U21"/>
  <c r="H73"/>
  <c r="C126" l="1"/>
  <c r="H119"/>
  <c r="F120"/>
  <c r="E80"/>
  <c r="H84" s="1"/>
  <c r="F78"/>
  <c r="H75"/>
  <c r="F72"/>
  <c r="H72" s="1"/>
  <c r="F70"/>
  <c r="F69"/>
  <c r="F68"/>
  <c r="F67"/>
  <c r="F66"/>
  <c r="F65"/>
  <c r="H64"/>
  <c r="H63"/>
  <c r="H52"/>
  <c r="H51"/>
  <c r="F50"/>
  <c r="Q50" s="1"/>
  <c r="F49"/>
  <c r="Q49" s="1"/>
  <c r="F48"/>
  <c r="F47"/>
  <c r="R47" s="1"/>
  <c r="F46"/>
  <c r="R46" s="1"/>
  <c r="F45"/>
  <c r="R45" s="1"/>
  <c r="F44"/>
  <c r="R44" s="1"/>
  <c r="H41"/>
  <c r="F40"/>
  <c r="H39"/>
  <c r="F38"/>
  <c r="F36"/>
  <c r="H32"/>
  <c r="H31"/>
  <c r="H30"/>
  <c r="F29"/>
  <c r="F26"/>
  <c r="F25"/>
  <c r="H24"/>
  <c r="H21"/>
  <c r="F18"/>
  <c r="F17"/>
  <c r="F16"/>
  <c r="F15"/>
  <c r="F14"/>
  <c r="E13"/>
  <c r="F13" s="1"/>
  <c r="F12"/>
  <c r="F11"/>
  <c r="H14" l="1"/>
  <c r="M14"/>
  <c r="U14" s="1"/>
  <c r="H18"/>
  <c r="N18"/>
  <c r="U18" s="1"/>
  <c r="T11"/>
  <c r="Q11"/>
  <c r="O11"/>
  <c r="N11"/>
  <c r="S11"/>
  <c r="R11"/>
  <c r="P11"/>
  <c r="M11"/>
  <c r="T13"/>
  <c r="Q13"/>
  <c r="O13"/>
  <c r="S13"/>
  <c r="R13"/>
  <c r="P13"/>
  <c r="N13"/>
  <c r="T15"/>
  <c r="Q15"/>
  <c r="O15"/>
  <c r="S15"/>
  <c r="R15"/>
  <c r="P15"/>
  <c r="N15"/>
  <c r="H17"/>
  <c r="N17"/>
  <c r="U17" s="1"/>
  <c r="R25"/>
  <c r="P25"/>
  <c r="N25"/>
  <c r="Q25"/>
  <c r="O25"/>
  <c r="S29"/>
  <c r="Q29"/>
  <c r="O29"/>
  <c r="T29"/>
  <c r="R29"/>
  <c r="P29"/>
  <c r="N29"/>
  <c r="L36"/>
  <c r="S36"/>
  <c r="T36"/>
  <c r="T78"/>
  <c r="R78"/>
  <c r="P78"/>
  <c r="N78"/>
  <c r="S78"/>
  <c r="Q78"/>
  <c r="O78"/>
  <c r="T12"/>
  <c r="R12"/>
  <c r="P12"/>
  <c r="N12"/>
  <c r="S12"/>
  <c r="Q12"/>
  <c r="O12"/>
  <c r="T16"/>
  <c r="R16"/>
  <c r="P16"/>
  <c r="N16"/>
  <c r="S16"/>
  <c r="Q16"/>
  <c r="O16"/>
  <c r="L38"/>
  <c r="S38"/>
  <c r="T38"/>
  <c r="L40"/>
  <c r="S40"/>
  <c r="T40"/>
  <c r="M48"/>
  <c r="T48"/>
  <c r="Q48"/>
  <c r="H70"/>
  <c r="Q70"/>
  <c r="U70" s="1"/>
  <c r="M12"/>
  <c r="L12"/>
  <c r="M16"/>
  <c r="L16"/>
  <c r="H26"/>
  <c r="M26"/>
  <c r="U26" s="1"/>
  <c r="L11"/>
  <c r="M13"/>
  <c r="L13"/>
  <c r="M15"/>
  <c r="L15"/>
  <c r="H25"/>
  <c r="M25"/>
  <c r="U25" s="1"/>
  <c r="L29"/>
  <c r="M29"/>
  <c r="H45"/>
  <c r="L45"/>
  <c r="U45" s="1"/>
  <c r="H47"/>
  <c r="L47"/>
  <c r="U47" s="1"/>
  <c r="H65"/>
  <c r="M65"/>
  <c r="U65" s="1"/>
  <c r="H67"/>
  <c r="M67"/>
  <c r="U67" s="1"/>
  <c r="H69"/>
  <c r="M69"/>
  <c r="U69" s="1"/>
  <c r="L78"/>
  <c r="M78"/>
  <c r="H44"/>
  <c r="L44"/>
  <c r="U44" s="1"/>
  <c r="H46"/>
  <c r="L46"/>
  <c r="U46" s="1"/>
  <c r="H66"/>
  <c r="M66"/>
  <c r="U66" s="1"/>
  <c r="H68"/>
  <c r="M68"/>
  <c r="U68" s="1"/>
  <c r="I11"/>
  <c r="J11"/>
  <c r="K11"/>
  <c r="I13"/>
  <c r="J13"/>
  <c r="K13"/>
  <c r="I15"/>
  <c r="K15"/>
  <c r="J15"/>
  <c r="I29"/>
  <c r="K29"/>
  <c r="J29"/>
  <c r="J36"/>
  <c r="K36"/>
  <c r="I78"/>
  <c r="K78"/>
  <c r="J78"/>
  <c r="I12"/>
  <c r="K12"/>
  <c r="J12"/>
  <c r="I16"/>
  <c r="J16"/>
  <c r="K16"/>
  <c r="K38"/>
  <c r="J38"/>
  <c r="K40"/>
  <c r="J40"/>
  <c r="I48"/>
  <c r="U48" s="1"/>
  <c r="J48"/>
  <c r="H36"/>
  <c r="I36"/>
  <c r="H49"/>
  <c r="I49"/>
  <c r="U49" s="1"/>
  <c r="H38"/>
  <c r="I38"/>
  <c r="H40"/>
  <c r="I40"/>
  <c r="H50"/>
  <c r="I50"/>
  <c r="U50" s="1"/>
  <c r="H78"/>
  <c r="H79" s="1"/>
  <c r="H29"/>
  <c r="H33" s="1"/>
  <c r="H48"/>
  <c r="H11"/>
  <c r="H12"/>
  <c r="H16"/>
  <c r="H13"/>
  <c r="H15"/>
  <c r="H53"/>
  <c r="F80"/>
  <c r="H22"/>
  <c r="H76"/>
  <c r="T80" l="1"/>
  <c r="T120" s="1"/>
  <c r="Q80"/>
  <c r="O80"/>
  <c r="S80"/>
  <c r="S120" s="1"/>
  <c r="R80"/>
  <c r="P80"/>
  <c r="N80"/>
  <c r="P120"/>
  <c r="O120"/>
  <c r="H42"/>
  <c r="R120"/>
  <c r="N120"/>
  <c r="Q120"/>
  <c r="M80"/>
  <c r="L80"/>
  <c r="L120" s="1"/>
  <c r="M120"/>
  <c r="U76"/>
  <c r="U40"/>
  <c r="U38"/>
  <c r="U36"/>
  <c r="I80"/>
  <c r="K80"/>
  <c r="K120" s="1"/>
  <c r="J80"/>
  <c r="U16"/>
  <c r="U78"/>
  <c r="U79" s="1"/>
  <c r="U15"/>
  <c r="U11"/>
  <c r="U12"/>
  <c r="U29"/>
  <c r="U33" s="1"/>
  <c r="U13"/>
  <c r="J120"/>
  <c r="U53"/>
  <c r="H80"/>
  <c r="H81" s="1"/>
  <c r="H82" l="1"/>
  <c r="H85" s="1"/>
  <c r="G120" s="1"/>
  <c r="H120" s="1"/>
  <c r="U42"/>
  <c r="U22"/>
  <c r="U80"/>
  <c r="U81" s="1"/>
  <c r="I120"/>
  <c r="U82" l="1"/>
  <c r="U120" s="1"/>
  <c r="C129" s="1"/>
  <c r="C125" l="1"/>
</calcChain>
</file>

<file path=xl/sharedStrings.xml><?xml version="1.0" encoding="utf-8"?>
<sst xmlns="http://schemas.openxmlformats.org/spreadsheetml/2006/main" count="358" uniqueCount="263">
  <si>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</si>
  <si>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</si>
  <si>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</si>
  <si>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</si>
  <si>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</si>
  <si>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</si>
  <si>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</si>
  <si>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</si>
  <si>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</si>
  <si>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</si>
  <si>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</si>
  <si>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</si>
  <si>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</si>
  <si>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</si>
  <si>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</si>
  <si>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</si>
  <si>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</si>
  <si>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</si>
  <si>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</si>
  <si>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</si>
  <si>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</si>
  <si>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</si>
  <si>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</si>
  <si>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</si>
  <si>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</si>
  <si>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</si>
  <si>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</si>
  <si>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</si>
  <si>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</si>
  <si>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</si>
  <si>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</si>
  <si>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</si>
  <si>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</si>
  <si>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</si>
  <si>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</si>
  <si>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</si>
  <si>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</si>
  <si>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</si>
  <si>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</si>
  <si>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</si>
  <si>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</si>
  <si>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</si>
  <si>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</si>
  <si>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</si>
  <si>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</si>
  <si>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</si>
  <si>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</si>
  <si>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</si>
  <si>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</si>
  <si>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</si>
  <si>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</si>
  <si>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</si>
  <si>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</si>
  <si>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</si>
  <si>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</si>
  <si>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</si>
  <si>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</si>
  <si>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</si>
  <si>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</si>
  <si>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</si>
  <si>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</si>
  <si>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</si>
  <si>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</si>
  <si>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</si>
  <si>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</si>
  <si>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</si>
  <si>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</si>
  <si>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</si>
  <si>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50 раз за сезон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</si>
  <si>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</si>
  <si>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</si>
  <si>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</si>
  <si>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</si>
  <si>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</si>
  <si>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</si>
  <si>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</si>
  <si>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</si>
  <si>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</si>
  <si>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</si>
  <si>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</si>
  <si>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</si>
  <si>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</si>
  <si>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</si>
  <si>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</si>
  <si>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</si>
  <si>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</si>
  <si>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</si>
  <si>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</si>
  <si>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</si>
  <si>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</si>
  <si>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</si>
  <si>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</si>
  <si>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</si>
  <si>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</si>
  <si>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</si>
  <si>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</si>
  <si>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</si>
  <si>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</si>
  <si>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</si>
  <si>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</si>
  <si>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</si>
  <si>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ТЭР 17-071</t>
  </si>
  <si>
    <t>Очистка кровли от мусора</t>
  </si>
  <si>
    <t>Чердак, подвал, технический этаж</t>
  </si>
  <si>
    <t>ТЭР 51-034</t>
  </si>
  <si>
    <t>м2</t>
  </si>
  <si>
    <t>12 раз в год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</si>
  <si>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</si>
  <si>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</si>
  <si>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</si>
  <si>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</si>
  <si>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</si>
  <si>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</si>
  <si>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</si>
  <si>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</si>
  <si>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</si>
  <si>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</si>
  <si>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</si>
  <si>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</si>
  <si>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</si>
  <si>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</si>
  <si>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</si>
  <si>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</si>
  <si>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</si>
  <si>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</si>
  <si>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</si>
  <si>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33-049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</si>
  <si>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</si>
  <si>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</si>
  <si>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</si>
  <si>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</si>
  <si>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</si>
  <si>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</si>
  <si>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</si>
  <si>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</si>
  <si>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</si>
  <si>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</si>
  <si>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</si>
  <si>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</si>
  <si>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</si>
  <si>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</si>
  <si>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</si>
  <si>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</si>
  <si>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</si>
  <si>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</si>
  <si>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</si>
  <si>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</si>
  <si>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</si>
  <si>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</si>
  <si>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</si>
  <si>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</si>
  <si>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</si>
  <si>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ТЭР42-002</t>
  </si>
  <si>
    <t>Осмотр рулонной  кровли</t>
  </si>
  <si>
    <t>8 раз в год</t>
  </si>
  <si>
    <t>ТЭР 31-066</t>
  </si>
  <si>
    <t>Очистка внутреннего водостока</t>
  </si>
  <si>
    <t>водосток</t>
  </si>
  <si>
    <t>Дератизация</t>
  </si>
  <si>
    <t>смета</t>
  </si>
  <si>
    <t>ТЭР 31-010</t>
  </si>
  <si>
    <t>Смена сгонов у трубопроводов диаметром до 32 мм</t>
  </si>
  <si>
    <t>1 сгон</t>
  </si>
  <si>
    <t xml:space="preserve">1 раз в месяц   </t>
  </si>
  <si>
    <t>ТЭР 51-020</t>
  </si>
  <si>
    <t>Влажная протирка подоконников</t>
  </si>
  <si>
    <t>ТЭР 51-022</t>
  </si>
  <si>
    <t>Влажная протирка шкафов для щитов и слаботочн. Устройств</t>
  </si>
  <si>
    <t>2 раза в неделю26 раз в сезон</t>
  </si>
  <si>
    <t>12 раз за сезон</t>
  </si>
  <si>
    <t>ТЭР 54-041 и 42</t>
  </si>
  <si>
    <t xml:space="preserve">6 раз за сезон </t>
  </si>
  <si>
    <t>прим.ТЭР54-041</t>
  </si>
  <si>
    <t>Очистка водостоков от наледи</t>
  </si>
  <si>
    <t>Очистка от мусора</t>
  </si>
  <si>
    <t xml:space="preserve"> Очистка края кровли от слежавшегося снега со сбрасыванием сосулек ( козырьки)</t>
  </si>
  <si>
    <t>Внеплановая проверка вентканалов</t>
  </si>
  <si>
    <t>ТЭР 55-003</t>
  </si>
  <si>
    <t>Очистка урн от мусора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</si>
  <si>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</si>
  <si>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</si>
  <si>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</si>
  <si>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</si>
  <si>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</si>
  <si>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</si>
  <si>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</si>
  <si>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</si>
  <si>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</si>
  <si>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</si>
  <si>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</si>
  <si>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</si>
  <si>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</si>
  <si>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Ремонт силового предохранительного шкафа (без стоимости материалов)</t>
  </si>
  <si>
    <t>ТЭР 33-032</t>
  </si>
  <si>
    <t>Снятие показаний эл.счетчика коммунального назначения</t>
  </si>
  <si>
    <t>ТЭР 33-037</t>
  </si>
  <si>
    <t>Ремонт кирпичной стены</t>
  </si>
  <si>
    <t>прим. ТЭР 31-057</t>
  </si>
  <si>
    <t>Утепление вент.короба</t>
  </si>
  <si>
    <t>калькуляция</t>
  </si>
  <si>
    <t>Ремонт и регулировка доводчика (без стоимости доводчика)</t>
  </si>
  <si>
    <t>1шт.</t>
  </si>
  <si>
    <t>ТЭР 2-1-1б</t>
  </si>
  <si>
    <t>место</t>
  </si>
  <si>
    <t>ТЭР 32-098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</si>
  <si>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4а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</si>
  <si>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8 подъездов</t>
  </si>
  <si>
    <t>Стоимость (руб.)</t>
  </si>
  <si>
    <t>договор</t>
  </si>
  <si>
    <t>ТО внутридомового газ.оборудования</t>
  </si>
  <si>
    <t>10 м</t>
  </si>
  <si>
    <t>Ремонт и регулировка доводчика (со стоимостью доводчика)</t>
  </si>
  <si>
    <t>Внеплановый осмотр электросетей, арматуры и электрооборудования на лестничных клетках</t>
  </si>
  <si>
    <t>2-2-1-2-7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</si>
  <si>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</si>
  <si>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</si>
  <si>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автомата на ток до 25А</t>
  </si>
  <si>
    <t>ТЭР 33-046</t>
  </si>
  <si>
    <t>Электромонтажные работы</t>
  </si>
  <si>
    <t>тыс. руб.</t>
  </si>
  <si>
    <t>С учетом показателя инфляции     ( К=1,064)</t>
  </si>
  <si>
    <t>Начислено за содержание и текущий ремонт за  2015  г.</t>
  </si>
  <si>
    <t>Выполнено работ по содержанию за       2015 г.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</si>
  <si>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</si>
  <si>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</si>
  <si>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</si>
  <si>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</si>
  <si>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групповых щитков на лестничной клетке без ремонта автоматов</t>
  </si>
  <si>
    <t>ТЭР 33-030</t>
  </si>
  <si>
    <t>Работа автовышки</t>
  </si>
  <si>
    <t>маш/час</t>
  </si>
  <si>
    <t>Подключение и отключение сварочного аппарата</t>
  </si>
  <si>
    <t>ТЭР 33-060</t>
  </si>
  <si>
    <t>Ремонт внутренних трубопроводов и стояков д=до 50 мм (хомуты)</t>
  </si>
  <si>
    <t>Заделка стыков соединений стояков внутренних водостоков</t>
  </si>
  <si>
    <t>ТЭР 2-2-2-2-30</t>
  </si>
  <si>
    <t>20-1-134-2</t>
  </si>
  <si>
    <t>Пристрожка полотна по кромкам</t>
  </si>
  <si>
    <t>1 полотно</t>
  </si>
  <si>
    <t>20-1-134-1</t>
  </si>
  <si>
    <t>Снятие и навеска полотна (без снятия петель)</t>
  </si>
  <si>
    <t>Ремонт групповых щитков на лестничной клетке со сменой автоматов</t>
  </si>
  <si>
    <t>ТЭР 33-031</t>
  </si>
  <si>
    <t>Ремонт задвижек диаметром до 100 мм со снятием с места</t>
  </si>
  <si>
    <t>1 шт</t>
  </si>
  <si>
    <t>ТЭР 31-015</t>
  </si>
  <si>
    <t>Смена арматуры - вентилей и клапанов обратных муфтовых диаметром до 20 мм</t>
  </si>
  <si>
    <t>ТЭР 32-027</t>
  </si>
  <si>
    <t>Смена трубопроводов на металл-полимерные трубы д=20</t>
  </si>
  <si>
    <t>1 м</t>
  </si>
  <si>
    <t>Смена арматуры - вентилей и клапанов обратных муфтовых диаметром до 32 мм</t>
  </si>
  <si>
    <t>ТЭР 32-028</t>
  </si>
  <si>
    <t xml:space="preserve">Смена сгонов у трубопроводов диаметром до 20 мм </t>
  </si>
  <si>
    <t>ТЭР 31-009</t>
  </si>
  <si>
    <t>10 м2</t>
  </si>
  <si>
    <t>ТЭР 21-001</t>
  </si>
  <si>
    <t>Ремонт штукатурки внугренних стен по камню известковым раствором площадью до 1 м2 толщиной слоя до 20 мм ( после замены труб)</t>
  </si>
  <si>
    <t>Герметизация швов</t>
  </si>
  <si>
    <t>Смена дверных приборов - пружины</t>
  </si>
  <si>
    <t>ТЭР 15-018</t>
  </si>
  <si>
    <t>Заделка подвальных окон фанерой (ДВП)</t>
  </si>
  <si>
    <t>прим.ТЭР 11-013</t>
  </si>
  <si>
    <t>м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</si>
</sst>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8" borderId="3" xfId="0" applyFont="1" applyFill="1" applyBorder="1"/>
    <xf numFmtId="0" fontId="1" fillId="8" borderId="3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7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9" fillId="1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9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33"/>
  <sheetViews>
    <sheetView tabSelected="1" view="pageBreakPreview" zoomScaleNormal="75" zoomScaleSheetLayoutView="100" workbookViewId="0">
      <pane ySplit="7" topLeftCell="A122" activePane="bottomLeft" state="frozen"/>
      <selection activeCell="B1" sqref="B1"/>
      <selection pane="bottomLeft" activeCell="A117" sqref="A117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28515625" customWidth="1"/>
    <col min="10" max="10" width="10" customWidth="1"/>
    <col min="11" max="11" width="10.42578125" customWidth="1"/>
    <col min="12" max="12" width="10.28515625" customWidth="1"/>
    <col min="13" max="13" width="9.85546875" customWidth="1"/>
    <col min="14" max="14" width="9.7109375" customWidth="1"/>
    <col min="15" max="15" width="10" customWidth="1"/>
    <col min="16" max="16" width="9.85546875" customWidth="1"/>
    <col min="17" max="17" width="10.28515625" customWidth="1"/>
    <col min="18" max="18" width="9.85546875" customWidth="1"/>
    <col min="19" max="20" width="10.28515625" customWidth="1"/>
    <col min="21" max="21" width="11.85546875" customWidth="1"/>
  </cols>
  <sheetData>
    <row r="1" spans="1:21" ht="14.25" customHeight="1"/>
    <row r="3" spans="1:21" ht="18">
      <c r="A3" s="149"/>
      <c r="B3" s="172" t="s">
        <v>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35"/>
      <c r="N3" s="35"/>
      <c r="O3" s="35"/>
      <c r="P3" s="35"/>
      <c r="Q3" s="35"/>
      <c r="R3" s="35"/>
      <c r="S3" s="35"/>
      <c r="T3" s="35"/>
      <c r="U3" s="35"/>
    </row>
    <row r="4" spans="1:21" ht="33.75" customHeight="1">
      <c r="A4" s="35"/>
      <c r="B4" s="173" t="s">
        <v>1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35"/>
      <c r="N4" s="35"/>
      <c r="O4" s="35"/>
      <c r="P4" s="35"/>
      <c r="Q4" s="35"/>
      <c r="R4" s="35"/>
      <c r="S4" s="35"/>
      <c r="T4" s="35"/>
      <c r="U4" s="35"/>
    </row>
    <row r="5" spans="1:21" ht="18">
      <c r="A5" s="35"/>
      <c r="B5" s="173" t="s">
        <v>205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35"/>
      <c r="N5" s="35"/>
      <c r="O5" s="35"/>
      <c r="P5" s="35"/>
      <c r="Q5" s="35"/>
      <c r="R5" s="35"/>
      <c r="S5" s="35"/>
      <c r="T5" s="35"/>
      <c r="U5" s="35"/>
    </row>
    <row r="6" spans="1:21" ht="14.25">
      <c r="A6" s="35"/>
      <c r="B6" s="174" t="s">
        <v>206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35"/>
      <c r="N6" s="35"/>
      <c r="O6" s="35"/>
      <c r="P6" s="35"/>
      <c r="Q6" s="35"/>
      <c r="R6" s="35"/>
      <c r="S6" s="35"/>
      <c r="T6" s="35"/>
      <c r="U6" s="35"/>
    </row>
    <row r="7" spans="1:21" ht="54" customHeight="1">
      <c r="A7" s="33" t="s">
        <v>2</v>
      </c>
      <c r="B7" s="33" t="s">
        <v>3</v>
      </c>
      <c r="C7" s="33" t="s">
        <v>4</v>
      </c>
      <c r="D7" s="33" t="s">
        <v>5</v>
      </c>
      <c r="E7" s="33" t="s">
        <v>6</v>
      </c>
      <c r="F7" s="33" t="s">
        <v>7</v>
      </c>
      <c r="G7" s="33" t="s">
        <v>8</v>
      </c>
      <c r="H7" s="34" t="s">
        <v>9</v>
      </c>
      <c r="I7" s="32" t="s">
        <v>179</v>
      </c>
      <c r="J7" s="32" t="s">
        <v>180</v>
      </c>
      <c r="K7" s="32" t="s">
        <v>181</v>
      </c>
      <c r="L7" s="32" t="s">
        <v>182</v>
      </c>
      <c r="M7" s="32" t="s">
        <v>183</v>
      </c>
      <c r="N7" s="32" t="s">
        <v>184</v>
      </c>
      <c r="O7" s="32" t="s">
        <v>185</v>
      </c>
      <c r="P7" s="32" t="s">
        <v>186</v>
      </c>
      <c r="Q7" s="32" t="s">
        <v>187</v>
      </c>
      <c r="R7" s="32" t="s">
        <v>188</v>
      </c>
      <c r="S7" s="32" t="s">
        <v>189</v>
      </c>
      <c r="T7" s="32" t="s">
        <v>190</v>
      </c>
      <c r="U7" s="32" t="s">
        <v>207</v>
      </c>
    </row>
    <row r="8" spans="1:21">
      <c r="A8" s="31">
        <v>1</v>
      </c>
      <c r="B8" s="8">
        <v>2</v>
      </c>
      <c r="C8" s="31">
        <v>3</v>
      </c>
      <c r="D8" s="8">
        <v>4</v>
      </c>
      <c r="E8" s="8">
        <v>5</v>
      </c>
      <c r="F8" s="31">
        <v>6</v>
      </c>
      <c r="G8" s="31">
        <v>7</v>
      </c>
      <c r="H8" s="39">
        <v>8</v>
      </c>
      <c r="I8" s="38">
        <v>10</v>
      </c>
      <c r="J8" s="38">
        <v>11</v>
      </c>
      <c r="K8" s="38">
        <v>12</v>
      </c>
      <c r="L8" s="38">
        <v>13</v>
      </c>
      <c r="M8" s="40">
        <v>14</v>
      </c>
      <c r="N8" s="38">
        <v>15</v>
      </c>
      <c r="O8" s="38">
        <v>16</v>
      </c>
      <c r="P8" s="38">
        <v>17</v>
      </c>
      <c r="Q8" s="38">
        <v>18</v>
      </c>
      <c r="R8" s="38">
        <v>19</v>
      </c>
      <c r="S8" s="38">
        <v>20</v>
      </c>
      <c r="T8" s="38">
        <v>21</v>
      </c>
      <c r="U8" s="38">
        <v>22</v>
      </c>
    </row>
    <row r="9" spans="1:21" ht="38.25">
      <c r="A9" s="31"/>
      <c r="B9" s="10" t="s">
        <v>10</v>
      </c>
      <c r="C9" s="31"/>
      <c r="D9" s="11"/>
      <c r="E9" s="11"/>
      <c r="F9" s="31"/>
      <c r="G9" s="31"/>
      <c r="H9" s="41"/>
      <c r="I9" s="37"/>
      <c r="J9" s="37"/>
      <c r="K9" s="37"/>
      <c r="L9" s="37"/>
      <c r="M9" s="42"/>
      <c r="N9" s="36"/>
      <c r="O9" s="36"/>
      <c r="P9" s="36"/>
      <c r="Q9" s="36"/>
      <c r="R9" s="36"/>
      <c r="S9" s="36"/>
      <c r="T9" s="36"/>
      <c r="U9" s="36"/>
    </row>
    <row r="10" spans="1:21">
      <c r="A10" s="31"/>
      <c r="B10" s="10" t="s">
        <v>11</v>
      </c>
      <c r="C10" s="31"/>
      <c r="D10" s="11"/>
      <c r="E10" s="11"/>
      <c r="F10" s="31"/>
      <c r="G10" s="31"/>
      <c r="H10" s="41"/>
      <c r="I10" s="37"/>
      <c r="J10" s="37"/>
      <c r="K10" s="37"/>
      <c r="L10" s="37"/>
      <c r="M10" s="42"/>
      <c r="N10" s="36"/>
      <c r="O10" s="36"/>
      <c r="P10" s="36"/>
      <c r="Q10" s="36"/>
      <c r="R10" s="36"/>
      <c r="S10" s="36"/>
      <c r="T10" s="36"/>
      <c r="U10" s="36"/>
    </row>
    <row r="11" spans="1:21" ht="25.5">
      <c r="A11" s="31" t="s">
        <v>12</v>
      </c>
      <c r="B11" s="11" t="s">
        <v>13</v>
      </c>
      <c r="C11" s="31" t="s">
        <v>14</v>
      </c>
      <c r="D11" s="11" t="s">
        <v>15</v>
      </c>
      <c r="E11" s="43">
        <v>160.5</v>
      </c>
      <c r="F11" s="44">
        <f>SUM(E11*156/100)</f>
        <v>250.38</v>
      </c>
      <c r="G11" s="44">
        <v>175.38</v>
      </c>
      <c r="H11" s="45">
        <f t="shared" ref="H11:H21" si="0">SUM(F11*G11/1000)</f>
        <v>43.9116444</v>
      </c>
      <c r="I11" s="46">
        <f>F11/12*G11</f>
        <v>3659.3036999999995</v>
      </c>
      <c r="J11" s="46">
        <f>F11/12*G11</f>
        <v>3659.3036999999995</v>
      </c>
      <c r="K11" s="46">
        <f>F11/12*G11</f>
        <v>3659.3036999999995</v>
      </c>
      <c r="L11" s="46">
        <f>F11/12*G11</f>
        <v>3659.3036999999995</v>
      </c>
      <c r="M11" s="46">
        <f>F11/12*G11</f>
        <v>3659.3036999999995</v>
      </c>
      <c r="N11" s="46">
        <f>F11/12*G11</f>
        <v>3659.3036999999995</v>
      </c>
      <c r="O11" s="46">
        <f>F11/12*G11</f>
        <v>3659.3036999999995</v>
      </c>
      <c r="P11" s="46">
        <f>F11/12*G11</f>
        <v>3659.3036999999995</v>
      </c>
      <c r="Q11" s="46">
        <f>F11/12*G11</f>
        <v>3659.3036999999995</v>
      </c>
      <c r="R11" s="46">
        <f>F11/12*G11</f>
        <v>3659.3036999999995</v>
      </c>
      <c r="S11" s="46">
        <f>F11/12*G11</f>
        <v>3659.3036999999995</v>
      </c>
      <c r="T11" s="46">
        <f>F11/12*G11</f>
        <v>3659.3036999999995</v>
      </c>
      <c r="U11" s="46">
        <f t="shared" ref="U11:U21" si="1">SUM(I11:T11)</f>
        <v>43911.64439999999</v>
      </c>
    </row>
    <row r="12" spans="1:21" ht="25.5">
      <c r="A12" s="31" t="s">
        <v>12</v>
      </c>
      <c r="B12" s="11" t="s">
        <v>16</v>
      </c>
      <c r="C12" s="31" t="s">
        <v>14</v>
      </c>
      <c r="D12" s="11" t="s">
        <v>17</v>
      </c>
      <c r="E12" s="43">
        <v>642</v>
      </c>
      <c r="F12" s="44">
        <f>SUM(E12*104/100)</f>
        <v>667.68</v>
      </c>
      <c r="G12" s="44">
        <v>175.38</v>
      </c>
      <c r="H12" s="45">
        <f t="shared" si="0"/>
        <v>117.09771839999998</v>
      </c>
      <c r="I12" s="46">
        <f>F12/12*G12</f>
        <v>9758.1431999999986</v>
      </c>
      <c r="J12" s="46">
        <f>F12/12*G12</f>
        <v>9758.1431999999986</v>
      </c>
      <c r="K12" s="46">
        <f>F12/12*G12</f>
        <v>9758.1431999999986</v>
      </c>
      <c r="L12" s="46">
        <f>F12/12*G12</f>
        <v>9758.1431999999986</v>
      </c>
      <c r="M12" s="46">
        <f>F12/12*G12</f>
        <v>9758.1431999999986</v>
      </c>
      <c r="N12" s="46">
        <f>F12/12*G12</f>
        <v>9758.1431999999986</v>
      </c>
      <c r="O12" s="46">
        <f>F12/12*G12</f>
        <v>9758.1431999999986</v>
      </c>
      <c r="P12" s="46">
        <f>F12/12*G12</f>
        <v>9758.1431999999986</v>
      </c>
      <c r="Q12" s="46">
        <f>F12/12*G12</f>
        <v>9758.1431999999986</v>
      </c>
      <c r="R12" s="46">
        <f>F12/12*G12</f>
        <v>9758.1431999999986</v>
      </c>
      <c r="S12" s="46">
        <f>F12/12*G12</f>
        <v>9758.1431999999986</v>
      </c>
      <c r="T12" s="46">
        <f>F12/12*G12</f>
        <v>9758.1431999999986</v>
      </c>
      <c r="U12" s="46">
        <f t="shared" si="1"/>
        <v>117097.71839999995</v>
      </c>
    </row>
    <row r="13" spans="1:21" ht="25.5">
      <c r="A13" s="31" t="s">
        <v>18</v>
      </c>
      <c r="B13" s="11" t="s">
        <v>19</v>
      </c>
      <c r="C13" s="31" t="s">
        <v>14</v>
      </c>
      <c r="D13" s="11" t="s">
        <v>20</v>
      </c>
      <c r="E13" s="43">
        <f>SUM(E11+E12)</f>
        <v>802.5</v>
      </c>
      <c r="F13" s="44">
        <f>SUM(E13*24/100)</f>
        <v>192.6</v>
      </c>
      <c r="G13" s="44">
        <v>504.5</v>
      </c>
      <c r="H13" s="45">
        <f t="shared" si="0"/>
        <v>97.166699999999992</v>
      </c>
      <c r="I13" s="46">
        <f>F13/12*G13</f>
        <v>8097.2250000000004</v>
      </c>
      <c r="J13" s="46">
        <f>F13/12*G13</f>
        <v>8097.2250000000004</v>
      </c>
      <c r="K13" s="46">
        <f>F13/12*G13</f>
        <v>8097.2250000000004</v>
      </c>
      <c r="L13" s="46">
        <f>F13/12*G13</f>
        <v>8097.2250000000004</v>
      </c>
      <c r="M13" s="46">
        <f>F13/12*G13</f>
        <v>8097.2250000000004</v>
      </c>
      <c r="N13" s="46">
        <f>F13/12*G13</f>
        <v>8097.2250000000004</v>
      </c>
      <c r="O13" s="46">
        <f>F13/12*G13</f>
        <v>8097.2250000000004</v>
      </c>
      <c r="P13" s="46">
        <f>F13/12*G13</f>
        <v>8097.2250000000004</v>
      </c>
      <c r="Q13" s="46">
        <f>F13/12*G13</f>
        <v>8097.2250000000004</v>
      </c>
      <c r="R13" s="46">
        <f>F13/12*G13</f>
        <v>8097.2250000000004</v>
      </c>
      <c r="S13" s="46">
        <f>F13/12*G13</f>
        <v>8097.2250000000004</v>
      </c>
      <c r="T13" s="46">
        <f>F13/12*G13</f>
        <v>8097.2250000000004</v>
      </c>
      <c r="U13" s="46">
        <f t="shared" si="1"/>
        <v>97166.700000000012</v>
      </c>
    </row>
    <row r="14" spans="1:21">
      <c r="A14" s="31" t="s">
        <v>21</v>
      </c>
      <c r="B14" s="11" t="s">
        <v>22</v>
      </c>
      <c r="C14" s="31" t="s">
        <v>23</v>
      </c>
      <c r="D14" s="11" t="s">
        <v>143</v>
      </c>
      <c r="E14" s="43">
        <v>38.4</v>
      </c>
      <c r="F14" s="44">
        <f>SUM(E14/10)</f>
        <v>3.84</v>
      </c>
      <c r="G14" s="44">
        <v>170.16</v>
      </c>
      <c r="H14" s="45">
        <f t="shared" si="0"/>
        <v>0.65341439999999995</v>
      </c>
      <c r="I14" s="46">
        <v>0</v>
      </c>
      <c r="J14" s="46">
        <v>0</v>
      </c>
      <c r="K14" s="46">
        <v>0</v>
      </c>
      <c r="L14" s="46">
        <v>0</v>
      </c>
      <c r="M14" s="46">
        <f>F14*G14</f>
        <v>653.4144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f t="shared" si="1"/>
        <v>653.4144</v>
      </c>
    </row>
    <row r="15" spans="1:21">
      <c r="A15" s="31" t="s">
        <v>24</v>
      </c>
      <c r="B15" s="11" t="s">
        <v>25</v>
      </c>
      <c r="C15" s="31" t="s">
        <v>14</v>
      </c>
      <c r="D15" s="11" t="s">
        <v>144</v>
      </c>
      <c r="E15" s="43">
        <v>58.4</v>
      </c>
      <c r="F15" s="44">
        <f>SUM(E15*12/100)</f>
        <v>7.0079999999999991</v>
      </c>
      <c r="G15" s="44">
        <v>217.88</v>
      </c>
      <c r="H15" s="45">
        <f t="shared" si="0"/>
        <v>1.5269030399999997</v>
      </c>
      <c r="I15" s="46">
        <f>F15/12*G15</f>
        <v>127.24191999999999</v>
      </c>
      <c r="J15" s="46">
        <f>F15/12*G15</f>
        <v>127.24191999999999</v>
      </c>
      <c r="K15" s="46">
        <f>F15/12*G15</f>
        <v>127.24191999999999</v>
      </c>
      <c r="L15" s="46">
        <f>F15/12*G15</f>
        <v>127.24191999999999</v>
      </c>
      <c r="M15" s="46">
        <f>F15/12*G15</f>
        <v>127.24191999999999</v>
      </c>
      <c r="N15" s="46">
        <f>F15/12*G15</f>
        <v>127.24191999999999</v>
      </c>
      <c r="O15" s="46">
        <f>F15/12*G15</f>
        <v>127.24191999999999</v>
      </c>
      <c r="P15" s="46">
        <f>F15/12*G15</f>
        <v>127.24191999999999</v>
      </c>
      <c r="Q15" s="46">
        <f>F15/12*G15</f>
        <v>127.24191999999999</v>
      </c>
      <c r="R15" s="46">
        <f>F15/12*G15</f>
        <v>127.24191999999999</v>
      </c>
      <c r="S15" s="46">
        <f>F15/12*G15</f>
        <v>127.24191999999999</v>
      </c>
      <c r="T15" s="46">
        <f>F15/12*G15</f>
        <v>127.24191999999999</v>
      </c>
      <c r="U15" s="46">
        <f t="shared" si="1"/>
        <v>1526.9030399999995</v>
      </c>
    </row>
    <row r="16" spans="1:21">
      <c r="A16" s="31" t="s">
        <v>26</v>
      </c>
      <c r="B16" s="11" t="s">
        <v>27</v>
      </c>
      <c r="C16" s="31" t="s">
        <v>14</v>
      </c>
      <c r="D16" s="11" t="s">
        <v>144</v>
      </c>
      <c r="E16" s="43">
        <v>9.08</v>
      </c>
      <c r="F16" s="44">
        <f>SUM(E16*12/100)</f>
        <v>1.0896000000000001</v>
      </c>
      <c r="G16" s="44">
        <v>216.12</v>
      </c>
      <c r="H16" s="45">
        <f t="shared" si="0"/>
        <v>0.23548435200000004</v>
      </c>
      <c r="I16" s="46">
        <f>F16/12*G16</f>
        <v>19.623696000000002</v>
      </c>
      <c r="J16" s="46">
        <f>F16/12*G16</f>
        <v>19.623696000000002</v>
      </c>
      <c r="K16" s="46">
        <f>F16/12*G16</f>
        <v>19.623696000000002</v>
      </c>
      <c r="L16" s="46">
        <f>F16/12*G16</f>
        <v>19.623696000000002</v>
      </c>
      <c r="M16" s="46">
        <f>F16/12*G16</f>
        <v>19.623696000000002</v>
      </c>
      <c r="N16" s="46">
        <f>F16/12*G16</f>
        <v>19.623696000000002</v>
      </c>
      <c r="O16" s="46">
        <f>F16/12*G16</f>
        <v>19.623696000000002</v>
      </c>
      <c r="P16" s="46">
        <f>F16/12*G16</f>
        <v>19.623696000000002</v>
      </c>
      <c r="Q16" s="46">
        <f>F16/12*G16</f>
        <v>19.623696000000002</v>
      </c>
      <c r="R16" s="46">
        <f>F16/12*G16</f>
        <v>19.623696000000002</v>
      </c>
      <c r="S16" s="46">
        <f>F16/12*G16</f>
        <v>19.623696000000002</v>
      </c>
      <c r="T16" s="46">
        <f>F16/12*G16</f>
        <v>19.623696000000002</v>
      </c>
      <c r="U16" s="46">
        <f t="shared" si="1"/>
        <v>235.48435199999997</v>
      </c>
    </row>
    <row r="17" spans="1:21">
      <c r="A17" s="31" t="s">
        <v>28</v>
      </c>
      <c r="B17" s="11" t="s">
        <v>29</v>
      </c>
      <c r="C17" s="31" t="s">
        <v>30</v>
      </c>
      <c r="D17" s="11" t="s">
        <v>143</v>
      </c>
      <c r="E17" s="43">
        <v>822.72</v>
      </c>
      <c r="F17" s="44">
        <f>SUM(E17/100)</f>
        <v>8.2271999999999998</v>
      </c>
      <c r="G17" s="44">
        <v>269.26</v>
      </c>
      <c r="H17" s="45">
        <f t="shared" si="0"/>
        <v>2.2152558719999997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F17*G17</f>
        <v>2215.2558719999997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f t="shared" si="1"/>
        <v>2215.2558719999997</v>
      </c>
    </row>
    <row r="18" spans="1:21">
      <c r="A18" s="31" t="s">
        <v>31</v>
      </c>
      <c r="B18" s="11" t="s">
        <v>32</v>
      </c>
      <c r="C18" s="31" t="s">
        <v>30</v>
      </c>
      <c r="D18" s="11" t="s">
        <v>143</v>
      </c>
      <c r="E18" s="48">
        <v>96.6</v>
      </c>
      <c r="F18" s="44">
        <f>SUM(E18/100)</f>
        <v>0.96599999999999997</v>
      </c>
      <c r="G18" s="44">
        <v>44.29</v>
      </c>
      <c r="H18" s="45">
        <f t="shared" si="0"/>
        <v>4.2784139999999998E-2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F18*G18</f>
        <v>42.784140000000001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f t="shared" si="1"/>
        <v>42.784140000000001</v>
      </c>
    </row>
    <row r="19" spans="1:21">
      <c r="A19" s="31" t="s">
        <v>164</v>
      </c>
      <c r="B19" s="11" t="s">
        <v>165</v>
      </c>
      <c r="C19" s="31" t="s">
        <v>30</v>
      </c>
      <c r="D19" s="11" t="s">
        <v>144</v>
      </c>
      <c r="E19" s="49">
        <v>32</v>
      </c>
      <c r="F19" s="44">
        <f>32*12/1000</f>
        <v>0.38400000000000001</v>
      </c>
      <c r="G19" s="44">
        <v>389.42</v>
      </c>
      <c r="H19" s="45">
        <f>G19*F19/100</f>
        <v>1.4953728000000002</v>
      </c>
      <c r="I19" s="46">
        <f>F19/12*G19</f>
        <v>12.461440000000001</v>
      </c>
      <c r="J19" s="46">
        <f>F19/12*G19</f>
        <v>12.461440000000001</v>
      </c>
      <c r="K19" s="46">
        <f>F19/12*G19</f>
        <v>12.461440000000001</v>
      </c>
      <c r="L19" s="46">
        <f>F19/12*G19</f>
        <v>12.461440000000001</v>
      </c>
      <c r="M19" s="46">
        <f>F19/12*G19</f>
        <v>12.461440000000001</v>
      </c>
      <c r="N19" s="46">
        <f>F19/12*G19</f>
        <v>12.461440000000001</v>
      </c>
      <c r="O19" s="46">
        <f>F19/12*G19</f>
        <v>12.461440000000001</v>
      </c>
      <c r="P19" s="46">
        <f>F19/12*G19</f>
        <v>12.461440000000001</v>
      </c>
      <c r="Q19" s="46">
        <f>F19/12*G19</f>
        <v>12.461440000000001</v>
      </c>
      <c r="R19" s="46">
        <f>F19/12*G19</f>
        <v>12.461440000000001</v>
      </c>
      <c r="S19" s="46">
        <f>F19/12*G19</f>
        <v>12.461440000000001</v>
      </c>
      <c r="T19" s="46">
        <f>F19/12*G19</f>
        <v>12.461440000000001</v>
      </c>
      <c r="U19" s="46">
        <f t="shared" si="1"/>
        <v>149.53728000000001</v>
      </c>
    </row>
    <row r="20" spans="1:21" ht="25.5">
      <c r="A20" s="31" t="s">
        <v>166</v>
      </c>
      <c r="B20" s="11" t="s">
        <v>167</v>
      </c>
      <c r="C20" s="31" t="s">
        <v>30</v>
      </c>
      <c r="D20" s="11" t="s">
        <v>45</v>
      </c>
      <c r="E20" s="50">
        <v>38</v>
      </c>
      <c r="F20" s="44">
        <v>0.38</v>
      </c>
      <c r="G20" s="44">
        <v>216.12</v>
      </c>
      <c r="H20" s="45">
        <f>G20*F20/1000</f>
        <v>8.2125600000000007E-2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F20*G20</f>
        <v>82.125600000000006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f t="shared" si="1"/>
        <v>82.125600000000006</v>
      </c>
    </row>
    <row r="21" spans="1:21">
      <c r="A21" s="31" t="s">
        <v>33</v>
      </c>
      <c r="B21" s="11" t="s">
        <v>34</v>
      </c>
      <c r="C21" s="31" t="s">
        <v>30</v>
      </c>
      <c r="D21" s="11" t="s">
        <v>163</v>
      </c>
      <c r="E21" s="43">
        <v>17</v>
      </c>
      <c r="F21" s="44">
        <f>SUM(E21*12/100)</f>
        <v>2.04</v>
      </c>
      <c r="G21" s="44">
        <v>520.79999999999995</v>
      </c>
      <c r="H21" s="45">
        <f t="shared" si="0"/>
        <v>1.062432</v>
      </c>
      <c r="I21" s="46">
        <f>F21/12*G21</f>
        <v>88.536000000000001</v>
      </c>
      <c r="J21" s="46">
        <f>F21/12*G21</f>
        <v>88.536000000000001</v>
      </c>
      <c r="K21" s="46">
        <f>F21/12*G21</f>
        <v>88.536000000000001</v>
      </c>
      <c r="L21" s="46">
        <f>F21/12*G21</f>
        <v>88.536000000000001</v>
      </c>
      <c r="M21" s="46">
        <f>F21/12*G21</f>
        <v>88.536000000000001</v>
      </c>
      <c r="N21" s="46">
        <f>F21/12*G21</f>
        <v>88.536000000000001</v>
      </c>
      <c r="O21" s="46">
        <f>F21/12*G21</f>
        <v>88.536000000000001</v>
      </c>
      <c r="P21" s="46">
        <f>F21/12*G21</f>
        <v>88.536000000000001</v>
      </c>
      <c r="Q21" s="46">
        <f>F21/12*G21</f>
        <v>88.536000000000001</v>
      </c>
      <c r="R21" s="46">
        <f>F21/12*G21</f>
        <v>88.536000000000001</v>
      </c>
      <c r="S21" s="46">
        <f>F21/12*G21</f>
        <v>88.536000000000001</v>
      </c>
      <c r="T21" s="46">
        <f>F21/12*G21</f>
        <v>88.536000000000001</v>
      </c>
      <c r="U21" s="46">
        <f t="shared" si="1"/>
        <v>1062.4320000000002</v>
      </c>
    </row>
    <row r="22" spans="1:21" s="19" customFormat="1">
      <c r="A22" s="51"/>
      <c r="B22" s="20" t="s">
        <v>35</v>
      </c>
      <c r="C22" s="52"/>
      <c r="D22" s="20"/>
      <c r="E22" s="53"/>
      <c r="F22" s="54"/>
      <c r="G22" s="54"/>
      <c r="H22" s="55">
        <f>SUM(H11:H21)</f>
        <v>265.48983500399987</v>
      </c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>
        <f>SUM(U11:U21)</f>
        <v>264143.99948399997</v>
      </c>
    </row>
    <row r="23" spans="1:21">
      <c r="A23" s="31"/>
      <c r="B23" s="12" t="s">
        <v>36</v>
      </c>
      <c r="C23" s="31"/>
      <c r="D23" s="11"/>
      <c r="E23" s="43"/>
      <c r="F23" s="44"/>
      <c r="G23" s="44"/>
      <c r="H23" s="45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 ht="25.5" customHeight="1">
      <c r="A24" s="31" t="s">
        <v>37</v>
      </c>
      <c r="B24" s="11" t="s">
        <v>38</v>
      </c>
      <c r="C24" s="31" t="s">
        <v>41</v>
      </c>
      <c r="D24" s="11" t="s">
        <v>168</v>
      </c>
      <c r="E24" s="44">
        <v>2732.4</v>
      </c>
      <c r="F24" s="44">
        <f>SUM(E24*26/1000)</f>
        <v>71.042400000000015</v>
      </c>
      <c r="G24" s="44">
        <v>155.88999999999999</v>
      </c>
      <c r="H24" s="45">
        <f t="shared" ref="H24:H32" si="2">SUM(F24*G24/1000)</f>
        <v>11.074799736000001</v>
      </c>
      <c r="I24" s="46">
        <v>0</v>
      </c>
      <c r="J24" s="46">
        <v>0</v>
      </c>
      <c r="K24" s="46">
        <v>0</v>
      </c>
      <c r="L24" s="46">
        <v>0</v>
      </c>
      <c r="M24" s="46">
        <f>F24/6*G24</f>
        <v>1845.7999560000003</v>
      </c>
      <c r="N24" s="46">
        <f>F24/6*G24</f>
        <v>1845.7999560000003</v>
      </c>
      <c r="O24" s="46">
        <f>F24/6*G24</f>
        <v>1845.7999560000003</v>
      </c>
      <c r="P24" s="46">
        <f>F24/6*G24</f>
        <v>1845.7999560000003</v>
      </c>
      <c r="Q24" s="46">
        <f>F24/6*G24</f>
        <v>1845.7999560000003</v>
      </c>
      <c r="R24" s="46">
        <f>F24/6*G24</f>
        <v>1845.7999560000003</v>
      </c>
      <c r="S24" s="46">
        <v>0</v>
      </c>
      <c r="T24" s="46">
        <v>0</v>
      </c>
      <c r="U24" s="46">
        <f t="shared" ref="U24:U32" si="3">SUM(I24:T24)</f>
        <v>11074.799736000003</v>
      </c>
    </row>
    <row r="25" spans="1:21" ht="38.25" customHeight="1">
      <c r="A25" s="31" t="s">
        <v>39</v>
      </c>
      <c r="B25" s="11" t="s">
        <v>40</v>
      </c>
      <c r="C25" s="31" t="s">
        <v>41</v>
      </c>
      <c r="D25" s="11" t="s">
        <v>42</v>
      </c>
      <c r="E25" s="44">
        <v>547.85</v>
      </c>
      <c r="F25" s="44">
        <f>SUM(E25*78/1000)</f>
        <v>42.732300000000002</v>
      </c>
      <c r="G25" s="44">
        <v>258.63</v>
      </c>
      <c r="H25" s="45">
        <f t="shared" si="2"/>
        <v>11.051854749</v>
      </c>
      <c r="I25" s="46">
        <v>0</v>
      </c>
      <c r="J25" s="46">
        <v>0</v>
      </c>
      <c r="K25" s="46">
        <v>0</v>
      </c>
      <c r="L25" s="46">
        <v>0</v>
      </c>
      <c r="M25" s="46">
        <f>F25/6*G25</f>
        <v>1841.9757915000002</v>
      </c>
      <c r="N25" s="46">
        <f>F25/6*G25</f>
        <v>1841.9757915000002</v>
      </c>
      <c r="O25" s="46">
        <f>F25/6*G25</f>
        <v>1841.9757915000002</v>
      </c>
      <c r="P25" s="46">
        <f>F25/6*G25</f>
        <v>1841.9757915000002</v>
      </c>
      <c r="Q25" s="46">
        <f>F25/6*G25</f>
        <v>1841.9757915000002</v>
      </c>
      <c r="R25" s="46">
        <f>F25/6*G25</f>
        <v>1841.9757915000002</v>
      </c>
      <c r="S25" s="46">
        <v>0</v>
      </c>
      <c r="T25" s="46">
        <v>0</v>
      </c>
      <c r="U25" s="46">
        <f t="shared" si="3"/>
        <v>11051.854749000002</v>
      </c>
    </row>
    <row r="26" spans="1:21">
      <c r="A26" s="31" t="s">
        <v>43</v>
      </c>
      <c r="B26" s="11" t="s">
        <v>44</v>
      </c>
      <c r="C26" s="31" t="s">
        <v>41</v>
      </c>
      <c r="D26" s="11" t="s">
        <v>45</v>
      </c>
      <c r="E26" s="44">
        <v>2732.4</v>
      </c>
      <c r="F26" s="44">
        <f>SUM(E26/1000)</f>
        <v>2.7324000000000002</v>
      </c>
      <c r="G26" s="44">
        <v>3020.33</v>
      </c>
      <c r="H26" s="45">
        <f t="shared" si="2"/>
        <v>8.2527496920000001</v>
      </c>
      <c r="I26" s="46">
        <v>0</v>
      </c>
      <c r="J26" s="46">
        <v>0</v>
      </c>
      <c r="K26" s="46">
        <v>0</v>
      </c>
      <c r="L26" s="46">
        <v>0</v>
      </c>
      <c r="M26" s="46">
        <f>F26/6*G26</f>
        <v>1375.4582820000001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f t="shared" si="3"/>
        <v>1375.4582820000001</v>
      </c>
    </row>
    <row r="27" spans="1:21">
      <c r="A27" s="31" t="s">
        <v>177</v>
      </c>
      <c r="B27" s="11" t="s">
        <v>178</v>
      </c>
      <c r="C27" s="31" t="s">
        <v>96</v>
      </c>
      <c r="D27" s="11" t="s">
        <v>49</v>
      </c>
      <c r="E27" s="44">
        <v>8</v>
      </c>
      <c r="F27" s="44">
        <v>12.4</v>
      </c>
      <c r="G27" s="44">
        <v>1302.02</v>
      </c>
      <c r="H27" s="45">
        <v>16.145</v>
      </c>
      <c r="I27" s="46">
        <v>0</v>
      </c>
      <c r="J27" s="46">
        <v>0</v>
      </c>
      <c r="K27" s="46">
        <v>0</v>
      </c>
      <c r="L27" s="46">
        <v>0</v>
      </c>
      <c r="M27" s="46">
        <f>F27/6*G27</f>
        <v>2690.8413333333338</v>
      </c>
      <c r="N27" s="46">
        <f>F27/6*G27</f>
        <v>2690.8413333333338</v>
      </c>
      <c r="O27" s="46">
        <f>F27/6*G27</f>
        <v>2690.8413333333338</v>
      </c>
      <c r="P27" s="46">
        <f>F27/6*G27</f>
        <v>2690.8413333333338</v>
      </c>
      <c r="Q27" s="46">
        <f>F27/6*G27</f>
        <v>2690.8413333333338</v>
      </c>
      <c r="R27" s="46">
        <f>F27/6*G27</f>
        <v>2690.8413333333338</v>
      </c>
      <c r="S27" s="46">
        <v>0</v>
      </c>
      <c r="T27" s="46">
        <v>0</v>
      </c>
      <c r="U27" s="46">
        <f t="shared" si="3"/>
        <v>16145.048000000003</v>
      </c>
    </row>
    <row r="28" spans="1:21">
      <c r="A28" s="31" t="s">
        <v>46</v>
      </c>
      <c r="B28" s="11" t="s">
        <v>47</v>
      </c>
      <c r="C28" s="31" t="s">
        <v>48</v>
      </c>
      <c r="D28" s="11" t="s">
        <v>49</v>
      </c>
      <c r="E28" s="58">
        <v>1</v>
      </c>
      <c r="F28" s="44">
        <v>155</v>
      </c>
      <c r="G28" s="44">
        <v>56.69</v>
      </c>
      <c r="H28" s="45">
        <f>SUM(G28*155/1000)</f>
        <v>8.7869499999999992</v>
      </c>
      <c r="I28" s="46">
        <v>0</v>
      </c>
      <c r="J28" s="46">
        <v>0</v>
      </c>
      <c r="K28" s="46">
        <v>0</v>
      </c>
      <c r="L28" s="46">
        <v>0</v>
      </c>
      <c r="M28" s="46">
        <f>F28/6*G28</f>
        <v>1464.4916666666666</v>
      </c>
      <c r="N28" s="46">
        <f>F28/6*G28</f>
        <v>1464.4916666666666</v>
      </c>
      <c r="O28" s="46">
        <f>F28/6*G28</f>
        <v>1464.4916666666666</v>
      </c>
      <c r="P28" s="46">
        <f>F28/6*G28</f>
        <v>1464.4916666666666</v>
      </c>
      <c r="Q28" s="46">
        <f>F28/6*G28</f>
        <v>1464.4916666666666</v>
      </c>
      <c r="R28" s="46">
        <f>F28/6*G28</f>
        <v>1464.4916666666666</v>
      </c>
      <c r="S28" s="46">
        <v>0</v>
      </c>
      <c r="T28" s="46">
        <v>0</v>
      </c>
      <c r="U28" s="46">
        <f t="shared" si="3"/>
        <v>8786.9499999999989</v>
      </c>
    </row>
    <row r="29" spans="1:21" ht="12.75" customHeight="1">
      <c r="A29" s="31" t="s">
        <v>50</v>
      </c>
      <c r="B29" s="11" t="s">
        <v>51</v>
      </c>
      <c r="C29" s="31" t="s">
        <v>52</v>
      </c>
      <c r="D29" s="11" t="s">
        <v>53</v>
      </c>
      <c r="E29" s="59">
        <v>0.1</v>
      </c>
      <c r="F29" s="44">
        <f>SUM(E29*365)</f>
        <v>36.5</v>
      </c>
      <c r="G29" s="44">
        <v>147.03</v>
      </c>
      <c r="H29" s="45">
        <f t="shared" si="2"/>
        <v>5.3665950000000002</v>
      </c>
      <c r="I29" s="46">
        <f>F29/12*G29</f>
        <v>447.21625</v>
      </c>
      <c r="J29" s="46">
        <f>F29/12*G29</f>
        <v>447.21625</v>
      </c>
      <c r="K29" s="46">
        <f>F29/12*G29</f>
        <v>447.21625</v>
      </c>
      <c r="L29" s="46">
        <f>F29/12*G29</f>
        <v>447.21625</v>
      </c>
      <c r="M29" s="46">
        <f>F29/12*G29</f>
        <v>447.21625</v>
      </c>
      <c r="N29" s="46">
        <f>F29/12*G29</f>
        <v>447.21625</v>
      </c>
      <c r="O29" s="46">
        <f>F29/12*G29</f>
        <v>447.21625</v>
      </c>
      <c r="P29" s="46">
        <f>F29/12*G29</f>
        <v>447.21625</v>
      </c>
      <c r="Q29" s="46">
        <f>F29/12*G29</f>
        <v>447.21625</v>
      </c>
      <c r="R29" s="46">
        <f>F29/12*G29</f>
        <v>447.21625</v>
      </c>
      <c r="S29" s="46">
        <f>F29/12*G29</f>
        <v>447.21625</v>
      </c>
      <c r="T29" s="46">
        <f>F29/12*G29</f>
        <v>447.21625</v>
      </c>
      <c r="U29" s="46">
        <f t="shared" si="3"/>
        <v>5366.5950000000012</v>
      </c>
    </row>
    <row r="30" spans="1:21" ht="12.75" customHeight="1">
      <c r="A30" s="31" t="s">
        <v>55</v>
      </c>
      <c r="B30" s="11" t="s">
        <v>56</v>
      </c>
      <c r="C30" s="31" t="s">
        <v>52</v>
      </c>
      <c r="D30" s="11" t="s">
        <v>54</v>
      </c>
      <c r="E30" s="43"/>
      <c r="F30" s="44">
        <v>2</v>
      </c>
      <c r="G30" s="44">
        <v>191.32</v>
      </c>
      <c r="H30" s="45">
        <f t="shared" si="2"/>
        <v>0.38263999999999998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f t="shared" si="3"/>
        <v>0</v>
      </c>
    </row>
    <row r="31" spans="1:21" ht="13.5" customHeight="1">
      <c r="A31" s="31" t="s">
        <v>57</v>
      </c>
      <c r="B31" s="11" t="s">
        <v>58</v>
      </c>
      <c r="C31" s="31" t="s">
        <v>59</v>
      </c>
      <c r="D31" s="11" t="s">
        <v>54</v>
      </c>
      <c r="E31" s="43"/>
      <c r="F31" s="44">
        <v>3</v>
      </c>
      <c r="G31" s="44">
        <v>1136.32</v>
      </c>
      <c r="H31" s="45">
        <f t="shared" si="2"/>
        <v>3.40896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f t="shared" si="3"/>
        <v>0</v>
      </c>
    </row>
    <row r="32" spans="1:21">
      <c r="A32" s="31"/>
      <c r="B32" s="60" t="s">
        <v>60</v>
      </c>
      <c r="C32" s="31" t="s">
        <v>61</v>
      </c>
      <c r="D32" s="60" t="s">
        <v>53</v>
      </c>
      <c r="E32" s="43">
        <v>5926.8</v>
      </c>
      <c r="F32" s="44">
        <f>SUM(E32*12)</f>
        <v>71121.600000000006</v>
      </c>
      <c r="G32" s="44">
        <v>4.53</v>
      </c>
      <c r="H32" s="45">
        <f t="shared" si="2"/>
        <v>322.18084800000008</v>
      </c>
      <c r="I32" s="46">
        <f>F32/12*G32</f>
        <v>26848.404000000002</v>
      </c>
      <c r="J32" s="46">
        <f>F32/12*G32</f>
        <v>26848.404000000002</v>
      </c>
      <c r="K32" s="46">
        <f>F32/12*G32</f>
        <v>26848.404000000002</v>
      </c>
      <c r="L32" s="46">
        <f>F32/12*G32</f>
        <v>26848.404000000002</v>
      </c>
      <c r="M32" s="46">
        <f>F32/12*G32</f>
        <v>26848.404000000002</v>
      </c>
      <c r="N32" s="46">
        <f>F32/12*G32</f>
        <v>26848.404000000002</v>
      </c>
      <c r="O32" s="46">
        <f>F32/12*G32</f>
        <v>26848.404000000002</v>
      </c>
      <c r="P32" s="46">
        <f>F32/12*G32</f>
        <v>26848.404000000002</v>
      </c>
      <c r="Q32" s="46">
        <f>F32/12*G32</f>
        <v>26848.404000000002</v>
      </c>
      <c r="R32" s="46">
        <f>F32/12*G32</f>
        <v>26848.404000000002</v>
      </c>
      <c r="S32" s="46">
        <f>F32/12*G32</f>
        <v>26848.404000000002</v>
      </c>
      <c r="T32" s="46">
        <f>F32/12*G32</f>
        <v>26848.404000000002</v>
      </c>
      <c r="U32" s="46">
        <f t="shared" si="3"/>
        <v>322180.848</v>
      </c>
    </row>
    <row r="33" spans="1:21" s="19" customFormat="1">
      <c r="A33" s="51"/>
      <c r="B33" s="20" t="s">
        <v>35</v>
      </c>
      <c r="C33" s="52"/>
      <c r="D33" s="20"/>
      <c r="E33" s="53"/>
      <c r="F33" s="54"/>
      <c r="G33" s="54"/>
      <c r="H33" s="61">
        <f>SUM(H24:H32)</f>
        <v>386.65039717700006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>
        <f>SUM(U24:U32)</f>
        <v>375981.55376699998</v>
      </c>
    </row>
    <row r="34" spans="1:21">
      <c r="A34" s="31"/>
      <c r="B34" s="12" t="s">
        <v>63</v>
      </c>
      <c r="C34" s="31"/>
      <c r="D34" s="11"/>
      <c r="E34" s="43"/>
      <c r="F34" s="44"/>
      <c r="G34" s="44"/>
      <c r="H34" s="45" t="s">
        <v>62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5" spans="1:21" ht="25.5">
      <c r="A35" s="31" t="s">
        <v>57</v>
      </c>
      <c r="B35" s="13" t="s">
        <v>64</v>
      </c>
      <c r="C35" s="31" t="s">
        <v>59</v>
      </c>
      <c r="D35" s="11"/>
      <c r="E35" s="43"/>
      <c r="F35" s="44">
        <v>15</v>
      </c>
      <c r="G35" s="44">
        <v>1527.22</v>
      </c>
      <c r="H35" s="45">
        <f>SUM(F35*G35/1000)</f>
        <v>22.908300000000001</v>
      </c>
      <c r="I35" s="46">
        <f>F35/6*G35</f>
        <v>3818.05</v>
      </c>
      <c r="J35" s="46">
        <f>F35/6*G35</f>
        <v>3818.05</v>
      </c>
      <c r="K35" s="46">
        <f>F35/6*G35</f>
        <v>3818.05</v>
      </c>
      <c r="L35" s="46">
        <f>F35/6*G35</f>
        <v>3818.05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f>F35/6*G35</f>
        <v>3818.05</v>
      </c>
      <c r="T35" s="46">
        <f>F35/6*G35</f>
        <v>3818.05</v>
      </c>
      <c r="U35" s="46">
        <f t="shared" ref="U35:U41" si="4">SUM(I35:T35)</f>
        <v>22908.3</v>
      </c>
    </row>
    <row r="36" spans="1:21" s="1" customFormat="1">
      <c r="A36" s="62" t="s">
        <v>65</v>
      </c>
      <c r="B36" s="13" t="s">
        <v>66</v>
      </c>
      <c r="C36" s="62" t="s">
        <v>67</v>
      </c>
      <c r="D36" s="13" t="s">
        <v>68</v>
      </c>
      <c r="E36" s="63">
        <v>547.85</v>
      </c>
      <c r="F36" s="63">
        <f>SUM(E36*50/1000)</f>
        <v>27.392499999999998</v>
      </c>
      <c r="G36" s="63">
        <v>2102.71</v>
      </c>
      <c r="H36" s="45">
        <f t="shared" ref="H36:H41" si="5">SUM(F36*G36/1000)</f>
        <v>57.598483674999997</v>
      </c>
      <c r="I36" s="64">
        <f>F36/6*G36</f>
        <v>9599.747279166666</v>
      </c>
      <c r="J36" s="64">
        <f>F36/6*G36</f>
        <v>9599.747279166666</v>
      </c>
      <c r="K36" s="64">
        <f>F36/6*G36</f>
        <v>9599.747279166666</v>
      </c>
      <c r="L36" s="64">
        <f>F36/6*G36</f>
        <v>9599.747279166666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f>F36/6*G36</f>
        <v>9599.747279166666</v>
      </c>
      <c r="T36" s="64">
        <f>F36/6*G36</f>
        <v>9599.747279166666</v>
      </c>
      <c r="U36" s="46">
        <f t="shared" si="4"/>
        <v>57598.483674999996</v>
      </c>
    </row>
    <row r="37" spans="1:21">
      <c r="A37" s="31" t="s">
        <v>57</v>
      </c>
      <c r="B37" s="11" t="s">
        <v>151</v>
      </c>
      <c r="C37" s="31" t="s">
        <v>107</v>
      </c>
      <c r="D37" s="11" t="s">
        <v>54</v>
      </c>
      <c r="E37" s="43"/>
      <c r="F37" s="63">
        <v>34.33</v>
      </c>
      <c r="G37" s="44">
        <v>213.2</v>
      </c>
      <c r="H37" s="45">
        <f>G37*F37/1000</f>
        <v>7.3191559999999987</v>
      </c>
      <c r="I37" s="46">
        <v>0</v>
      </c>
      <c r="J37" s="46">
        <v>0</v>
      </c>
      <c r="K37" s="46">
        <f>G37*34.33</f>
        <v>7319.155999999999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f t="shared" si="4"/>
        <v>7319.155999999999</v>
      </c>
    </row>
    <row r="38" spans="1:21" ht="24.75" customHeight="1">
      <c r="A38" s="31" t="s">
        <v>69</v>
      </c>
      <c r="B38" s="11" t="s">
        <v>70</v>
      </c>
      <c r="C38" s="31" t="s">
        <v>67</v>
      </c>
      <c r="D38" s="11" t="s">
        <v>71</v>
      </c>
      <c r="E38" s="44">
        <v>140</v>
      </c>
      <c r="F38" s="63">
        <f>SUM(E38*155/1000)</f>
        <v>21.7</v>
      </c>
      <c r="G38" s="44">
        <v>350.75</v>
      </c>
      <c r="H38" s="45">
        <f t="shared" si="5"/>
        <v>7.611275</v>
      </c>
      <c r="I38" s="46">
        <f>F38/6*G38</f>
        <v>1268.5458333333333</v>
      </c>
      <c r="J38" s="46">
        <f>F38/6*G38</f>
        <v>1268.5458333333333</v>
      </c>
      <c r="K38" s="46">
        <f>F38/6*G38</f>
        <v>1268.5458333333333</v>
      </c>
      <c r="L38" s="46">
        <f>F38/6*G38</f>
        <v>1268.5458333333333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f>F38/6*G38</f>
        <v>1268.5458333333333</v>
      </c>
      <c r="T38" s="46">
        <f>F38/6*G38</f>
        <v>1268.5458333333333</v>
      </c>
      <c r="U38" s="46">
        <f t="shared" si="4"/>
        <v>7611.2750000000005</v>
      </c>
    </row>
    <row r="39" spans="1:21" ht="51" customHeight="1">
      <c r="A39" s="31" t="s">
        <v>72</v>
      </c>
      <c r="B39" s="11" t="s">
        <v>73</v>
      </c>
      <c r="C39" s="31" t="s">
        <v>41</v>
      </c>
      <c r="D39" s="11" t="s">
        <v>169</v>
      </c>
      <c r="E39" s="44">
        <v>140</v>
      </c>
      <c r="F39" s="63">
        <f>SUM(E39*12/1000)</f>
        <v>1.68</v>
      </c>
      <c r="G39" s="44">
        <v>5803.28</v>
      </c>
      <c r="H39" s="45">
        <f t="shared" si="5"/>
        <v>9.7495103999999984</v>
      </c>
      <c r="I39" s="46">
        <f>F39/6*G39</f>
        <v>1624.9183999999998</v>
      </c>
      <c r="J39" s="46">
        <f>F39/6*G39</f>
        <v>1624.9183999999998</v>
      </c>
      <c r="K39" s="46">
        <f>F39/6*G39</f>
        <v>1624.9183999999998</v>
      </c>
      <c r="L39" s="46">
        <f>F39/6*G39</f>
        <v>1624.9183999999998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f>F39/6*G39</f>
        <v>1624.9183999999998</v>
      </c>
      <c r="T39" s="46">
        <f>F39/6*G39</f>
        <v>1624.9183999999998</v>
      </c>
      <c r="U39" s="46">
        <f t="shared" si="4"/>
        <v>9749.5103999999992</v>
      </c>
    </row>
    <row r="40" spans="1:21" ht="12.75" customHeight="1">
      <c r="A40" s="31" t="s">
        <v>74</v>
      </c>
      <c r="B40" s="11" t="s">
        <v>75</v>
      </c>
      <c r="C40" s="31" t="s">
        <v>41</v>
      </c>
      <c r="D40" s="11" t="s">
        <v>76</v>
      </c>
      <c r="E40" s="44">
        <v>140</v>
      </c>
      <c r="F40" s="63">
        <f>SUM(E40*45/1000)</f>
        <v>6.3</v>
      </c>
      <c r="G40" s="44">
        <v>428.7</v>
      </c>
      <c r="H40" s="45">
        <f t="shared" si="5"/>
        <v>2.7008100000000002</v>
      </c>
      <c r="I40" s="46">
        <f>F40/6*G40</f>
        <v>450.13499999999999</v>
      </c>
      <c r="J40" s="46">
        <f>F40/6*G40</f>
        <v>450.13499999999999</v>
      </c>
      <c r="K40" s="46">
        <f>F40/6*G40</f>
        <v>450.13499999999999</v>
      </c>
      <c r="L40" s="46">
        <f>F40/6*G40</f>
        <v>450.13499999999999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f>F40/6*G40</f>
        <v>450.13499999999999</v>
      </c>
      <c r="T40" s="46">
        <f>F40/6*G40</f>
        <v>450.13499999999999</v>
      </c>
      <c r="U40" s="46">
        <f t="shared" si="4"/>
        <v>2700.8100000000004</v>
      </c>
    </row>
    <row r="41" spans="1:21" s="2" customFormat="1">
      <c r="A41" s="62"/>
      <c r="B41" s="13" t="s">
        <v>77</v>
      </c>
      <c r="C41" s="62" t="s">
        <v>52</v>
      </c>
      <c r="D41" s="13"/>
      <c r="E41" s="59"/>
      <c r="F41" s="63">
        <v>0.9</v>
      </c>
      <c r="G41" s="63">
        <v>798</v>
      </c>
      <c r="H41" s="45">
        <f t="shared" si="5"/>
        <v>0.71820000000000006</v>
      </c>
      <c r="I41" s="64">
        <f>F41/6*G41</f>
        <v>119.69999999999999</v>
      </c>
      <c r="J41" s="64">
        <f>F41/6*G41</f>
        <v>119.69999999999999</v>
      </c>
      <c r="K41" s="64">
        <f>F41/6*G41</f>
        <v>119.69999999999999</v>
      </c>
      <c r="L41" s="64">
        <f>F41/6*G41</f>
        <v>119.69999999999999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f>F41/6*G41</f>
        <v>119.69999999999999</v>
      </c>
      <c r="T41" s="64">
        <f>F41/6*G41</f>
        <v>119.69999999999999</v>
      </c>
      <c r="U41" s="46">
        <f t="shared" si="4"/>
        <v>718.2</v>
      </c>
    </row>
    <row r="42" spans="1:21" s="19" customFormat="1">
      <c r="A42" s="51"/>
      <c r="B42" s="20" t="s">
        <v>35</v>
      </c>
      <c r="C42" s="52"/>
      <c r="D42" s="20"/>
      <c r="E42" s="53"/>
      <c r="F42" s="54" t="s">
        <v>62</v>
      </c>
      <c r="G42" s="54"/>
      <c r="H42" s="61">
        <f>SUM(H35:H41)</f>
        <v>108.605735075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>
        <f>SUM(U35:U41)</f>
        <v>108605.73507499999</v>
      </c>
    </row>
    <row r="43" spans="1:21">
      <c r="A43" s="31"/>
      <c r="B43" s="14" t="s">
        <v>78</v>
      </c>
      <c r="C43" s="31"/>
      <c r="D43" s="11"/>
      <c r="E43" s="43"/>
      <c r="F43" s="44"/>
      <c r="G43" s="44"/>
      <c r="H43" s="45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>
      <c r="A44" s="31" t="s">
        <v>152</v>
      </c>
      <c r="B44" s="11" t="s">
        <v>153</v>
      </c>
      <c r="C44" s="31" t="s">
        <v>41</v>
      </c>
      <c r="D44" s="11" t="s">
        <v>79</v>
      </c>
      <c r="E44" s="43">
        <v>1640.4</v>
      </c>
      <c r="F44" s="44">
        <f>SUM(E44*2/1000)</f>
        <v>3.2808000000000002</v>
      </c>
      <c r="G44" s="65">
        <v>849.49</v>
      </c>
      <c r="H44" s="45">
        <f t="shared" ref="H44:H52" si="6">SUM(F44*G44/1000)</f>
        <v>2.7870067920000001</v>
      </c>
      <c r="I44" s="46">
        <v>0</v>
      </c>
      <c r="J44" s="46">
        <v>0</v>
      </c>
      <c r="K44" s="46">
        <v>0</v>
      </c>
      <c r="L44" s="46">
        <f>F44/2*G44</f>
        <v>1393.5033960000001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f>F44/2*G44</f>
        <v>1393.5033960000001</v>
      </c>
      <c r="S44" s="46">
        <v>0</v>
      </c>
      <c r="T44" s="46">
        <v>0</v>
      </c>
      <c r="U44" s="46">
        <f t="shared" ref="U44:U52" si="7">SUM(I44:T44)</f>
        <v>2787.0067920000001</v>
      </c>
    </row>
    <row r="45" spans="1:21">
      <c r="A45" s="31" t="s">
        <v>80</v>
      </c>
      <c r="B45" s="11" t="s">
        <v>81</v>
      </c>
      <c r="C45" s="31" t="s">
        <v>41</v>
      </c>
      <c r="D45" s="11" t="s">
        <v>79</v>
      </c>
      <c r="E45" s="43">
        <v>918.25</v>
      </c>
      <c r="F45" s="44">
        <f>SUM(E45*2/1000)</f>
        <v>1.8365</v>
      </c>
      <c r="G45" s="65">
        <v>579.48</v>
      </c>
      <c r="H45" s="45">
        <f t="shared" si="6"/>
        <v>1.06421502</v>
      </c>
      <c r="I45" s="46">
        <v>0</v>
      </c>
      <c r="J45" s="46">
        <v>0</v>
      </c>
      <c r="K45" s="46">
        <v>0</v>
      </c>
      <c r="L45" s="46">
        <f>F45/2*G45</f>
        <v>532.10751000000005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f>F45/2*G45</f>
        <v>532.10751000000005</v>
      </c>
      <c r="S45" s="46">
        <v>0</v>
      </c>
      <c r="T45" s="46">
        <v>0</v>
      </c>
      <c r="U45" s="46">
        <f t="shared" si="7"/>
        <v>1064.2150200000001</v>
      </c>
    </row>
    <row r="46" spans="1:21" ht="25.5">
      <c r="A46" s="31" t="s">
        <v>82</v>
      </c>
      <c r="B46" s="11" t="s">
        <v>83</v>
      </c>
      <c r="C46" s="31" t="s">
        <v>41</v>
      </c>
      <c r="D46" s="11" t="s">
        <v>79</v>
      </c>
      <c r="E46" s="43">
        <v>5592.26</v>
      </c>
      <c r="F46" s="44">
        <f>SUM(E46*2/1000)</f>
        <v>11.184520000000001</v>
      </c>
      <c r="G46" s="65">
        <v>579.48</v>
      </c>
      <c r="H46" s="45">
        <f t="shared" si="6"/>
        <v>6.4812056496000006</v>
      </c>
      <c r="I46" s="46">
        <v>0</v>
      </c>
      <c r="J46" s="46">
        <v>0</v>
      </c>
      <c r="K46" s="46">
        <v>0</v>
      </c>
      <c r="L46" s="46">
        <f>F46/2*G46</f>
        <v>3240.6028248000002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f>F46/2*G46</f>
        <v>3240.6028248000002</v>
      </c>
      <c r="S46" s="46">
        <v>0</v>
      </c>
      <c r="T46" s="46">
        <v>0</v>
      </c>
      <c r="U46" s="46">
        <f t="shared" si="7"/>
        <v>6481.2056496000005</v>
      </c>
    </row>
    <row r="47" spans="1:21">
      <c r="A47" s="31" t="s">
        <v>84</v>
      </c>
      <c r="B47" s="11" t="s">
        <v>85</v>
      </c>
      <c r="C47" s="31" t="s">
        <v>41</v>
      </c>
      <c r="D47" s="11" t="s">
        <v>79</v>
      </c>
      <c r="E47" s="43">
        <v>2817.65</v>
      </c>
      <c r="F47" s="44">
        <f>SUM(E47*2/1000)</f>
        <v>5.6353</v>
      </c>
      <c r="G47" s="65">
        <v>606.77</v>
      </c>
      <c r="H47" s="45">
        <f t="shared" si="6"/>
        <v>3.4193309809999999</v>
      </c>
      <c r="I47" s="46">
        <v>0</v>
      </c>
      <c r="J47" s="46">
        <v>0</v>
      </c>
      <c r="K47" s="46">
        <v>0</v>
      </c>
      <c r="L47" s="46">
        <f>F47/2*G47</f>
        <v>1709.6654905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f>F47/2*G47</f>
        <v>1709.6654905</v>
      </c>
      <c r="S47" s="46">
        <v>0</v>
      </c>
      <c r="T47" s="46">
        <v>0</v>
      </c>
      <c r="U47" s="46">
        <f t="shared" si="7"/>
        <v>3419.3309810000001</v>
      </c>
    </row>
    <row r="48" spans="1:21" ht="25.5">
      <c r="A48" s="31" t="s">
        <v>86</v>
      </c>
      <c r="B48" s="11" t="s">
        <v>87</v>
      </c>
      <c r="C48" s="31" t="s">
        <v>41</v>
      </c>
      <c r="D48" s="11" t="s">
        <v>88</v>
      </c>
      <c r="E48" s="43">
        <v>3280.8</v>
      </c>
      <c r="F48" s="44">
        <f>SUM(E48*5/1000)</f>
        <v>16.404</v>
      </c>
      <c r="G48" s="65">
        <v>1213.55</v>
      </c>
      <c r="H48" s="45">
        <f t="shared" si="6"/>
        <v>19.9070742</v>
      </c>
      <c r="I48" s="46">
        <f>F48/5*G48</f>
        <v>3981.4148399999999</v>
      </c>
      <c r="J48" s="46">
        <f>F48/5*G48</f>
        <v>3981.4148399999999</v>
      </c>
      <c r="K48" s="46">
        <v>0</v>
      </c>
      <c r="L48" s="46">
        <v>0</v>
      </c>
      <c r="M48" s="46">
        <f>F48/5*G48</f>
        <v>3981.4148399999999</v>
      </c>
      <c r="N48" s="46">
        <v>0</v>
      </c>
      <c r="O48" s="46">
        <v>0</v>
      </c>
      <c r="P48" s="46">
        <v>0</v>
      </c>
      <c r="Q48" s="46">
        <f>F48/5*G48</f>
        <v>3981.4148399999999</v>
      </c>
      <c r="R48" s="46">
        <v>0</v>
      </c>
      <c r="S48" s="46">
        <v>0</v>
      </c>
      <c r="T48" s="46">
        <f>F48/5*G48</f>
        <v>3981.4148399999999</v>
      </c>
      <c r="U48" s="46">
        <f t="shared" si="7"/>
        <v>19907.074199999999</v>
      </c>
    </row>
    <row r="49" spans="1:21" ht="39.6" customHeight="1">
      <c r="A49" s="31" t="s">
        <v>89</v>
      </c>
      <c r="B49" s="11" t="s">
        <v>90</v>
      </c>
      <c r="C49" s="31" t="s">
        <v>41</v>
      </c>
      <c r="D49" s="11" t="s">
        <v>79</v>
      </c>
      <c r="E49" s="43">
        <v>3280.8</v>
      </c>
      <c r="F49" s="44">
        <f>SUM(E49*2/1000)</f>
        <v>6.5616000000000003</v>
      </c>
      <c r="G49" s="65">
        <v>1213.55</v>
      </c>
      <c r="H49" s="45">
        <f t="shared" si="6"/>
        <v>7.9628296799999996</v>
      </c>
      <c r="I49" s="46">
        <f>F49/2*G49</f>
        <v>3981.4148399999999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f>F49/2*G49</f>
        <v>3981.4148399999999</v>
      </c>
      <c r="R49" s="46">
        <v>0</v>
      </c>
      <c r="S49" s="46">
        <v>0</v>
      </c>
      <c r="T49" s="46">
        <v>0</v>
      </c>
      <c r="U49" s="46">
        <f t="shared" si="7"/>
        <v>7962.8296799999998</v>
      </c>
    </row>
    <row r="50" spans="1:21" ht="28.9" customHeight="1">
      <c r="A50" s="31" t="s">
        <v>91</v>
      </c>
      <c r="B50" s="11" t="s">
        <v>92</v>
      </c>
      <c r="C50" s="31" t="s">
        <v>93</v>
      </c>
      <c r="D50" s="11" t="s">
        <v>79</v>
      </c>
      <c r="E50" s="43">
        <v>40</v>
      </c>
      <c r="F50" s="44">
        <f>SUM(E50*2/100)</f>
        <v>0.8</v>
      </c>
      <c r="G50" s="65">
        <v>2730.49</v>
      </c>
      <c r="H50" s="45">
        <f t="shared" si="6"/>
        <v>2.1843919999999999</v>
      </c>
      <c r="I50" s="46">
        <f>F50/2*G50</f>
        <v>1092.1959999999999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f>F50/2*G50</f>
        <v>1092.1959999999999</v>
      </c>
      <c r="R50" s="46">
        <v>0</v>
      </c>
      <c r="S50" s="46">
        <v>0</v>
      </c>
      <c r="T50" s="46">
        <v>0</v>
      </c>
      <c r="U50" s="46">
        <f t="shared" si="7"/>
        <v>2184.3919999999998</v>
      </c>
    </row>
    <row r="51" spans="1:21">
      <c r="A51" s="31" t="s">
        <v>94</v>
      </c>
      <c r="B51" s="11" t="s">
        <v>95</v>
      </c>
      <c r="C51" s="31" t="s">
        <v>96</v>
      </c>
      <c r="D51" s="11" t="s">
        <v>79</v>
      </c>
      <c r="E51" s="43">
        <v>1</v>
      </c>
      <c r="F51" s="44">
        <v>0.02</v>
      </c>
      <c r="G51" s="65">
        <v>5652.13</v>
      </c>
      <c r="H51" s="45">
        <f t="shared" si="6"/>
        <v>0.11304260000000001</v>
      </c>
      <c r="I51" s="46">
        <f>F51/2*G51</f>
        <v>56.521300000000004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f>F51/2*G51</f>
        <v>56.521300000000004</v>
      </c>
      <c r="T51" s="46">
        <v>0</v>
      </c>
      <c r="U51" s="46">
        <f t="shared" si="7"/>
        <v>113.04260000000001</v>
      </c>
    </row>
    <row r="52" spans="1:21" ht="13.5" customHeight="1">
      <c r="A52" s="31" t="s">
        <v>98</v>
      </c>
      <c r="B52" s="11" t="s">
        <v>99</v>
      </c>
      <c r="C52" s="31" t="s">
        <v>97</v>
      </c>
      <c r="D52" s="11" t="s">
        <v>145</v>
      </c>
      <c r="E52" s="43">
        <v>238</v>
      </c>
      <c r="F52" s="44">
        <f>SUM(E52)*3</f>
        <v>714</v>
      </c>
      <c r="G52" s="66">
        <v>65.67</v>
      </c>
      <c r="H52" s="45">
        <f t="shared" si="6"/>
        <v>46.888380000000005</v>
      </c>
      <c r="I52" s="46">
        <v>0</v>
      </c>
      <c r="J52" s="46">
        <f>E52*G52</f>
        <v>15629.460000000001</v>
      </c>
      <c r="K52" s="46">
        <v>0</v>
      </c>
      <c r="L52" s="46">
        <f>E52*G52</f>
        <v>15629.460000000001</v>
      </c>
      <c r="M52" s="46">
        <v>0</v>
      </c>
      <c r="N52" s="46">
        <v>0</v>
      </c>
      <c r="O52" s="46">
        <v>0</v>
      </c>
      <c r="P52" s="46">
        <f>E52*G52</f>
        <v>15629.460000000001</v>
      </c>
      <c r="Q52" s="46">
        <v>0</v>
      </c>
      <c r="R52" s="46">
        <v>0</v>
      </c>
      <c r="S52" s="46">
        <v>0</v>
      </c>
      <c r="T52" s="46">
        <v>0</v>
      </c>
      <c r="U52" s="46">
        <f t="shared" si="7"/>
        <v>46888.380000000005</v>
      </c>
    </row>
    <row r="53" spans="1:21" s="21" customFormat="1">
      <c r="A53" s="67"/>
      <c r="B53" s="20" t="s">
        <v>35</v>
      </c>
      <c r="C53" s="68"/>
      <c r="D53" s="20"/>
      <c r="E53" s="69"/>
      <c r="F53" s="70"/>
      <c r="G53" s="70"/>
      <c r="H53" s="61">
        <f>SUM(H44:H52)</f>
        <v>90.807476922600017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>
        <f>SUM(U44:U52)</f>
        <v>90807.476922600006</v>
      </c>
    </row>
    <row r="54" spans="1:21">
      <c r="A54" s="31"/>
      <c r="B54" s="12" t="s">
        <v>100</v>
      </c>
      <c r="C54" s="31"/>
      <c r="D54" s="11"/>
      <c r="E54" s="43"/>
      <c r="F54" s="44"/>
      <c r="G54" s="44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>
      <c r="A55" s="31" t="s">
        <v>101</v>
      </c>
      <c r="B55" s="11" t="s">
        <v>102</v>
      </c>
      <c r="C55" s="31" t="s">
        <v>14</v>
      </c>
      <c r="D55" s="11" t="s">
        <v>45</v>
      </c>
      <c r="E55" s="72">
        <v>1640.4</v>
      </c>
      <c r="F55" s="65">
        <f>E55/100</f>
        <v>16.404</v>
      </c>
      <c r="G55" s="63">
        <v>472.59</v>
      </c>
      <c r="H55" s="45">
        <f>SUM(F55*G55/1000)</f>
        <v>7.7523663599999999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f>SUM(I55:T55)</f>
        <v>0</v>
      </c>
    </row>
    <row r="56" spans="1:21" ht="25.5">
      <c r="A56" s="8" t="s">
        <v>170</v>
      </c>
      <c r="B56" s="11" t="s">
        <v>175</v>
      </c>
      <c r="C56" s="31" t="s">
        <v>14</v>
      </c>
      <c r="D56" s="11" t="s">
        <v>171</v>
      </c>
      <c r="E56" s="43">
        <v>30</v>
      </c>
      <c r="F56" s="44">
        <v>9.8423999999999996</v>
      </c>
      <c r="G56" s="73">
        <v>1547.28</v>
      </c>
      <c r="H56" s="45">
        <f>F56*G56/1000</f>
        <v>15.228948671999998</v>
      </c>
      <c r="I56" s="46">
        <f>F56/6*G56</f>
        <v>2538.1581119999996</v>
      </c>
      <c r="J56" s="46">
        <f>F56/6*G56</f>
        <v>2538.1581119999996</v>
      </c>
      <c r="K56" s="46">
        <f>F56/6*G56</f>
        <v>2538.1581119999996</v>
      </c>
      <c r="L56" s="46">
        <f>F56/6*G56</f>
        <v>2538.1581119999996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f>F56/6*G56</f>
        <v>2538.1581119999996</v>
      </c>
      <c r="T56" s="46">
        <f>F56/6*G56</f>
        <v>2538.1581119999996</v>
      </c>
      <c r="U56" s="46">
        <f>SUM(I56:T56)</f>
        <v>15228.948671999997</v>
      </c>
    </row>
    <row r="57" spans="1:21" ht="27" customHeight="1">
      <c r="A57" s="8" t="s">
        <v>172</v>
      </c>
      <c r="B57" s="26" t="s">
        <v>173</v>
      </c>
      <c r="C57" s="74" t="s">
        <v>14</v>
      </c>
      <c r="D57" s="26" t="s">
        <v>154</v>
      </c>
      <c r="E57" s="75">
        <v>8</v>
      </c>
      <c r="F57" s="76">
        <f>E57*8/100</f>
        <v>0.64</v>
      </c>
      <c r="G57" s="73">
        <v>1547.28</v>
      </c>
      <c r="H57" s="77">
        <f>F57*G57/1000</f>
        <v>0.99025920000000001</v>
      </c>
      <c r="I57" s="46">
        <f>F57/6*G57</f>
        <v>165.04320000000001</v>
      </c>
      <c r="J57" s="46">
        <f>F57/6*G57</f>
        <v>165.04320000000001</v>
      </c>
      <c r="K57" s="46">
        <f>F57/6*G57</f>
        <v>165.04320000000001</v>
      </c>
      <c r="L57" s="46">
        <f>F57/6*G57</f>
        <v>165.04320000000001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f>F57/6*G57</f>
        <v>165.04320000000001</v>
      </c>
      <c r="T57" s="46">
        <f>F57/6*G57</f>
        <v>165.04320000000001</v>
      </c>
      <c r="U57" s="46">
        <f>SUM(I57:T57)</f>
        <v>990.25920000000019</v>
      </c>
    </row>
    <row r="58" spans="1:21" ht="12.75" customHeight="1">
      <c r="A58" s="31" t="s">
        <v>155</v>
      </c>
      <c r="B58" s="26" t="s">
        <v>156</v>
      </c>
      <c r="C58" s="74" t="s">
        <v>157</v>
      </c>
      <c r="D58" s="26" t="s">
        <v>79</v>
      </c>
      <c r="E58" s="75">
        <v>8</v>
      </c>
      <c r="F58" s="76">
        <v>16</v>
      </c>
      <c r="G58" s="78">
        <v>180.78</v>
      </c>
      <c r="H58" s="77">
        <f>F58*G58/1000</f>
        <v>2.8924799999999999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f>SUM(I58:T58)</f>
        <v>0</v>
      </c>
    </row>
    <row r="59" spans="1:21" ht="12.75" customHeight="1">
      <c r="A59" s="74"/>
      <c r="B59" s="27" t="s">
        <v>103</v>
      </c>
      <c r="C59" s="74"/>
      <c r="D59" s="26"/>
      <c r="E59" s="75"/>
      <c r="F59" s="76"/>
      <c r="G59" s="79"/>
      <c r="H59" s="77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ht="12.75" customHeight="1">
      <c r="A60" s="74" t="s">
        <v>208</v>
      </c>
      <c r="B60" s="26" t="s">
        <v>158</v>
      </c>
      <c r="C60" s="74" t="s">
        <v>105</v>
      </c>
      <c r="D60" s="26" t="s">
        <v>106</v>
      </c>
      <c r="E60" s="75">
        <v>329.4</v>
      </c>
      <c r="F60" s="76">
        <f>E60*12</f>
        <v>3952.7999999999997</v>
      </c>
      <c r="G60" s="80">
        <v>2.5960000000000001</v>
      </c>
      <c r="H60" s="77">
        <f>G60*F60</f>
        <v>10261.468799999999</v>
      </c>
      <c r="I60" s="46">
        <f>F60/12*G60</f>
        <v>855.12239999999997</v>
      </c>
      <c r="J60" s="46">
        <f>F60/12*G60</f>
        <v>855.12239999999997</v>
      </c>
      <c r="K60" s="46">
        <f>F60/12*G60</f>
        <v>855.12239999999997</v>
      </c>
      <c r="L60" s="46">
        <f>F60/12*G60</f>
        <v>855.12239999999997</v>
      </c>
      <c r="M60" s="46">
        <f>F60/12*G60</f>
        <v>855.12239999999997</v>
      </c>
      <c r="N60" s="46">
        <f>F60/12*G60</f>
        <v>855.12239999999997</v>
      </c>
      <c r="O60" s="46">
        <f>F60/12*G60</f>
        <v>855.12239999999997</v>
      </c>
      <c r="P60" s="46">
        <f>F60/12*G60</f>
        <v>855.12239999999997</v>
      </c>
      <c r="Q60" s="46">
        <f>F60/12*G60</f>
        <v>855.12239999999997</v>
      </c>
      <c r="R60" s="46">
        <f>F60/12*G60</f>
        <v>855.12239999999997</v>
      </c>
      <c r="S60" s="46">
        <f>F60/12*G60</f>
        <v>855.12239999999997</v>
      </c>
      <c r="T60" s="46">
        <f>F60/12*G60</f>
        <v>855.12239999999997</v>
      </c>
      <c r="U60" s="46">
        <f>SUM(I60:T60)</f>
        <v>10261.468800000001</v>
      </c>
    </row>
    <row r="61" spans="1:21" ht="12.75" customHeight="1">
      <c r="A61" s="74" t="s">
        <v>104</v>
      </c>
      <c r="B61" s="26" t="s">
        <v>174</v>
      </c>
      <c r="C61" s="74" t="s">
        <v>105</v>
      </c>
      <c r="D61" s="26" t="s">
        <v>45</v>
      </c>
      <c r="E61" s="75">
        <v>1640.4</v>
      </c>
      <c r="F61" s="76">
        <v>16.404</v>
      </c>
      <c r="G61" s="81">
        <v>739.61</v>
      </c>
      <c r="H61" s="77">
        <f>G61*F61/1000</f>
        <v>12.132562439999999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f>SUM(I61:T61)</f>
        <v>0</v>
      </c>
    </row>
    <row r="62" spans="1:21">
      <c r="A62" s="74"/>
      <c r="B62" s="15" t="s">
        <v>108</v>
      </c>
      <c r="C62" s="74"/>
      <c r="D62" s="26"/>
      <c r="E62" s="75"/>
      <c r="F62" s="76"/>
      <c r="G62" s="76"/>
      <c r="H62" s="77" t="s">
        <v>62</v>
      </c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1:21" ht="12.75" customHeight="1">
      <c r="A63" s="28" t="s">
        <v>109</v>
      </c>
      <c r="B63" s="16" t="s">
        <v>110</v>
      </c>
      <c r="C63" s="28" t="s">
        <v>97</v>
      </c>
      <c r="D63" s="9" t="s">
        <v>54</v>
      </c>
      <c r="E63" s="82">
        <v>40</v>
      </c>
      <c r="F63" s="44">
        <v>40</v>
      </c>
      <c r="G63" s="65">
        <v>222.4</v>
      </c>
      <c r="H63" s="143">
        <f t="shared" ref="H63:H75" si="8">SUM(F63*G63/1000)</f>
        <v>8.8960000000000008</v>
      </c>
      <c r="I63" s="46">
        <v>0</v>
      </c>
      <c r="J63" s="46">
        <f>G63</f>
        <v>222.4</v>
      </c>
      <c r="K63" s="46">
        <f>G63*3</f>
        <v>667.2</v>
      </c>
      <c r="L63" s="46">
        <f>G63*1</f>
        <v>222.4</v>
      </c>
      <c r="M63" s="46">
        <v>0</v>
      </c>
      <c r="N63" s="46">
        <v>0</v>
      </c>
      <c r="O63" s="46">
        <f>G63*6</f>
        <v>1334.4</v>
      </c>
      <c r="P63" s="46">
        <f>G63*5</f>
        <v>1112</v>
      </c>
      <c r="Q63" s="46">
        <f>G63</f>
        <v>222.4</v>
      </c>
      <c r="R63" s="46">
        <v>0</v>
      </c>
      <c r="S63" s="46">
        <v>0</v>
      </c>
      <c r="T63" s="46">
        <f>G63*8</f>
        <v>1779.2</v>
      </c>
      <c r="U63" s="46">
        <f t="shared" ref="U63:U70" si="9">SUM(I63:T63)</f>
        <v>5560</v>
      </c>
    </row>
    <row r="64" spans="1:21" ht="12.75" customHeight="1">
      <c r="A64" s="28" t="s">
        <v>111</v>
      </c>
      <c r="B64" s="16" t="s">
        <v>112</v>
      </c>
      <c r="C64" s="28" t="s">
        <v>97</v>
      </c>
      <c r="D64" s="9" t="s">
        <v>54</v>
      </c>
      <c r="E64" s="82">
        <v>15</v>
      </c>
      <c r="F64" s="44">
        <v>15</v>
      </c>
      <c r="G64" s="65">
        <v>76.25</v>
      </c>
      <c r="H64" s="143">
        <f t="shared" si="8"/>
        <v>1.14375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f>G64*3</f>
        <v>228.75</v>
      </c>
      <c r="R64" s="46">
        <v>0</v>
      </c>
      <c r="S64" s="46">
        <v>0</v>
      </c>
      <c r="T64" s="46">
        <v>0</v>
      </c>
      <c r="U64" s="46">
        <f t="shared" si="9"/>
        <v>228.75</v>
      </c>
    </row>
    <row r="65" spans="1:26" s="2" customFormat="1">
      <c r="A65" s="83" t="s">
        <v>113</v>
      </c>
      <c r="B65" s="16" t="s">
        <v>114</v>
      </c>
      <c r="C65" s="83" t="s">
        <v>115</v>
      </c>
      <c r="D65" s="9" t="s">
        <v>45</v>
      </c>
      <c r="E65" s="43">
        <v>24648</v>
      </c>
      <c r="F65" s="66">
        <f>SUM(E65/100)</f>
        <v>246.48</v>
      </c>
      <c r="G65" s="65">
        <v>212.15</v>
      </c>
      <c r="H65" s="143">
        <f t="shared" si="8"/>
        <v>52.290731999999998</v>
      </c>
      <c r="I65" s="64">
        <v>0</v>
      </c>
      <c r="J65" s="64">
        <v>0</v>
      </c>
      <c r="K65" s="64">
        <v>0</v>
      </c>
      <c r="L65" s="64">
        <v>0</v>
      </c>
      <c r="M65" s="64">
        <f>F65*G65</f>
        <v>52290.731999999996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46">
        <f t="shared" si="9"/>
        <v>52290.731999999996</v>
      </c>
    </row>
    <row r="66" spans="1:26" ht="25.5">
      <c r="A66" s="28" t="s">
        <v>116</v>
      </c>
      <c r="B66" s="16" t="s">
        <v>117</v>
      </c>
      <c r="C66" s="28" t="s">
        <v>118</v>
      </c>
      <c r="D66" s="9"/>
      <c r="E66" s="43">
        <v>24648</v>
      </c>
      <c r="F66" s="65">
        <f>SUM(E66/1000)</f>
        <v>24.648</v>
      </c>
      <c r="G66" s="65">
        <v>165.21</v>
      </c>
      <c r="H66" s="143">
        <f t="shared" si="8"/>
        <v>4.0720960800000006</v>
      </c>
      <c r="I66" s="46">
        <v>0</v>
      </c>
      <c r="J66" s="46">
        <v>0</v>
      </c>
      <c r="K66" s="46">
        <v>0</v>
      </c>
      <c r="L66" s="46">
        <v>0</v>
      </c>
      <c r="M66" s="46">
        <f>F66*G66</f>
        <v>4072.0960800000003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f t="shared" si="9"/>
        <v>4072.0960800000003</v>
      </c>
    </row>
    <row r="67" spans="1:26">
      <c r="A67" s="28" t="s">
        <v>119</v>
      </c>
      <c r="B67" s="16" t="s">
        <v>120</v>
      </c>
      <c r="C67" s="28" t="s">
        <v>121</v>
      </c>
      <c r="D67" s="9" t="s">
        <v>45</v>
      </c>
      <c r="E67" s="43">
        <v>2730</v>
      </c>
      <c r="F67" s="65">
        <f>SUM(E67/100)</f>
        <v>27.3</v>
      </c>
      <c r="G67" s="65">
        <v>2074.63</v>
      </c>
      <c r="H67" s="143">
        <f t="shared" si="8"/>
        <v>56.637399000000002</v>
      </c>
      <c r="I67" s="46">
        <v>0</v>
      </c>
      <c r="J67" s="46">
        <v>0</v>
      </c>
      <c r="K67" s="46">
        <v>0</v>
      </c>
      <c r="L67" s="46">
        <v>0</v>
      </c>
      <c r="M67" s="46">
        <f>F67*G67</f>
        <v>56637.399000000005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f t="shared" si="9"/>
        <v>56637.399000000005</v>
      </c>
    </row>
    <row r="68" spans="1:26">
      <c r="A68" s="28"/>
      <c r="B68" s="17" t="s">
        <v>146</v>
      </c>
      <c r="C68" s="28" t="s">
        <v>52</v>
      </c>
      <c r="D68" s="9"/>
      <c r="E68" s="43">
        <v>20.28</v>
      </c>
      <c r="F68" s="65">
        <f>SUM(E68)</f>
        <v>20.28</v>
      </c>
      <c r="G68" s="65">
        <v>42.67</v>
      </c>
      <c r="H68" s="143">
        <f t="shared" si="8"/>
        <v>0.86534760000000011</v>
      </c>
      <c r="I68" s="46">
        <v>0</v>
      </c>
      <c r="J68" s="46">
        <v>0</v>
      </c>
      <c r="K68" s="46">
        <v>0</v>
      </c>
      <c r="L68" s="46">
        <v>0</v>
      </c>
      <c r="M68" s="46">
        <f>F68*G68</f>
        <v>865.34760000000006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f t="shared" si="9"/>
        <v>865.34760000000006</v>
      </c>
    </row>
    <row r="69" spans="1:26" ht="25.5">
      <c r="A69" s="28"/>
      <c r="B69" s="17" t="s">
        <v>147</v>
      </c>
      <c r="C69" s="28" t="s">
        <v>52</v>
      </c>
      <c r="D69" s="9"/>
      <c r="E69" s="43">
        <v>20.28</v>
      </c>
      <c r="F69" s="65">
        <f>SUM(E69)</f>
        <v>20.28</v>
      </c>
      <c r="G69" s="65">
        <v>39.81</v>
      </c>
      <c r="H69" s="143">
        <f t="shared" si="8"/>
        <v>0.80734680000000014</v>
      </c>
      <c r="I69" s="46">
        <v>0</v>
      </c>
      <c r="J69" s="46">
        <v>0</v>
      </c>
      <c r="K69" s="46">
        <v>0</v>
      </c>
      <c r="L69" s="46">
        <v>0</v>
      </c>
      <c r="M69" s="46">
        <f>F69*G69</f>
        <v>807.34680000000014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f t="shared" si="9"/>
        <v>807.34680000000014</v>
      </c>
    </row>
    <row r="70" spans="1:26">
      <c r="A70" s="28" t="s">
        <v>122</v>
      </c>
      <c r="B70" s="9" t="s">
        <v>123</v>
      </c>
      <c r="C70" s="28" t="s">
        <v>124</v>
      </c>
      <c r="D70" s="9" t="s">
        <v>45</v>
      </c>
      <c r="E70" s="82">
        <v>12</v>
      </c>
      <c r="F70" s="44">
        <f>SUM(E70)</f>
        <v>12</v>
      </c>
      <c r="G70" s="65">
        <v>49.88</v>
      </c>
      <c r="H70" s="143">
        <f t="shared" si="8"/>
        <v>0.59856000000000009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f>F70*G70</f>
        <v>598.56000000000006</v>
      </c>
      <c r="R70" s="46">
        <v>0</v>
      </c>
      <c r="S70" s="46">
        <v>0</v>
      </c>
      <c r="T70" s="46">
        <v>0</v>
      </c>
      <c r="U70" s="46">
        <f t="shared" si="9"/>
        <v>598.56000000000006</v>
      </c>
    </row>
    <row r="71" spans="1:26">
      <c r="A71" s="28"/>
      <c r="B71" s="18" t="s">
        <v>125</v>
      </c>
      <c r="C71" s="28"/>
      <c r="D71" s="9"/>
      <c r="E71" s="82"/>
      <c r="F71" s="65"/>
      <c r="G71" s="65"/>
      <c r="H71" s="143" t="s">
        <v>62</v>
      </c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:26">
      <c r="A72" s="28" t="s">
        <v>126</v>
      </c>
      <c r="B72" s="9" t="s">
        <v>127</v>
      </c>
      <c r="C72" s="28" t="s">
        <v>48</v>
      </c>
      <c r="D72" s="9"/>
      <c r="E72" s="82">
        <v>2</v>
      </c>
      <c r="F72" s="44">
        <f>SUM(E72)</f>
        <v>2</v>
      </c>
      <c r="G72" s="65">
        <v>358.51</v>
      </c>
      <c r="H72" s="143">
        <f t="shared" si="8"/>
        <v>0.71701999999999999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f>SUM(I72:T72)</f>
        <v>0</v>
      </c>
    </row>
    <row r="73" spans="1:26">
      <c r="A73" s="28" t="s">
        <v>148</v>
      </c>
      <c r="B73" s="9" t="s">
        <v>149</v>
      </c>
      <c r="C73" s="28" t="s">
        <v>48</v>
      </c>
      <c r="D73" s="9"/>
      <c r="E73" s="82">
        <v>1</v>
      </c>
      <c r="F73" s="65">
        <v>1</v>
      </c>
      <c r="G73" s="65">
        <v>852.99</v>
      </c>
      <c r="H73" s="143">
        <f>F73*G73/1000</f>
        <v>0.85299000000000003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f>SUM(I73:T73)</f>
        <v>0</v>
      </c>
    </row>
    <row r="74" spans="1:26">
      <c r="A74" s="28"/>
      <c r="B74" s="84" t="s">
        <v>128</v>
      </c>
      <c r="C74" s="28"/>
      <c r="D74" s="9"/>
      <c r="E74" s="82"/>
      <c r="F74" s="65"/>
      <c r="G74" s="65" t="s">
        <v>62</v>
      </c>
      <c r="H74" s="143" t="s">
        <v>62</v>
      </c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:26" s="2" customFormat="1">
      <c r="A75" s="83" t="s">
        <v>129</v>
      </c>
      <c r="B75" s="85" t="s">
        <v>130</v>
      </c>
      <c r="C75" s="83" t="s">
        <v>121</v>
      </c>
      <c r="D75" s="16"/>
      <c r="E75" s="86"/>
      <c r="F75" s="66">
        <v>1.35</v>
      </c>
      <c r="G75" s="66">
        <v>2759.44</v>
      </c>
      <c r="H75" s="143">
        <f t="shared" si="8"/>
        <v>3.725244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46">
        <f>SUM(I75:T75)</f>
        <v>0</v>
      </c>
    </row>
    <row r="76" spans="1:26" s="21" customFormat="1">
      <c r="A76" s="87"/>
      <c r="B76" s="20" t="s">
        <v>35</v>
      </c>
      <c r="C76" s="88"/>
      <c r="D76" s="89"/>
      <c r="E76" s="90"/>
      <c r="F76" s="71"/>
      <c r="G76" s="71"/>
      <c r="H76" s="91">
        <f>SUM(H55:H75)</f>
        <v>10431.071902151998</v>
      </c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>
        <f>SUM(U55:U75)</f>
        <v>147540.90815200002</v>
      </c>
    </row>
    <row r="77" spans="1:26">
      <c r="A77" s="150" t="s">
        <v>208</v>
      </c>
      <c r="B77" s="11" t="s">
        <v>209</v>
      </c>
      <c r="C77" s="93" t="s">
        <v>210</v>
      </c>
      <c r="D77" s="94"/>
      <c r="E77" s="151"/>
      <c r="F77" s="95">
        <f>130/10</f>
        <v>13</v>
      </c>
      <c r="G77" s="96">
        <v>9</v>
      </c>
      <c r="H77" s="143">
        <f>G77*F77/1000</f>
        <v>0.11700000000000001</v>
      </c>
      <c r="I77" s="46">
        <v>0</v>
      </c>
      <c r="J77" s="46">
        <v>0</v>
      </c>
      <c r="K77" s="46">
        <v>0</v>
      </c>
      <c r="L77" s="46">
        <v>0</v>
      </c>
      <c r="M77" s="47">
        <v>0</v>
      </c>
      <c r="N77" s="46">
        <f>F77*G77</f>
        <v>117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f>SUM(I77:T77)</f>
        <v>117</v>
      </c>
    </row>
    <row r="78" spans="1:26" ht="12.75" customHeight="1">
      <c r="A78" s="97"/>
      <c r="B78" s="92" t="s">
        <v>131</v>
      </c>
      <c r="C78" s="28" t="s">
        <v>132</v>
      </c>
      <c r="D78" s="98"/>
      <c r="E78" s="65">
        <v>5926.8</v>
      </c>
      <c r="F78" s="65">
        <f>SUM(E78*12)</f>
        <v>71121.600000000006</v>
      </c>
      <c r="G78" s="99">
        <v>2.1</v>
      </c>
      <c r="H78" s="143">
        <f>SUM(F78*G78/1000)</f>
        <v>149.35536000000002</v>
      </c>
      <c r="I78" s="46">
        <f>F78/12*G78</f>
        <v>12446.28</v>
      </c>
      <c r="J78" s="46">
        <f>F78/12*G78</f>
        <v>12446.28</v>
      </c>
      <c r="K78" s="46">
        <f>F78/12*G78</f>
        <v>12446.28</v>
      </c>
      <c r="L78" s="46">
        <f>F78/12*G78</f>
        <v>12446.28</v>
      </c>
      <c r="M78" s="46">
        <f>F78/12*G78</f>
        <v>12446.28</v>
      </c>
      <c r="N78" s="46">
        <f>F78/12*G78</f>
        <v>12446.28</v>
      </c>
      <c r="O78" s="46">
        <f>F78/12*G78</f>
        <v>12446.28</v>
      </c>
      <c r="P78" s="46">
        <f>F78/12*G78</f>
        <v>12446.28</v>
      </c>
      <c r="Q78" s="46">
        <f>F78/12*G78</f>
        <v>12446.28</v>
      </c>
      <c r="R78" s="46">
        <f>F78/12*G78</f>
        <v>12446.28</v>
      </c>
      <c r="S78" s="46">
        <f>F78/12*G78</f>
        <v>12446.28</v>
      </c>
      <c r="T78" s="46">
        <f>F78/12*G78</f>
        <v>12446.28</v>
      </c>
      <c r="U78" s="46">
        <f>SUM(I78:T78)</f>
        <v>149355.36000000002</v>
      </c>
    </row>
    <row r="79" spans="1:26" s="19" customFormat="1">
      <c r="A79" s="100"/>
      <c r="B79" s="20" t="s">
        <v>35</v>
      </c>
      <c r="C79" s="101"/>
      <c r="D79" s="102"/>
      <c r="E79" s="103"/>
      <c r="F79" s="56"/>
      <c r="G79" s="104"/>
      <c r="H79" s="57">
        <f>SUM(H77:H78)</f>
        <v>149.47236000000001</v>
      </c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>
        <f>SUM(U77:U78)</f>
        <v>149472.36000000002</v>
      </c>
    </row>
    <row r="80" spans="1:26" ht="35.25" customHeight="1">
      <c r="A80" s="105"/>
      <c r="B80" s="9" t="s">
        <v>133</v>
      </c>
      <c r="C80" s="28"/>
      <c r="D80" s="106"/>
      <c r="E80" s="43">
        <f>E78</f>
        <v>5926.8</v>
      </c>
      <c r="F80" s="65">
        <f>E80*12</f>
        <v>71121.600000000006</v>
      </c>
      <c r="G80" s="65">
        <v>1.63</v>
      </c>
      <c r="H80" s="143">
        <f>F80*G80/1000</f>
        <v>115.928208</v>
      </c>
      <c r="I80" s="46">
        <f>F80/12*G80</f>
        <v>9660.6839999999993</v>
      </c>
      <c r="J80" s="46">
        <f>F80/12*G80</f>
        <v>9660.6839999999993</v>
      </c>
      <c r="K80" s="46">
        <f>F80/12*G80</f>
        <v>9660.6839999999993</v>
      </c>
      <c r="L80" s="46">
        <f>F80/12*G80</f>
        <v>9660.6839999999993</v>
      </c>
      <c r="M80" s="46">
        <f>F80/12*G80</f>
        <v>9660.6839999999993</v>
      </c>
      <c r="N80" s="46">
        <f>F80/12*G80</f>
        <v>9660.6839999999993</v>
      </c>
      <c r="O80" s="46">
        <f>F80/12*G80</f>
        <v>9660.6839999999993</v>
      </c>
      <c r="P80" s="46">
        <f>F80/12*G80</f>
        <v>9660.6839999999993</v>
      </c>
      <c r="Q80" s="46">
        <f>F80/12*G80</f>
        <v>9660.6839999999993</v>
      </c>
      <c r="R80" s="46">
        <f>F80/12*G80</f>
        <v>9660.6839999999993</v>
      </c>
      <c r="S80" s="46">
        <f>F80/12*G80</f>
        <v>9660.6839999999993</v>
      </c>
      <c r="T80" s="46">
        <f>F80/12*G80</f>
        <v>9660.6839999999993</v>
      </c>
      <c r="U80" s="46">
        <f>SUM(I80:T80)</f>
        <v>115928.20799999997</v>
      </c>
      <c r="W80" s="162"/>
      <c r="X80" s="162"/>
      <c r="Y80" s="162"/>
      <c r="Z80" s="162"/>
    </row>
    <row r="81" spans="1:21" s="19" customFormat="1">
      <c r="A81" s="100"/>
      <c r="B81" s="107" t="s">
        <v>134</v>
      </c>
      <c r="C81" s="108"/>
      <c r="D81" s="107"/>
      <c r="E81" s="56"/>
      <c r="F81" s="56"/>
      <c r="G81" s="56"/>
      <c r="H81" s="91">
        <f>H80</f>
        <v>115.928208</v>
      </c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145">
        <f>U80</f>
        <v>115928.20799999997</v>
      </c>
    </row>
    <row r="82" spans="1:21" s="19" customFormat="1">
      <c r="A82" s="100"/>
      <c r="B82" s="107" t="s">
        <v>135</v>
      </c>
      <c r="C82" s="109"/>
      <c r="D82" s="110"/>
      <c r="E82" s="111"/>
      <c r="F82" s="111"/>
      <c r="G82" s="111"/>
      <c r="H82" s="91">
        <f>SUM(H81+H79+H76+H53+H42+H33+H22)</f>
        <v>11548.025914330599</v>
      </c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45">
        <f>SUM(U81+U79+U76+U53+U42+U33+U22)*1.064</f>
        <v>1332638.9768502384</v>
      </c>
    </row>
    <row r="83" spans="1:21" s="140" customFormat="1" ht="51" customHeight="1">
      <c r="A83" s="105"/>
      <c r="B83" s="84"/>
      <c r="C83" s="28"/>
      <c r="D83" s="106"/>
      <c r="E83" s="65"/>
      <c r="F83" s="65"/>
      <c r="G83" s="65"/>
      <c r="H83" s="139"/>
      <c r="I83" s="65"/>
      <c r="J83" s="65"/>
      <c r="K83" s="65"/>
      <c r="L83" s="65"/>
      <c r="M83" s="65"/>
      <c r="N83" s="65"/>
      <c r="O83" s="65"/>
      <c r="P83" s="65"/>
      <c r="Q83" s="65"/>
      <c r="R83" s="155"/>
      <c r="S83" s="155"/>
      <c r="T83" s="155"/>
      <c r="U83" s="154" t="s">
        <v>220</v>
      </c>
    </row>
    <row r="84" spans="1:21">
      <c r="A84" s="105"/>
      <c r="B84" s="106" t="s">
        <v>136</v>
      </c>
      <c r="C84" s="28"/>
      <c r="D84" s="106"/>
      <c r="E84" s="65"/>
      <c r="F84" s="65"/>
      <c r="G84" s="65" t="s">
        <v>137</v>
      </c>
      <c r="H84" s="112">
        <f>E80</f>
        <v>5926.8</v>
      </c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</row>
    <row r="85" spans="1:21" s="19" customFormat="1">
      <c r="A85" s="100"/>
      <c r="B85" s="110" t="s">
        <v>138</v>
      </c>
      <c r="C85" s="109"/>
      <c r="D85" s="110"/>
      <c r="E85" s="111"/>
      <c r="F85" s="111"/>
      <c r="G85" s="111"/>
      <c r="H85" s="113">
        <f>SUM(H82/H84/12*1000)</f>
        <v>162.37016482096294</v>
      </c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46"/>
    </row>
    <row r="86" spans="1:21">
      <c r="A86" s="105"/>
      <c r="B86" s="106"/>
      <c r="C86" s="28"/>
      <c r="D86" s="106"/>
      <c r="E86" s="65"/>
      <c r="F86" s="65"/>
      <c r="G86" s="65"/>
      <c r="H86" s="114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147"/>
    </row>
    <row r="87" spans="1:21">
      <c r="A87" s="105"/>
      <c r="B87" s="84" t="s">
        <v>139</v>
      </c>
      <c r="C87" s="28"/>
      <c r="D87" s="106"/>
      <c r="E87" s="65"/>
      <c r="F87" s="65"/>
      <c r="G87" s="65"/>
      <c r="H87" s="65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</row>
    <row r="88" spans="1:21" ht="25.5">
      <c r="A88" s="29" t="s">
        <v>160</v>
      </c>
      <c r="B88" s="22" t="s">
        <v>161</v>
      </c>
      <c r="C88" s="28" t="s">
        <v>162</v>
      </c>
      <c r="D88" s="106"/>
      <c r="E88" s="65"/>
      <c r="F88" s="65">
        <v>3</v>
      </c>
      <c r="G88" s="65">
        <v>265.7</v>
      </c>
      <c r="H88" s="65">
        <f t="shared" ref="H88" si="10">G88*F88/1000</f>
        <v>0.79709999999999992</v>
      </c>
      <c r="I88" s="46">
        <f>1*G88</f>
        <v>265.7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f>G88</f>
        <v>265.7</v>
      </c>
      <c r="R88" s="46">
        <v>0</v>
      </c>
      <c r="S88" s="46">
        <f>G88</f>
        <v>265.7</v>
      </c>
      <c r="T88" s="46">
        <v>0</v>
      </c>
      <c r="U88" s="46">
        <f>SUM(I88:T88)</f>
        <v>797.09999999999991</v>
      </c>
    </row>
    <row r="89" spans="1:21">
      <c r="A89" s="31" t="s">
        <v>202</v>
      </c>
      <c r="B89" s="22" t="s">
        <v>176</v>
      </c>
      <c r="C89" s="28" t="s">
        <v>48</v>
      </c>
      <c r="D89" s="106"/>
      <c r="E89" s="65"/>
      <c r="F89" s="65">
        <v>1</v>
      </c>
      <c r="G89" s="66">
        <v>74.709999999999994</v>
      </c>
      <c r="H89" s="65">
        <f t="shared" ref="H89" si="11">G89*F89/1000</f>
        <v>7.4709999999999999E-2</v>
      </c>
      <c r="I89" s="46">
        <f>G89*1</f>
        <v>74.709999999999994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46">
        <f>SUM(I89:T89)</f>
        <v>74.709999999999994</v>
      </c>
    </row>
    <row r="90" spans="1:21" ht="25.5">
      <c r="A90" s="137" t="s">
        <v>193</v>
      </c>
      <c r="B90" s="22" t="s">
        <v>192</v>
      </c>
      <c r="C90" s="30" t="s">
        <v>97</v>
      </c>
      <c r="D90" s="106"/>
      <c r="E90" s="65"/>
      <c r="F90" s="65">
        <v>1</v>
      </c>
      <c r="G90" s="66">
        <v>1992.08</v>
      </c>
      <c r="H90" s="143">
        <f t="shared" ref="H90:H116" si="12">G90*F90/1000</f>
        <v>1.9920799999999999</v>
      </c>
      <c r="I90" s="46">
        <v>0</v>
      </c>
      <c r="J90" s="46">
        <v>0</v>
      </c>
      <c r="K90" s="46">
        <f>G90</f>
        <v>1992.08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46">
        <f>SUM(I90:T90)</f>
        <v>1992.08</v>
      </c>
    </row>
    <row r="91" spans="1:21" ht="25.5">
      <c r="A91" s="138" t="s">
        <v>195</v>
      </c>
      <c r="B91" s="25" t="s">
        <v>194</v>
      </c>
      <c r="C91" s="138" t="s">
        <v>97</v>
      </c>
      <c r="D91" s="106"/>
      <c r="E91" s="65"/>
      <c r="F91" s="65">
        <v>1331</v>
      </c>
      <c r="G91" s="66">
        <v>46.33</v>
      </c>
      <c r="H91" s="143">
        <f>G91*F91/1000</f>
        <v>61.665229999999994</v>
      </c>
      <c r="I91" s="46">
        <f>G91*121</f>
        <v>5605.9299999999994</v>
      </c>
      <c r="J91" s="46">
        <v>0</v>
      </c>
      <c r="K91" s="46">
        <f>G91*121</f>
        <v>5605.9299999999994</v>
      </c>
      <c r="L91" s="46">
        <f>G91*121</f>
        <v>5605.9299999999994</v>
      </c>
      <c r="M91" s="46">
        <f>G91*121</f>
        <v>5605.9299999999994</v>
      </c>
      <c r="N91" s="46">
        <f>G91*121</f>
        <v>5605.9299999999994</v>
      </c>
      <c r="O91" s="46">
        <f>G91*121</f>
        <v>5605.9299999999994</v>
      </c>
      <c r="P91" s="46">
        <f>G91*121</f>
        <v>5605.9299999999994</v>
      </c>
      <c r="Q91" s="46">
        <f>G91*121</f>
        <v>5605.9299999999994</v>
      </c>
      <c r="R91" s="46">
        <f>G91*121</f>
        <v>5605.9299999999994</v>
      </c>
      <c r="S91" s="46">
        <f>G91*121</f>
        <v>5605.9299999999994</v>
      </c>
      <c r="T91" s="46">
        <f>G91*121</f>
        <v>5605.9299999999994</v>
      </c>
      <c r="U91" s="46">
        <f>SUM(I91:T91)</f>
        <v>61665.229999999996</v>
      </c>
    </row>
    <row r="92" spans="1:21">
      <c r="A92" s="138" t="s">
        <v>159</v>
      </c>
      <c r="B92" s="25" t="s">
        <v>196</v>
      </c>
      <c r="C92" s="138" t="s">
        <v>105</v>
      </c>
      <c r="D92" s="106"/>
      <c r="E92" s="65"/>
      <c r="F92" s="65">
        <v>1.6E-2</v>
      </c>
      <c r="G92" s="66">
        <v>3402</v>
      </c>
      <c r="H92" s="143">
        <f t="shared" si="12"/>
        <v>5.4432000000000001E-2</v>
      </c>
      <c r="I92" s="46">
        <f>G92*0.016</f>
        <v>54.432000000000002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46">
        <f>SUM(I92:T92)</f>
        <v>54.432000000000002</v>
      </c>
    </row>
    <row r="93" spans="1:21" ht="25.5">
      <c r="A93" s="30" t="s">
        <v>197</v>
      </c>
      <c r="B93" s="22" t="s">
        <v>198</v>
      </c>
      <c r="C93" s="30" t="s">
        <v>52</v>
      </c>
      <c r="D93" s="106"/>
      <c r="E93" s="65"/>
      <c r="F93" s="65">
        <v>0.3</v>
      </c>
      <c r="G93" s="66">
        <v>3917.57</v>
      </c>
      <c r="H93" s="143">
        <f t="shared" si="12"/>
        <v>1.175271</v>
      </c>
      <c r="I93" s="46">
        <f>G93*0.3</f>
        <v>1175.271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0</v>
      </c>
      <c r="U93" s="46">
        <f t="shared" ref="U93" si="13">SUM(I93:T93)</f>
        <v>1175.271</v>
      </c>
    </row>
    <row r="94" spans="1:21" ht="25.5">
      <c r="A94" s="29" t="s">
        <v>199</v>
      </c>
      <c r="B94" s="141" t="s">
        <v>200</v>
      </c>
      <c r="C94" s="142" t="s">
        <v>201</v>
      </c>
      <c r="D94" s="106"/>
      <c r="E94" s="65"/>
      <c r="F94" s="65">
        <v>4</v>
      </c>
      <c r="G94" s="66">
        <v>350.1</v>
      </c>
      <c r="H94" s="143">
        <f t="shared" si="12"/>
        <v>1.4004000000000001</v>
      </c>
      <c r="I94" s="46">
        <v>0</v>
      </c>
      <c r="J94" s="46">
        <f>G94*2</f>
        <v>700.2</v>
      </c>
      <c r="K94" s="46">
        <v>0</v>
      </c>
      <c r="L94" s="46">
        <f>G94</f>
        <v>350.1</v>
      </c>
      <c r="M94" s="46">
        <v>0</v>
      </c>
      <c r="N94" s="46">
        <f>G94</f>
        <v>350.1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0</v>
      </c>
      <c r="U94" s="46">
        <f t="shared" ref="U94:U98" si="14">SUM(I94:T94)</f>
        <v>1400.4</v>
      </c>
    </row>
    <row r="95" spans="1:21" ht="25.5">
      <c r="A95" s="30" t="s">
        <v>204</v>
      </c>
      <c r="B95" s="22" t="s">
        <v>233</v>
      </c>
      <c r="C95" s="30" t="s">
        <v>203</v>
      </c>
      <c r="D95" s="106"/>
      <c r="E95" s="65"/>
      <c r="F95" s="65">
        <v>14</v>
      </c>
      <c r="G95" s="66">
        <v>169.85</v>
      </c>
      <c r="H95" s="143">
        <f t="shared" si="12"/>
        <v>2.3778999999999999</v>
      </c>
      <c r="I95" s="46">
        <v>0</v>
      </c>
      <c r="J95" s="46">
        <f>G95</f>
        <v>169.85</v>
      </c>
      <c r="K95" s="46">
        <f>G95</f>
        <v>169.85</v>
      </c>
      <c r="L95" s="46">
        <f>G95</f>
        <v>169.85</v>
      </c>
      <c r="M95" s="46">
        <v>0</v>
      </c>
      <c r="N95" s="46">
        <f>G95</f>
        <v>169.85</v>
      </c>
      <c r="O95" s="46">
        <f>G95</f>
        <v>169.85</v>
      </c>
      <c r="P95" s="46">
        <f>G95</f>
        <v>169.85</v>
      </c>
      <c r="Q95" s="46">
        <f>G95</f>
        <v>169.85</v>
      </c>
      <c r="R95" s="46">
        <f>G95*2</f>
        <v>339.7</v>
      </c>
      <c r="S95" s="46">
        <f>G95</f>
        <v>169.85</v>
      </c>
      <c r="T95" s="46">
        <f>G95*4</f>
        <v>679.4</v>
      </c>
      <c r="U95" s="46">
        <f t="shared" si="14"/>
        <v>2377.9</v>
      </c>
    </row>
    <row r="96" spans="1:21" ht="25.5">
      <c r="A96" s="29" t="s">
        <v>199</v>
      </c>
      <c r="B96" s="141" t="s">
        <v>211</v>
      </c>
      <c r="C96" s="142" t="s">
        <v>201</v>
      </c>
      <c r="D96" s="106"/>
      <c r="E96" s="65"/>
      <c r="F96" s="65">
        <v>3</v>
      </c>
      <c r="G96" s="66">
        <v>1678.06</v>
      </c>
      <c r="H96" s="143">
        <f t="shared" si="12"/>
        <v>5.0341800000000001</v>
      </c>
      <c r="I96" s="46">
        <v>0</v>
      </c>
      <c r="J96" s="46">
        <v>0</v>
      </c>
      <c r="K96" s="46">
        <f>G96</f>
        <v>1678.06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f>G96*2</f>
        <v>3356.12</v>
      </c>
      <c r="S96" s="46">
        <v>0</v>
      </c>
      <c r="T96" s="46">
        <v>0</v>
      </c>
      <c r="U96" s="46">
        <f t="shared" si="14"/>
        <v>5034.18</v>
      </c>
    </row>
    <row r="97" spans="1:21" ht="33.75" customHeight="1">
      <c r="A97" s="138" t="s">
        <v>91</v>
      </c>
      <c r="B97" s="25" t="s">
        <v>212</v>
      </c>
      <c r="C97" s="138" t="s">
        <v>93</v>
      </c>
      <c r="D97" s="106"/>
      <c r="E97" s="65"/>
      <c r="F97" s="65">
        <v>0.04</v>
      </c>
      <c r="G97" s="66">
        <v>3105.72</v>
      </c>
      <c r="H97" s="152">
        <f t="shared" si="12"/>
        <v>0.12422879999999999</v>
      </c>
      <c r="I97" s="46">
        <v>0</v>
      </c>
      <c r="J97" s="46">
        <v>0</v>
      </c>
      <c r="K97" s="46">
        <v>0</v>
      </c>
      <c r="L97" s="46">
        <f>G97*0.02</f>
        <v>62.114399999999996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f>G97*0.02</f>
        <v>62.114399999999996</v>
      </c>
      <c r="U97" s="46">
        <f t="shared" si="14"/>
        <v>124.22879999999999</v>
      </c>
    </row>
    <row r="98" spans="1:21" ht="39" customHeight="1">
      <c r="A98" s="30" t="s">
        <v>213</v>
      </c>
      <c r="B98" s="22" t="s">
        <v>214</v>
      </c>
      <c r="C98" s="30" t="s">
        <v>215</v>
      </c>
      <c r="D98" s="106"/>
      <c r="E98" s="65"/>
      <c r="F98" s="65">
        <v>3</v>
      </c>
      <c r="G98" s="66">
        <v>46.98</v>
      </c>
      <c r="H98" s="152">
        <f t="shared" si="12"/>
        <v>0.14094000000000001</v>
      </c>
      <c r="I98" s="46">
        <v>0</v>
      </c>
      <c r="J98" s="46">
        <v>0</v>
      </c>
      <c r="K98" s="46">
        <v>0</v>
      </c>
      <c r="L98" s="46">
        <f>G98</f>
        <v>46.98</v>
      </c>
      <c r="M98" s="46">
        <v>0</v>
      </c>
      <c r="N98" s="46">
        <f>G98</f>
        <v>46.98</v>
      </c>
      <c r="O98" s="46">
        <f>G98</f>
        <v>46.98</v>
      </c>
      <c r="P98" s="46">
        <v>0</v>
      </c>
      <c r="Q98" s="46">
        <v>0</v>
      </c>
      <c r="R98" s="46">
        <v>0</v>
      </c>
      <c r="S98" s="46">
        <v>0</v>
      </c>
      <c r="T98" s="46">
        <v>0</v>
      </c>
      <c r="U98" s="46">
        <f t="shared" si="14"/>
        <v>140.94</v>
      </c>
    </row>
    <row r="99" spans="1:21" ht="24.75" customHeight="1">
      <c r="A99" s="30" t="s">
        <v>217</v>
      </c>
      <c r="B99" s="22" t="s">
        <v>216</v>
      </c>
      <c r="C99" s="30" t="s">
        <v>97</v>
      </c>
      <c r="D99" s="106"/>
      <c r="E99" s="65"/>
      <c r="F99" s="65">
        <v>1</v>
      </c>
      <c r="G99" s="66">
        <v>531.91999999999996</v>
      </c>
      <c r="H99" s="153">
        <f t="shared" si="12"/>
        <v>0.53191999999999995</v>
      </c>
      <c r="I99" s="46">
        <v>0</v>
      </c>
      <c r="J99" s="46">
        <v>0</v>
      </c>
      <c r="K99" s="46">
        <v>0</v>
      </c>
      <c r="L99" s="46">
        <v>0</v>
      </c>
      <c r="M99" s="46">
        <f>G99</f>
        <v>531.91999999999996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0</v>
      </c>
      <c r="U99" s="46">
        <f t="shared" ref="U99:U112" si="15">SUM(I99:T99)</f>
        <v>531.91999999999996</v>
      </c>
    </row>
    <row r="100" spans="1:21" ht="20.25" customHeight="1">
      <c r="A100" s="30" t="s">
        <v>159</v>
      </c>
      <c r="B100" s="22" t="s">
        <v>218</v>
      </c>
      <c r="C100" s="30" t="s">
        <v>219</v>
      </c>
      <c r="D100" s="106"/>
      <c r="E100" s="65"/>
      <c r="F100" s="65">
        <v>1</v>
      </c>
      <c r="G100" s="66">
        <v>3186</v>
      </c>
      <c r="H100" s="153">
        <f t="shared" si="12"/>
        <v>3.1859999999999999</v>
      </c>
      <c r="I100" s="46">
        <v>0</v>
      </c>
      <c r="J100" s="46">
        <v>0</v>
      </c>
      <c r="K100" s="46">
        <v>0</v>
      </c>
      <c r="L100" s="46">
        <v>0</v>
      </c>
      <c r="M100" s="46">
        <f>G100</f>
        <v>3186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f t="shared" si="15"/>
        <v>3186</v>
      </c>
    </row>
    <row r="101" spans="1:21" ht="24.75" customHeight="1">
      <c r="A101" s="137" t="s">
        <v>228</v>
      </c>
      <c r="B101" s="22" t="s">
        <v>227</v>
      </c>
      <c r="C101" s="30" t="s">
        <v>97</v>
      </c>
      <c r="D101" s="106"/>
      <c r="E101" s="65"/>
      <c r="F101" s="65">
        <v>4</v>
      </c>
      <c r="G101" s="66">
        <v>72.290000000000006</v>
      </c>
      <c r="H101" s="153">
        <f t="shared" si="12"/>
        <v>0.28916000000000003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>G101</f>
        <v>72.290000000000006</v>
      </c>
      <c r="O101" s="46">
        <f>G101*3</f>
        <v>216.87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f t="shared" si="15"/>
        <v>289.16000000000003</v>
      </c>
    </row>
    <row r="102" spans="1:21" ht="24.75" customHeight="1">
      <c r="A102" s="137" t="s">
        <v>199</v>
      </c>
      <c r="B102" s="22" t="s">
        <v>229</v>
      </c>
      <c r="C102" s="30" t="s">
        <v>230</v>
      </c>
      <c r="D102" s="106"/>
      <c r="E102" s="65"/>
      <c r="F102" s="65">
        <v>3</v>
      </c>
      <c r="G102" s="66">
        <v>1372</v>
      </c>
      <c r="H102" s="153">
        <f t="shared" si="12"/>
        <v>4.1159999999999997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>G102</f>
        <v>1372</v>
      </c>
      <c r="O102" s="46">
        <v>0</v>
      </c>
      <c r="P102" s="46">
        <f>G102*2</f>
        <v>2744</v>
      </c>
      <c r="Q102" s="46">
        <v>0</v>
      </c>
      <c r="R102" s="46">
        <v>0</v>
      </c>
      <c r="S102" s="46">
        <v>0</v>
      </c>
      <c r="T102" s="46">
        <v>0</v>
      </c>
      <c r="U102" s="46">
        <f t="shared" si="15"/>
        <v>4116</v>
      </c>
    </row>
    <row r="103" spans="1:21" ht="24.75" customHeight="1">
      <c r="A103" s="30" t="s">
        <v>232</v>
      </c>
      <c r="B103" s="22" t="s">
        <v>231</v>
      </c>
      <c r="C103" s="30" t="s">
        <v>97</v>
      </c>
      <c r="D103" s="106"/>
      <c r="E103" s="65"/>
      <c r="F103" s="65">
        <v>3</v>
      </c>
      <c r="G103" s="66">
        <v>164.67</v>
      </c>
      <c r="H103" s="153">
        <f t="shared" si="12"/>
        <v>0.49401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>G103</f>
        <v>164.67</v>
      </c>
      <c r="O103" s="46">
        <v>0</v>
      </c>
      <c r="P103" s="46">
        <f>G103</f>
        <v>164.67</v>
      </c>
      <c r="Q103" s="46">
        <v>0</v>
      </c>
      <c r="R103" s="46">
        <f>G103</f>
        <v>164.67</v>
      </c>
      <c r="S103" s="46">
        <v>0</v>
      </c>
      <c r="T103" s="46">
        <v>0</v>
      </c>
      <c r="U103" s="46">
        <f t="shared" si="15"/>
        <v>494.01</v>
      </c>
    </row>
    <row r="104" spans="1:21" ht="41.25" customHeight="1">
      <c r="A104" s="30" t="s">
        <v>235</v>
      </c>
      <c r="B104" s="22" t="s">
        <v>234</v>
      </c>
      <c r="C104" s="30" t="s">
        <v>215</v>
      </c>
      <c r="D104" s="106"/>
      <c r="E104" s="65"/>
      <c r="F104" s="65">
        <v>4</v>
      </c>
      <c r="G104" s="66">
        <v>112.02</v>
      </c>
      <c r="H104" s="153">
        <f t="shared" si="12"/>
        <v>0.44807999999999998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f>G104*4</f>
        <v>448.08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0</v>
      </c>
      <c r="U104" s="46">
        <f t="shared" si="15"/>
        <v>448.08</v>
      </c>
    </row>
    <row r="105" spans="1:21" ht="24" customHeight="1">
      <c r="A105" s="30" t="s">
        <v>236</v>
      </c>
      <c r="B105" s="22" t="s">
        <v>237</v>
      </c>
      <c r="C105" s="30" t="s">
        <v>238</v>
      </c>
      <c r="D105" s="106"/>
      <c r="E105" s="65"/>
      <c r="F105" s="65">
        <v>2</v>
      </c>
      <c r="G105" s="66">
        <v>265.92</v>
      </c>
      <c r="H105" s="153">
        <f t="shared" si="12"/>
        <v>0.53183999999999998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f>G105</f>
        <v>265.92</v>
      </c>
      <c r="S105" s="46">
        <v>0</v>
      </c>
      <c r="T105" s="46">
        <f>G105</f>
        <v>265.92</v>
      </c>
      <c r="U105" s="46">
        <f t="shared" si="15"/>
        <v>531.84</v>
      </c>
    </row>
    <row r="106" spans="1:21" ht="24" customHeight="1">
      <c r="A106" s="30" t="s">
        <v>239</v>
      </c>
      <c r="B106" s="22" t="s">
        <v>240</v>
      </c>
      <c r="C106" s="30" t="s">
        <v>238</v>
      </c>
      <c r="D106" s="106"/>
      <c r="E106" s="65"/>
      <c r="F106" s="65">
        <v>2</v>
      </c>
      <c r="G106" s="66">
        <v>84.32</v>
      </c>
      <c r="H106" s="153">
        <f t="shared" si="12"/>
        <v>0.16863999999999998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f>G106</f>
        <v>84.32</v>
      </c>
      <c r="S106" s="46">
        <v>0</v>
      </c>
      <c r="T106" s="46">
        <f>G106</f>
        <v>84.32</v>
      </c>
      <c r="U106" s="46">
        <f t="shared" si="15"/>
        <v>168.64</v>
      </c>
    </row>
    <row r="107" spans="1:21" ht="24" customHeight="1">
      <c r="A107" s="137" t="s">
        <v>242</v>
      </c>
      <c r="B107" s="22" t="s">
        <v>241</v>
      </c>
      <c r="C107" s="30" t="s">
        <v>97</v>
      </c>
      <c r="D107" s="106"/>
      <c r="E107" s="65"/>
      <c r="F107" s="65">
        <v>1</v>
      </c>
      <c r="G107" s="66">
        <v>2694.84</v>
      </c>
      <c r="H107" s="153">
        <f t="shared" si="12"/>
        <v>2.6948400000000001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f>G107</f>
        <v>2694.84</v>
      </c>
      <c r="O107" s="46">
        <v>0</v>
      </c>
      <c r="P107" s="46">
        <v>0</v>
      </c>
      <c r="Q107" s="46">
        <v>0</v>
      </c>
      <c r="R107" s="46">
        <f>0</f>
        <v>0</v>
      </c>
      <c r="S107" s="46">
        <v>0</v>
      </c>
      <c r="T107" s="46">
        <v>0</v>
      </c>
      <c r="U107" s="46">
        <f t="shared" si="15"/>
        <v>2694.84</v>
      </c>
    </row>
    <row r="108" spans="1:21" ht="24" customHeight="1">
      <c r="A108" s="30" t="s">
        <v>245</v>
      </c>
      <c r="B108" s="22" t="s">
        <v>243</v>
      </c>
      <c r="C108" s="30" t="s">
        <v>244</v>
      </c>
      <c r="D108" s="106"/>
      <c r="E108" s="65"/>
      <c r="F108" s="65">
        <v>1</v>
      </c>
      <c r="G108" s="66">
        <v>3040.049</v>
      </c>
      <c r="H108" s="153">
        <f t="shared" si="12"/>
        <v>3.0400489999999998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f>G108</f>
        <v>3040.049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46">
        <f t="shared" si="15"/>
        <v>3040.049</v>
      </c>
    </row>
    <row r="109" spans="1:21" ht="24" customHeight="1">
      <c r="A109" s="137" t="s">
        <v>247</v>
      </c>
      <c r="B109" s="22" t="s">
        <v>246</v>
      </c>
      <c r="C109" s="30" t="s">
        <v>244</v>
      </c>
      <c r="D109" s="106"/>
      <c r="E109" s="65"/>
      <c r="F109" s="65">
        <v>5</v>
      </c>
      <c r="G109" s="66">
        <v>511.54</v>
      </c>
      <c r="H109" s="153">
        <f t="shared" si="12"/>
        <v>2.5577000000000001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f>G109</f>
        <v>511.54</v>
      </c>
      <c r="O109" s="46">
        <f>G109</f>
        <v>511.54</v>
      </c>
      <c r="P109" s="46">
        <v>0</v>
      </c>
      <c r="Q109" s="46">
        <f>G109*3</f>
        <v>1534.6200000000001</v>
      </c>
      <c r="R109" s="46">
        <v>0</v>
      </c>
      <c r="S109" s="46">
        <v>0</v>
      </c>
      <c r="T109" s="46">
        <v>0</v>
      </c>
      <c r="U109" s="46">
        <f t="shared" si="15"/>
        <v>2557.7000000000003</v>
      </c>
    </row>
    <row r="110" spans="1:21" ht="24" customHeight="1">
      <c r="A110" s="137" t="s">
        <v>159</v>
      </c>
      <c r="B110" s="22" t="s">
        <v>248</v>
      </c>
      <c r="C110" s="30" t="s">
        <v>249</v>
      </c>
      <c r="D110" s="106"/>
      <c r="E110" s="65"/>
      <c r="F110" s="65">
        <v>28</v>
      </c>
      <c r="G110" s="66">
        <v>2057</v>
      </c>
      <c r="H110" s="153">
        <f t="shared" si="12"/>
        <v>57.595999999999997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f>G110*3</f>
        <v>6171</v>
      </c>
      <c r="R110" s="46">
        <v>0</v>
      </c>
      <c r="S110" s="46">
        <f>G110*25</f>
        <v>51425</v>
      </c>
      <c r="T110" s="46">
        <v>0</v>
      </c>
      <c r="U110" s="46">
        <f t="shared" si="15"/>
        <v>57596</v>
      </c>
    </row>
    <row r="111" spans="1:21" ht="24" customHeight="1">
      <c r="A111" s="137" t="s">
        <v>251</v>
      </c>
      <c r="B111" s="22" t="s">
        <v>250</v>
      </c>
      <c r="C111" s="30" t="s">
        <v>244</v>
      </c>
      <c r="D111" s="106"/>
      <c r="E111" s="65"/>
      <c r="F111" s="65">
        <v>2</v>
      </c>
      <c r="G111" s="66">
        <v>696.86</v>
      </c>
      <c r="H111" s="153">
        <f t="shared" si="12"/>
        <v>1.3937200000000001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f>G111*2</f>
        <v>1393.72</v>
      </c>
      <c r="R111" s="46">
        <v>0</v>
      </c>
      <c r="S111" s="46">
        <v>0</v>
      </c>
      <c r="T111" s="46">
        <v>0</v>
      </c>
      <c r="U111" s="46">
        <f t="shared" si="15"/>
        <v>1393.72</v>
      </c>
    </row>
    <row r="112" spans="1:21" ht="24" customHeight="1">
      <c r="A112" s="30" t="s">
        <v>253</v>
      </c>
      <c r="B112" s="22" t="s">
        <v>252</v>
      </c>
      <c r="C112" s="30" t="s">
        <v>162</v>
      </c>
      <c r="D112" s="106"/>
      <c r="E112" s="65"/>
      <c r="F112" s="65">
        <v>1</v>
      </c>
      <c r="G112" s="66">
        <v>179.12</v>
      </c>
      <c r="H112" s="153">
        <f t="shared" si="12"/>
        <v>0.17912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f>G112</f>
        <v>179.12</v>
      </c>
      <c r="Q112" s="46">
        <v>0</v>
      </c>
      <c r="R112" s="46">
        <v>0</v>
      </c>
      <c r="S112" s="46">
        <v>0</v>
      </c>
      <c r="T112" s="46">
        <v>0</v>
      </c>
      <c r="U112" s="46">
        <f t="shared" si="15"/>
        <v>179.12</v>
      </c>
    </row>
    <row r="113" spans="1:21" ht="39" customHeight="1">
      <c r="A113" s="156" t="s">
        <v>255</v>
      </c>
      <c r="B113" s="22" t="s">
        <v>256</v>
      </c>
      <c r="C113" s="30" t="s">
        <v>254</v>
      </c>
      <c r="D113" s="106"/>
      <c r="E113" s="65"/>
      <c r="F113" s="65">
        <v>0.05</v>
      </c>
      <c r="G113" s="66">
        <v>8527.7199999999993</v>
      </c>
      <c r="H113" s="153">
        <f t="shared" si="12"/>
        <v>0.42638599999999999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f>G113*0.05</f>
        <v>426.38599999999997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f>SUM(I113:T113)</f>
        <v>426.38599999999997</v>
      </c>
    </row>
    <row r="114" spans="1:21" ht="19.5" customHeight="1">
      <c r="A114" s="156" t="s">
        <v>199</v>
      </c>
      <c r="B114" s="22" t="s">
        <v>257</v>
      </c>
      <c r="C114" s="30" t="s">
        <v>262</v>
      </c>
      <c r="D114" s="106"/>
      <c r="E114" s="65"/>
      <c r="F114" s="65">
        <v>49</v>
      </c>
      <c r="G114" s="66">
        <v>3551.42</v>
      </c>
      <c r="H114" s="153">
        <f t="shared" si="12"/>
        <v>174.01958000000002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f>G114*24</f>
        <v>85234.08</v>
      </c>
      <c r="T114" s="46">
        <f>G114*20</f>
        <v>71028.399999999994</v>
      </c>
      <c r="U114" s="46">
        <f>SUM(I114:T114)</f>
        <v>156262.47999999998</v>
      </c>
    </row>
    <row r="115" spans="1:21" ht="25.5" customHeight="1">
      <c r="A115" s="157" t="s">
        <v>259</v>
      </c>
      <c r="B115" s="158" t="s">
        <v>258</v>
      </c>
      <c r="C115" s="159" t="s">
        <v>97</v>
      </c>
      <c r="D115" s="106"/>
      <c r="E115" s="65"/>
      <c r="F115" s="65">
        <v>1</v>
      </c>
      <c r="G115" s="66">
        <v>270.08999999999997</v>
      </c>
      <c r="H115" s="153">
        <f t="shared" si="12"/>
        <v>0.27009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f>G115</f>
        <v>270.08999999999997</v>
      </c>
      <c r="T115" s="46">
        <v>0</v>
      </c>
      <c r="U115" s="46">
        <f>SUM(I115:T115)</f>
        <v>270.08999999999997</v>
      </c>
    </row>
    <row r="116" spans="1:21" ht="25.5" customHeight="1">
      <c r="A116" s="156" t="s">
        <v>261</v>
      </c>
      <c r="B116" s="160" t="s">
        <v>260</v>
      </c>
      <c r="C116" s="161" t="s">
        <v>23</v>
      </c>
      <c r="D116" s="106"/>
      <c r="E116" s="65"/>
      <c r="F116" s="65">
        <v>0.25</v>
      </c>
      <c r="G116" s="66">
        <v>2846.41</v>
      </c>
      <c r="H116" s="153">
        <f t="shared" si="12"/>
        <v>0.71160249999999992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f>G116*0.25</f>
        <v>711.60249999999996</v>
      </c>
      <c r="T116" s="46">
        <v>0</v>
      </c>
      <c r="U116" s="46">
        <f>SUM(I116:T116)</f>
        <v>711.60249999999996</v>
      </c>
    </row>
    <row r="117" spans="1:21" s="19" customFormat="1">
      <c r="A117" s="115"/>
      <c r="B117" s="116" t="s">
        <v>140</v>
      </c>
      <c r="C117" s="115"/>
      <c r="D117" s="115"/>
      <c r="E117" s="111"/>
      <c r="F117" s="111"/>
      <c r="G117" s="111"/>
      <c r="H117" s="57">
        <f>SUM(H88:H116)</f>
        <v>327.49120930000004</v>
      </c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56">
        <f>SUM(U88:U116)</f>
        <v>309734.10929999995</v>
      </c>
    </row>
    <row r="118" spans="1:21">
      <c r="A118" s="117"/>
      <c r="B118" s="118"/>
      <c r="C118" s="117"/>
      <c r="D118" s="117"/>
      <c r="E118" s="65"/>
      <c r="F118" s="65"/>
      <c r="G118" s="65"/>
      <c r="H118" s="119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148"/>
    </row>
    <row r="119" spans="1:21" ht="12" customHeight="1">
      <c r="A119" s="105"/>
      <c r="B119" s="18" t="s">
        <v>141</v>
      </c>
      <c r="C119" s="28"/>
      <c r="D119" s="106"/>
      <c r="E119" s="65"/>
      <c r="F119" s="65"/>
      <c r="G119" s="65"/>
      <c r="H119" s="120">
        <f>H117/E120/12*1000</f>
        <v>4.6046659425547238</v>
      </c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148"/>
    </row>
    <row r="120" spans="1:21" s="19" customFormat="1">
      <c r="A120" s="121"/>
      <c r="B120" s="122" t="s">
        <v>142</v>
      </c>
      <c r="C120" s="123"/>
      <c r="D120" s="122"/>
      <c r="E120" s="124">
        <v>5926.8</v>
      </c>
      <c r="F120" s="125">
        <f>SUM(E120*12)</f>
        <v>71121.600000000006</v>
      </c>
      <c r="G120" s="126">
        <f>H85+H119</f>
        <v>166.97483076351767</v>
      </c>
      <c r="H120" s="127">
        <f>SUM(F120*G120/1000)</f>
        <v>11875.5171236306</v>
      </c>
      <c r="I120" s="111">
        <f t="shared" ref="I120:R120" si="16">SUM(I11:I119)</f>
        <v>107892.12941049997</v>
      </c>
      <c r="J120" s="111">
        <f t="shared" si="16"/>
        <v>112307.86427049999</v>
      </c>
      <c r="K120" s="111">
        <f t="shared" si="16"/>
        <v>109036.81543049998</v>
      </c>
      <c r="L120" s="111">
        <f t="shared" si="16"/>
        <v>120567.25305180001</v>
      </c>
      <c r="M120" s="111">
        <f t="shared" si="16"/>
        <v>209870.40935550004</v>
      </c>
      <c r="N120" s="111">
        <f t="shared" si="16"/>
        <v>96796.844965499986</v>
      </c>
      <c r="O120" s="111">
        <f t="shared" si="16"/>
        <v>88175.306353499982</v>
      </c>
      <c r="P120" s="111">
        <f t="shared" si="16"/>
        <v>105468.38035349999</v>
      </c>
      <c r="Q120" s="111">
        <f t="shared" si="16"/>
        <v>105108.90603349997</v>
      </c>
      <c r="R120" s="111">
        <f t="shared" si="16"/>
        <v>96555.889574799992</v>
      </c>
      <c r="S120" s="111">
        <f>SUM(S11:S119)</f>
        <v>235343.31323049997</v>
      </c>
      <c r="T120" s="111">
        <f>SUM(T11:T119)</f>
        <v>175091.2386705</v>
      </c>
      <c r="U120" s="56">
        <f>U82+U117</f>
        <v>1642373.0861502383</v>
      </c>
    </row>
    <row r="121" spans="1:21">
      <c r="A121" s="35"/>
      <c r="B121" s="35"/>
      <c r="C121" s="35"/>
      <c r="D121" s="35"/>
      <c r="E121" s="128"/>
      <c r="F121" s="128"/>
      <c r="G121" s="128"/>
      <c r="H121" s="128"/>
      <c r="I121" s="128"/>
      <c r="J121" s="128"/>
      <c r="K121" s="128"/>
      <c r="L121" s="128"/>
      <c r="M121" s="35"/>
      <c r="N121" s="128"/>
      <c r="O121" s="35"/>
      <c r="P121" s="35"/>
      <c r="Q121" s="35"/>
      <c r="R121" s="35"/>
      <c r="S121" s="35"/>
      <c r="T121" s="35"/>
      <c r="U121" s="35"/>
    </row>
    <row r="122" spans="1:21">
      <c r="A122" s="35"/>
      <c r="B122" s="35"/>
      <c r="C122" s="35"/>
      <c r="D122" s="35"/>
      <c r="E122" s="128"/>
      <c r="F122" s="128"/>
      <c r="G122" s="128"/>
      <c r="H122" s="128"/>
      <c r="I122" s="128"/>
      <c r="J122" s="129"/>
      <c r="K122" s="130"/>
      <c r="L122" s="129"/>
      <c r="M122" s="128"/>
      <c r="N122" s="35"/>
      <c r="O122" s="35"/>
      <c r="P122" s="35"/>
      <c r="Q122" s="35"/>
      <c r="R122" s="35"/>
      <c r="S122" s="35"/>
      <c r="T122" s="35"/>
      <c r="U122" s="35"/>
    </row>
    <row r="123" spans="1:21" ht="45">
      <c r="A123" s="35"/>
      <c r="B123" s="131" t="s">
        <v>191</v>
      </c>
      <c r="C123" s="166">
        <v>403970</v>
      </c>
      <c r="D123" s="167"/>
      <c r="E123" s="167"/>
      <c r="F123" s="168"/>
      <c r="G123" s="128"/>
      <c r="H123" s="128"/>
      <c r="I123" s="128"/>
      <c r="J123" s="129"/>
      <c r="K123" s="130"/>
      <c r="L123" s="129"/>
      <c r="M123" s="128"/>
      <c r="N123" s="35"/>
      <c r="O123" s="35"/>
      <c r="P123" s="35"/>
      <c r="Q123" s="35"/>
      <c r="R123" s="35"/>
      <c r="S123" s="35"/>
      <c r="T123" s="35"/>
      <c r="U123" s="35"/>
    </row>
    <row r="124" spans="1:21" ht="30">
      <c r="A124" s="35"/>
      <c r="B124" s="23" t="s">
        <v>221</v>
      </c>
      <c r="C124" s="166">
        <v>1537856.88</v>
      </c>
      <c r="D124" s="167"/>
      <c r="E124" s="167"/>
      <c r="F124" s="168"/>
      <c r="G124" s="128"/>
      <c r="H124" s="128"/>
      <c r="I124" s="128"/>
      <c r="J124" s="129"/>
      <c r="K124" s="130"/>
      <c r="L124" s="129"/>
      <c r="M124" s="128"/>
      <c r="N124" s="35"/>
      <c r="O124" s="35"/>
      <c r="P124" s="35"/>
      <c r="Q124" s="35"/>
      <c r="R124" s="35"/>
      <c r="S124" s="35"/>
      <c r="T124" s="35"/>
      <c r="U124" s="35"/>
    </row>
    <row r="125" spans="1:21" ht="30">
      <c r="A125" s="35"/>
      <c r="B125" s="23" t="s">
        <v>222</v>
      </c>
      <c r="C125" s="166">
        <f>SUM(U120-U117)</f>
        <v>1332638.9768502384</v>
      </c>
      <c r="D125" s="167"/>
      <c r="E125" s="167"/>
      <c r="F125" s="168"/>
      <c r="G125" s="128"/>
      <c r="H125" s="128"/>
      <c r="I125" s="128"/>
      <c r="J125" s="129"/>
      <c r="K125" s="130"/>
      <c r="L125" s="129"/>
      <c r="M125" s="128"/>
      <c r="N125" s="35"/>
      <c r="O125" s="35"/>
      <c r="P125" s="35"/>
      <c r="Q125" s="35"/>
      <c r="R125" s="35"/>
      <c r="S125" s="35"/>
      <c r="T125" s="35"/>
      <c r="U125" s="35"/>
    </row>
    <row r="126" spans="1:21" ht="30">
      <c r="A126" s="35"/>
      <c r="B126" s="23" t="s">
        <v>223</v>
      </c>
      <c r="C126" s="166">
        <f>SUM(U117)</f>
        <v>309734.10929999995</v>
      </c>
      <c r="D126" s="167"/>
      <c r="E126" s="167"/>
      <c r="F126" s="168"/>
      <c r="G126" s="128"/>
      <c r="H126" s="128"/>
      <c r="I126" s="128"/>
      <c r="J126" s="129"/>
      <c r="K126" s="130"/>
      <c r="L126" s="129"/>
      <c r="M126" s="128"/>
      <c r="N126" s="35"/>
      <c r="O126" s="35"/>
      <c r="P126" s="35"/>
      <c r="Q126" s="35"/>
      <c r="R126" s="35"/>
      <c r="S126" s="35"/>
      <c r="T126" s="35"/>
      <c r="U126" s="35"/>
    </row>
    <row r="127" spans="1:21" ht="18">
      <c r="A127" s="35"/>
      <c r="B127" s="144" t="s">
        <v>224</v>
      </c>
      <c r="C127" s="166">
        <v>1464506.92</v>
      </c>
      <c r="D127" s="167"/>
      <c r="E127" s="167"/>
      <c r="F127" s="168"/>
      <c r="G127" s="35"/>
      <c r="H127" s="132" t="s">
        <v>150</v>
      </c>
      <c r="I127" s="133"/>
      <c r="J127" s="133"/>
      <c r="K127" s="134"/>
      <c r="L127" s="135"/>
      <c r="M127" s="132"/>
      <c r="N127" s="132"/>
      <c r="O127" s="35"/>
      <c r="P127" s="35"/>
      <c r="Q127" s="35"/>
      <c r="R127" s="35"/>
      <c r="S127" s="35"/>
      <c r="T127" s="35"/>
      <c r="U127" s="35"/>
    </row>
    <row r="128" spans="1:21" ht="78.75">
      <c r="A128" s="35"/>
      <c r="B128" s="24" t="s">
        <v>225</v>
      </c>
      <c r="C128" s="169">
        <v>556535.23</v>
      </c>
      <c r="D128" s="170"/>
      <c r="E128" s="170"/>
      <c r="F128" s="171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</row>
    <row r="129" spans="1:21" ht="45">
      <c r="A129" s="35"/>
      <c r="B129" s="136" t="s">
        <v>226</v>
      </c>
      <c r="C129" s="163">
        <f>SUM(U120-C124)+C123</f>
        <v>508486.2061502384</v>
      </c>
      <c r="D129" s="164"/>
      <c r="E129" s="164"/>
      <c r="F129" s="16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</row>
    <row r="131" spans="1:21">
      <c r="J131" s="4"/>
      <c r="K131" s="5"/>
      <c r="L131" s="5"/>
      <c r="M131" s="3"/>
    </row>
    <row r="132" spans="1:21">
      <c r="G132" s="6"/>
      <c r="H132" s="6"/>
    </row>
    <row r="133" spans="1:21">
      <c r="G133" s="7"/>
    </row>
  </sheetData>
  <mergeCells count="12">
    <mergeCell ref="B3:L3"/>
    <mergeCell ref="B4:L4"/>
    <mergeCell ref="B5:L5"/>
    <mergeCell ref="B6:L6"/>
    <mergeCell ref="C123:F123"/>
    <mergeCell ref="W80:Z80"/>
    <mergeCell ref="C129:F129"/>
    <mergeCell ref="C124:F124"/>
    <mergeCell ref="C125:F125"/>
    <mergeCell ref="C126:F126"/>
    <mergeCell ref="C127:F127"/>
    <mergeCell ref="C128:F128"/>
  </mergeCells>
  <pageMargins left="0.31496062992125984" right="0.31496062992125984" top="0.15748031496062992" bottom="0.19685039370078741" header="0.15748031496062992" footer="0.1574803149606299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2016-03-17T07:48:25Z</dcterms:modified>
</cp:coreProperties>
</file>