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20025" windowHeight="7650"/>
  </bookViews>
  <sheets>
    <sheet name="Лерм.,17" sheetId="1" r:id="rId1"/>
  </sheets>
  <definedNames>
    <definedName name="_xlnm.Print_Area" localSheetId="0">'Лерм.,17'!$A$1:$U$118</definedName>
  </definedNames>
  <calcPr calcId="124519"/>
</workbook>
</file>

<file path=xl/calcChain.xml><?xml version="1.0" encoding="utf-8"?>
<calcChain xmlns="http://schemas.openxmlformats.org/spreadsheetml/2006/main">
  <c r="F39" i="1"/>
  <c r="C115"/>
  <c r="T50"/>
  <c r="T51"/>
  <c r="T49"/>
  <c r="U101"/>
  <c r="U102"/>
  <c r="S100"/>
  <c r="U100" s="1"/>
  <c r="H100"/>
  <c r="C116" l="1"/>
  <c r="C113"/>
  <c r="F105"/>
  <c r="H105" s="1"/>
  <c r="F102"/>
  <c r="H102" s="1"/>
  <c r="T104"/>
  <c r="T93"/>
  <c r="T92"/>
  <c r="T103"/>
  <c r="T73"/>
  <c r="S101"/>
  <c r="T91"/>
  <c r="S91"/>
  <c r="R91"/>
  <c r="O91"/>
  <c r="T75"/>
  <c r="S75"/>
  <c r="R75"/>
  <c r="Q75"/>
  <c r="T61"/>
  <c r="T97"/>
  <c r="T90"/>
  <c r="S90"/>
  <c r="S99"/>
  <c r="F99"/>
  <c r="S61"/>
  <c r="S98"/>
  <c r="U98"/>
  <c r="M98"/>
  <c r="H98"/>
  <c r="R61"/>
  <c r="S102" l="1"/>
  <c r="T105"/>
  <c r="U105" s="1"/>
  <c r="U103"/>
  <c r="U99"/>
  <c r="U104"/>
  <c r="U80"/>
  <c r="U58"/>
  <c r="U62"/>
  <c r="U63"/>
  <c r="U64"/>
  <c r="U65"/>
  <c r="U66"/>
  <c r="U67"/>
  <c r="U71"/>
  <c r="U72"/>
  <c r="U73"/>
  <c r="U74"/>
  <c r="U78"/>
  <c r="U37"/>
  <c r="U25"/>
  <c r="U29"/>
  <c r="U30"/>
  <c r="U14"/>
  <c r="U17"/>
  <c r="U18"/>
  <c r="U19"/>
  <c r="U20"/>
  <c r="Q91" l="1"/>
  <c r="Q56"/>
  <c r="Q95"/>
  <c r="P95"/>
  <c r="F95"/>
  <c r="Q92"/>
  <c r="Q90"/>
  <c r="Q97"/>
  <c r="U97" s="1"/>
  <c r="H97"/>
  <c r="Q61"/>
  <c r="Q96"/>
  <c r="U96" s="1"/>
  <c r="H96"/>
  <c r="U95" l="1"/>
  <c r="Q94"/>
  <c r="P75"/>
  <c r="T76"/>
  <c r="S76"/>
  <c r="R76"/>
  <c r="Q76"/>
  <c r="P76"/>
  <c r="P56"/>
  <c r="U56" s="1"/>
  <c r="H95"/>
  <c r="P91" l="1"/>
  <c r="O75"/>
  <c r="U75" s="1"/>
  <c r="U91" l="1"/>
  <c r="P90"/>
  <c r="P94"/>
  <c r="U94" s="1"/>
  <c r="P61"/>
  <c r="O93" l="1"/>
  <c r="U93" s="1"/>
  <c r="O92"/>
  <c r="U92" s="1"/>
  <c r="H91"/>
  <c r="H92"/>
  <c r="O61"/>
  <c r="U61" s="1"/>
  <c r="O90"/>
  <c r="U90" s="1"/>
  <c r="E69"/>
  <c r="F69" s="1"/>
  <c r="T69" l="1"/>
  <c r="P69"/>
  <c r="O69"/>
  <c r="I69"/>
  <c r="K69"/>
  <c r="M69"/>
  <c r="Q69"/>
  <c r="S69"/>
  <c r="H69"/>
  <c r="J69"/>
  <c r="L69"/>
  <c r="R69"/>
  <c r="U69" l="1"/>
  <c r="O76"/>
  <c r="U76" s="1"/>
  <c r="F76"/>
  <c r="H76" s="1"/>
  <c r="F75" l="1"/>
  <c r="H75" s="1"/>
  <c r="F73"/>
  <c r="H72"/>
  <c r="F71"/>
  <c r="H71" s="1"/>
  <c r="F62" l="1"/>
  <c r="F61"/>
  <c r="F59"/>
  <c r="F58"/>
  <c r="H56"/>
  <c r="E49"/>
  <c r="F38"/>
  <c r="H37"/>
  <c r="H40"/>
  <c r="L37"/>
  <c r="F35" l="1"/>
  <c r="H35" s="1"/>
  <c r="F15"/>
  <c r="Q15" s="1"/>
  <c r="U15" s="1"/>
  <c r="F16"/>
  <c r="F28"/>
  <c r="F27"/>
  <c r="E27"/>
  <c r="F26"/>
  <c r="R26" s="1"/>
  <c r="H16" l="1"/>
  <c r="Q16"/>
  <c r="U16" s="1"/>
  <c r="H26"/>
  <c r="M26"/>
  <c r="Q26"/>
  <c r="O26"/>
  <c r="N26"/>
  <c r="P26"/>
  <c r="U26" l="1"/>
  <c r="E25"/>
  <c r="F20"/>
  <c r="H20" s="1"/>
  <c r="M20" l="1"/>
  <c r="F18"/>
  <c r="N61"/>
  <c r="N99"/>
  <c r="N91"/>
  <c r="M91" l="1"/>
  <c r="L91"/>
  <c r="K103"/>
  <c r="L103"/>
  <c r="K73"/>
  <c r="K92"/>
  <c r="K91"/>
  <c r="M61"/>
  <c r="M99" l="1"/>
  <c r="L99"/>
  <c r="L90"/>
  <c r="H90"/>
  <c r="L61"/>
  <c r="H99"/>
  <c r="J91" l="1"/>
  <c r="J93"/>
  <c r="J73"/>
  <c r="J103"/>
  <c r="J61"/>
  <c r="J92"/>
  <c r="K80" l="1"/>
  <c r="I91" l="1"/>
  <c r="I61"/>
  <c r="F74" l="1"/>
  <c r="H74" s="1"/>
  <c r="T40"/>
  <c r="T34"/>
  <c r="S34"/>
  <c r="E67"/>
  <c r="U34" l="1"/>
  <c r="Q68" l="1"/>
  <c r="U68" s="1"/>
  <c r="U51"/>
  <c r="S40" l="1"/>
  <c r="U40" s="1"/>
  <c r="L34"/>
  <c r="F81"/>
  <c r="F80"/>
  <c r="H80" s="1"/>
  <c r="H73"/>
  <c r="F68"/>
  <c r="H68" s="1"/>
  <c r="F67"/>
  <c r="H67" s="1"/>
  <c r="F66"/>
  <c r="H66" s="1"/>
  <c r="F65"/>
  <c r="H65" s="1"/>
  <c r="F64"/>
  <c r="H64" s="1"/>
  <c r="F63"/>
  <c r="H63" s="1"/>
  <c r="H62"/>
  <c r="H61"/>
  <c r="H59"/>
  <c r="F55"/>
  <c r="F52"/>
  <c r="H52" s="1"/>
  <c r="H51"/>
  <c r="F50"/>
  <c r="F49"/>
  <c r="F48"/>
  <c r="F47"/>
  <c r="F46"/>
  <c r="H46" s="1"/>
  <c r="F45"/>
  <c r="F44"/>
  <c r="F43"/>
  <c r="Q46"/>
  <c r="U46" s="1"/>
  <c r="H39"/>
  <c r="H38"/>
  <c r="F36"/>
  <c r="H36" s="1"/>
  <c r="H34"/>
  <c r="F31"/>
  <c r="H31" s="1"/>
  <c r="H30"/>
  <c r="H29"/>
  <c r="H28"/>
  <c r="H27"/>
  <c r="F25"/>
  <c r="H25" s="1"/>
  <c r="F24"/>
  <c r="H24" s="1"/>
  <c r="F23"/>
  <c r="H23" s="1"/>
  <c r="F101"/>
  <c r="H101" s="1"/>
  <c r="H103"/>
  <c r="T35" l="1"/>
  <c r="T38"/>
  <c r="H43"/>
  <c r="Q43"/>
  <c r="U43" s="1"/>
  <c r="H45"/>
  <c r="Q45"/>
  <c r="U45" s="1"/>
  <c r="H47"/>
  <c r="Q47"/>
  <c r="U47" s="1"/>
  <c r="H49"/>
  <c r="U49"/>
  <c r="H55"/>
  <c r="T55"/>
  <c r="S55"/>
  <c r="L55"/>
  <c r="H81"/>
  <c r="T81"/>
  <c r="S81"/>
  <c r="R81"/>
  <c r="P81"/>
  <c r="Q81"/>
  <c r="S38"/>
  <c r="U38" s="1"/>
  <c r="S35"/>
  <c r="U35" s="1"/>
  <c r="T36"/>
  <c r="H44"/>
  <c r="Q44"/>
  <c r="U44" s="1"/>
  <c r="H48"/>
  <c r="Q48"/>
  <c r="U48" s="1"/>
  <c r="T48"/>
  <c r="H50"/>
  <c r="U50"/>
  <c r="U39"/>
  <c r="S36"/>
  <c r="U36" s="1"/>
  <c r="M46"/>
  <c r="H94"/>
  <c r="U55" l="1"/>
  <c r="H53"/>
  <c r="H104" l="1"/>
  <c r="U106" l="1"/>
  <c r="T59"/>
  <c r="S59"/>
  <c r="R59"/>
  <c r="Q59"/>
  <c r="P59"/>
  <c r="O59"/>
  <c r="N59"/>
  <c r="M59"/>
  <c r="L59"/>
  <c r="K59"/>
  <c r="J59"/>
  <c r="I59"/>
  <c r="F19"/>
  <c r="N19" s="1"/>
  <c r="F17"/>
  <c r="H17" s="1"/>
  <c r="F14"/>
  <c r="H14" s="1"/>
  <c r="E13"/>
  <c r="F13" s="1"/>
  <c r="F12"/>
  <c r="S12" s="1"/>
  <c r="F11"/>
  <c r="T11" s="1"/>
  <c r="U59" l="1"/>
  <c r="S13"/>
  <c r="Q13"/>
  <c r="O13"/>
  <c r="M13"/>
  <c r="K13"/>
  <c r="I13"/>
  <c r="T13"/>
  <c r="R13"/>
  <c r="P13"/>
  <c r="N13"/>
  <c r="L13"/>
  <c r="J13"/>
  <c r="H13"/>
  <c r="I11"/>
  <c r="K11"/>
  <c r="M11"/>
  <c r="O11"/>
  <c r="Q11"/>
  <c r="S11"/>
  <c r="H12"/>
  <c r="J12"/>
  <c r="L12"/>
  <c r="N12"/>
  <c r="P12"/>
  <c r="R12"/>
  <c r="T12"/>
  <c r="N14"/>
  <c r="I15"/>
  <c r="K15"/>
  <c r="M15"/>
  <c r="J16"/>
  <c r="L16"/>
  <c r="N16"/>
  <c r="N17"/>
  <c r="I18"/>
  <c r="K18"/>
  <c r="M18"/>
  <c r="H19"/>
  <c r="H11"/>
  <c r="J11"/>
  <c r="L11"/>
  <c r="N11"/>
  <c r="P11"/>
  <c r="R11"/>
  <c r="I12"/>
  <c r="K12"/>
  <c r="M12"/>
  <c r="O12"/>
  <c r="Q12"/>
  <c r="H15"/>
  <c r="J15"/>
  <c r="L15"/>
  <c r="N15"/>
  <c r="I16"/>
  <c r="K16"/>
  <c r="M16"/>
  <c r="H18"/>
  <c r="J18"/>
  <c r="L18"/>
  <c r="N18"/>
  <c r="U12" l="1"/>
  <c r="U11"/>
  <c r="U13"/>
  <c r="H21"/>
  <c r="U21" l="1"/>
  <c r="Q52" l="1"/>
  <c r="U52" s="1"/>
  <c r="M52" l="1"/>
  <c r="L40" l="1"/>
  <c r="K34"/>
  <c r="H93" l="1"/>
  <c r="H106" s="1"/>
  <c r="K40"/>
  <c r="I52"/>
  <c r="L51"/>
  <c r="I40"/>
  <c r="J40"/>
  <c r="L35"/>
  <c r="I34"/>
  <c r="J34"/>
  <c r="Q27" l="1"/>
  <c r="O27"/>
  <c r="R27"/>
  <c r="P27"/>
  <c r="N27"/>
  <c r="M27"/>
  <c r="J35"/>
  <c r="I35"/>
  <c r="K35"/>
  <c r="U27" l="1"/>
  <c r="L36"/>
  <c r="F109"/>
  <c r="H108"/>
  <c r="E83"/>
  <c r="H86" s="1"/>
  <c r="H78"/>
  <c r="M67"/>
  <c r="M66"/>
  <c r="M65"/>
  <c r="M64"/>
  <c r="M63"/>
  <c r="M48"/>
  <c r="M47"/>
  <c r="M45"/>
  <c r="M44"/>
  <c r="M43"/>
  <c r="L39"/>
  <c r="L38"/>
  <c r="M25"/>
  <c r="R24" l="1"/>
  <c r="P24"/>
  <c r="N24"/>
  <c r="Q24"/>
  <c r="O24"/>
  <c r="M24"/>
  <c r="Q23"/>
  <c r="O23"/>
  <c r="R23"/>
  <c r="P23"/>
  <c r="N23"/>
  <c r="M23"/>
  <c r="T28"/>
  <c r="R28"/>
  <c r="P28"/>
  <c r="N28"/>
  <c r="S28"/>
  <c r="Q28"/>
  <c r="O28"/>
  <c r="M28"/>
  <c r="L28"/>
  <c r="K28"/>
  <c r="O81"/>
  <c r="U81" s="1"/>
  <c r="N81"/>
  <c r="M81"/>
  <c r="K81"/>
  <c r="L81"/>
  <c r="S31"/>
  <c r="Q31"/>
  <c r="O31"/>
  <c r="T31"/>
  <c r="R31"/>
  <c r="P31"/>
  <c r="N31"/>
  <c r="M31"/>
  <c r="L31"/>
  <c r="K31"/>
  <c r="K55"/>
  <c r="J31"/>
  <c r="I31"/>
  <c r="K38"/>
  <c r="I38"/>
  <c r="J38"/>
  <c r="M49"/>
  <c r="J81"/>
  <c r="I81"/>
  <c r="J36"/>
  <c r="K36"/>
  <c r="I36"/>
  <c r="H32"/>
  <c r="J28"/>
  <c r="I28"/>
  <c r="J39"/>
  <c r="K39"/>
  <c r="I39"/>
  <c r="I48"/>
  <c r="J48"/>
  <c r="M50"/>
  <c r="H79"/>
  <c r="J55"/>
  <c r="I55"/>
  <c r="H82"/>
  <c r="F83"/>
  <c r="H41"/>
  <c r="U28" l="1"/>
  <c r="U24"/>
  <c r="U31"/>
  <c r="U23"/>
  <c r="U82"/>
  <c r="T83"/>
  <c r="T109" s="1"/>
  <c r="R83"/>
  <c r="R109" s="1"/>
  <c r="S83"/>
  <c r="S109" s="1"/>
  <c r="Q83"/>
  <c r="Q109" s="1"/>
  <c r="P83"/>
  <c r="P109" s="1"/>
  <c r="U79"/>
  <c r="O83"/>
  <c r="U83" s="1"/>
  <c r="N83"/>
  <c r="N109" s="1"/>
  <c r="L83"/>
  <c r="L109" s="1"/>
  <c r="K83"/>
  <c r="K109" s="1"/>
  <c r="M83"/>
  <c r="M109" s="1"/>
  <c r="J83"/>
  <c r="J109" s="1"/>
  <c r="I83"/>
  <c r="U41"/>
  <c r="H83"/>
  <c r="H84" s="1"/>
  <c r="H85" s="1"/>
  <c r="H87" s="1"/>
  <c r="O109" l="1"/>
  <c r="I109"/>
  <c r="U84"/>
  <c r="U32"/>
  <c r="U53"/>
  <c r="G109"/>
  <c r="H109" s="1"/>
  <c r="U85" l="1"/>
  <c r="U109" s="1"/>
  <c r="C114" l="1"/>
  <c r="C118" s="1"/>
</calcChain>
</file>

<file path=xl/sharedStrings.xml><?xml version="1.0" encoding="utf-8"?>
<sst xmlns="http://schemas.openxmlformats.org/spreadsheetml/2006/main" count="326" uniqueCount="239">
  <si>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</si>
  <si>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</si>
  <si>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</si>
  <si>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</si>
  <si>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</si>
  <si>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</si>
  <si>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</si>
  <si>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</si>
  <si>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</si>
  <si>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</si>
  <si>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</si>
  <si>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>100м2</t>
  </si>
  <si>
    <t>итого:</t>
  </si>
  <si>
    <t>Летняя уборка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</si>
  <si>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</si>
  <si>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</si>
  <si>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</si>
  <si>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</si>
  <si>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</si>
  <si>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</si>
  <si>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</si>
  <si>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</si>
  <si>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</si>
  <si>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</si>
  <si>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</si>
  <si>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</si>
  <si>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</si>
  <si>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</si>
  <si>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</si>
  <si>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</si>
  <si>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 xml:space="preserve">Сдвигание снега в дни снегопада </t>
  </si>
  <si>
    <t>1000 м2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</si>
  <si>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</si>
  <si>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</si>
  <si>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</si>
  <si>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</si>
  <si>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деревянных конструкций стропил</t>
  </si>
  <si>
    <t>100 м3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</si>
  <si>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</si>
  <si>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</si>
  <si>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</si>
  <si>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</si>
  <si>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</si>
  <si>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</si>
  <si>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</si>
  <si>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</si>
  <si>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</si>
  <si>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</si>
  <si>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</si>
  <si>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</si>
  <si>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</si>
  <si>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</si>
  <si>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</si>
  <si>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</si>
  <si>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</si>
  <si>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</si>
  <si>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</si>
  <si>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</si>
  <si>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</si>
  <si>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</si>
  <si>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</si>
  <si>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</si>
  <si>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</si>
  <si>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Мелкий ремонт электропроводки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</si>
  <si>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</si>
  <si>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</si>
  <si>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</si>
  <si>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</si>
  <si>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</si>
  <si>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</si>
  <si>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</si>
  <si>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</si>
  <si>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</si>
  <si>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</si>
  <si>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</si>
  <si>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</si>
  <si>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</si>
  <si>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</si>
  <si>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</si>
  <si>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>Очистка от мусора</t>
  </si>
  <si>
    <t>Вода для промывки системы отопления</t>
  </si>
  <si>
    <t>Спуск воды после промывки системы отопления в канализацию</t>
  </si>
  <si>
    <t>Генеральный директор ООО "Жилсервис"_______Ю.Л.Куканов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</si>
  <si>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</si>
  <si>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</si>
  <si>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</si>
  <si>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</si>
  <si>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</si>
  <si>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</si>
  <si>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</si>
  <si>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</si>
  <si>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</si>
  <si>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</si>
  <si>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</si>
  <si>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</si>
  <si>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3 раза в год</t>
  </si>
  <si>
    <t>Стоимость (руб.)</t>
  </si>
  <si>
    <t>договор</t>
  </si>
  <si>
    <t>ТО внутридомового газ.оборудования</t>
  </si>
  <si>
    <t>Ремонт групповых щитков на лестничной клетке без ремонта автоматов</t>
  </si>
  <si>
    <t>калькуляция</t>
  </si>
  <si>
    <t>маш/час</t>
  </si>
  <si>
    <t>Внеплановый осмотр электросетей, арматуры и электрооборудования на лестничных клетках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</si>
  <si>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</si>
  <si>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</si>
  <si>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</si>
  <si>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Вывоз смета, травы, ветвей и т.п.- м/ч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</si>
  <si>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</si>
  <si>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</si>
  <si>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</si>
  <si>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</si>
  <si>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Осмотр электросетей, арматуры и электооборудования на лестничных клетках</t>
  </si>
  <si>
    <t>Осмотр шиферной кровли</t>
  </si>
  <si>
    <t>Очистка края кровли от слежавшегося снега со сбрасыванием сосулек (10% от S кровли и козырьки)</t>
  </si>
  <si>
    <t>смета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</si>
  <si>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</si>
  <si>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</si>
  <si>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</si>
  <si>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</si>
  <si>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</si>
  <si>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</si>
  <si>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</si>
  <si>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</si>
  <si>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</si>
  <si>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</si>
  <si>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42-002</t>
  </si>
  <si>
    <t>ТЕР 42-007</t>
  </si>
  <si>
    <t>ТЕР 42-009</t>
  </si>
  <si>
    <t>ТЕР 42-003</t>
  </si>
  <si>
    <t>ТЕР 42-011</t>
  </si>
  <si>
    <t>ТЕР 42-013</t>
  </si>
  <si>
    <t>ТЕР 42-012</t>
  </si>
  <si>
    <t>ТЕР 42-014</t>
  </si>
  <si>
    <t>ТЕР 54-041 и 42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</si>
  <si>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</si>
  <si>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</si>
  <si>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</si>
  <si>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</si>
  <si>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</si>
  <si>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</si>
  <si>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</si>
  <si>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</si>
  <si>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33-030</t>
  </si>
  <si>
    <t>4 этажа, 5 подъезда</t>
  </si>
  <si>
    <t xml:space="preserve">1. Санитарное содержание </t>
  </si>
  <si>
    <t>Влажное подметание лестничных клеток 1 этажа</t>
  </si>
  <si>
    <t>Мытье окон</t>
  </si>
  <si>
    <t>10м2</t>
  </si>
  <si>
    <t xml:space="preserve">1 раз в год     </t>
  </si>
  <si>
    <t>Влажная протирка перил</t>
  </si>
  <si>
    <t>1 раз в месяц</t>
  </si>
  <si>
    <t>Влажная протирка почтовых ящиков</t>
  </si>
  <si>
    <t>Влажная протирка дверей</t>
  </si>
  <si>
    <t>100 м2</t>
  </si>
  <si>
    <t>Влажная протирка подоконников</t>
  </si>
  <si>
    <t>Влажная протирка отопительных приборов</t>
  </si>
  <si>
    <t>ТЕР 51-001</t>
  </si>
  <si>
    <t>ТЕР 51-009</t>
  </si>
  <si>
    <t>ТЕР 51-025</t>
  </si>
  <si>
    <t>ТЕР 51-023</t>
  </si>
  <si>
    <t>ТЕР 51-019</t>
  </si>
  <si>
    <t>ТЕР 51-020</t>
  </si>
  <si>
    <t>ТЕР 51-024</t>
  </si>
  <si>
    <t>ТЕР 51-031</t>
  </si>
  <si>
    <t>Дератизация</t>
  </si>
  <si>
    <t>м2</t>
  </si>
  <si>
    <t>ТЕР 33-037</t>
  </si>
  <si>
    <t>Снятие показаний эл.счетчика коммунального назначения</t>
  </si>
  <si>
    <t>1 м</t>
  </si>
  <si>
    <t>ТЕР Q2-2-1-3-3</t>
  </si>
  <si>
    <t>Работа автовышки</t>
  </si>
  <si>
    <t>1 шт</t>
  </si>
  <si>
    <t xml:space="preserve">Смена трубопроводов на полипропиленовые трубы PN25 диаметром 20мм </t>
  </si>
  <si>
    <t>м</t>
  </si>
  <si>
    <t>Подключение и отключение сварочного аппарата</t>
  </si>
  <si>
    <t>ТЕР 33-060</t>
  </si>
  <si>
    <t>Смена арматуры - вентилей и клапанов обратных муфтовых диаметром до 20 мм</t>
  </si>
  <si>
    <t>ТЕР 32-027</t>
  </si>
  <si>
    <t>3м</t>
  </si>
  <si>
    <t>155 раз за сезон</t>
  </si>
  <si>
    <t>ТЭР 42-010</t>
  </si>
  <si>
    <t>Осмотр каменных конструкций</t>
  </si>
  <si>
    <t xml:space="preserve">6 раз за сезон </t>
  </si>
  <si>
    <t>Внеплановый осмотр электросетей, арматуры и электрооборудования на чердаках и подвалах</t>
  </si>
  <si>
    <t>Баланс выполненных работ на 01.01.2017 г. ( -долг за предприятием, +долг за населением)</t>
  </si>
  <si>
    <t>ТЕР 33-043</t>
  </si>
  <si>
    <t>Смена плвкой вставки в электрощитке</t>
  </si>
  <si>
    <t>счёт</t>
  </si>
  <si>
    <t>пр.ТЕР 32-101</t>
  </si>
  <si>
    <t>1шт.</t>
  </si>
  <si>
    <t>Прочистка засоров канализации</t>
  </si>
  <si>
    <t>Начислено за содержание и текущий ремонт за 2017 г.</t>
  </si>
  <si>
    <t>Выполнено работ по содержанию за 2017 г.</t>
  </si>
  <si>
    <t>Выполнено работ по текущему ремонту за 2017 г.</t>
  </si>
  <si>
    <t>Фактически оплачено за 2017 г.</t>
  </si>
  <si>
    <t>156 раз в год</t>
  </si>
  <si>
    <t>Влажное подметание лестничных клеток 2-4 этажа</t>
  </si>
  <si>
    <t>Мытье лестничных  площадок и маршей 1-4 этаж.</t>
  </si>
  <si>
    <t>104 раза в год</t>
  </si>
  <si>
    <t xml:space="preserve">12 раз в год </t>
  </si>
  <si>
    <t xml:space="preserve">2 раза в год     </t>
  </si>
  <si>
    <t>ТЕР 51-022</t>
  </si>
  <si>
    <t>Влажная протирка шкафов для щитов и слаботочных устройств</t>
  </si>
  <si>
    <t>52 раза в сезон</t>
  </si>
  <si>
    <t>ТЕР 55-003</t>
  </si>
  <si>
    <t>Очистка урн от мусора</t>
  </si>
  <si>
    <t>182 раза</t>
  </si>
  <si>
    <t>18 раз за сезон</t>
  </si>
  <si>
    <t>Вывоз снега с придомовой территории</t>
  </si>
  <si>
    <t>1м3</t>
  </si>
  <si>
    <t>35 раз за сезон</t>
  </si>
  <si>
    <t>пр.ТЕР 33-024</t>
  </si>
  <si>
    <t>Смена светодиодных светильников в.о.</t>
  </si>
  <si>
    <t>1 шт.</t>
  </si>
  <si>
    <t>Стоимость светодиодного светильника</t>
  </si>
  <si>
    <t>руб.</t>
  </si>
  <si>
    <t>пр.ТЕР 33-037</t>
  </si>
  <si>
    <t>Снятие показаний с общедомовых приборов учёта электрической энергии и холодной воды</t>
  </si>
  <si>
    <t>Обслуживание общедомового прибора учета тепловой энергии</t>
  </si>
  <si>
    <t>ТО внутренних сетей водопровода и канализации</t>
  </si>
  <si>
    <t>руб/м2 в мес.</t>
  </si>
  <si>
    <t>ТЕР 17-006</t>
  </si>
  <si>
    <t>Ремонт отдельных мест покрытия из асбоцементных листов обыкновенного профиля</t>
  </si>
  <si>
    <t>10 м2</t>
  </si>
  <si>
    <t>1м</t>
  </si>
  <si>
    <t>Смена трубопроводов на полипропиленовые трубы PN25 диаметром до 50 мм</t>
  </si>
  <si>
    <t xml:space="preserve">Смена сгонов у трубопроводов диаметром до 20 мм </t>
  </si>
  <si>
    <t>1 сгон</t>
  </si>
  <si>
    <t>ТЕР 31-009</t>
  </si>
  <si>
    <t>Ремонт и регулировка доводчика (со стоимостью доводчика)</t>
  </si>
  <si>
    <t>пр.ТЕР 11-013</t>
  </si>
  <si>
    <t>Ремонт слухового окна</t>
  </si>
  <si>
    <t>Смена стекол в деревянных переплетах при площади стекла до 1,0 м2</t>
  </si>
  <si>
    <t>ТЕР 15-009</t>
  </si>
  <si>
    <t>Просроченная задолженность по Вашему дому по статье "Содержание и текущий ремонт МКД" на конец декабря 2017 г., составляет:</t>
  </si>
  <si>
    <t>Баланс выполненных работ на 01.01.2018 г. ( -долг за предприятием, +долг за населением)</t>
  </si>
  <si>
    <t xml:space="preserve">Монтаж тепловычислителя 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</si>
  <si>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Лермонтова, 17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июль-декабрь 2017 года</t>
    </r>
  </si>
  <si>
    <t>15 раз за сезон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</si>
</sst>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2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5" borderId="0" xfId="0" applyFill="1"/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0" fontId="1" fillId="0" borderId="0" xfId="0" applyFont="1"/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3" xfId="0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horizontal="left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 wrapText="1"/>
    </xf>
    <xf numFmtId="4" fontId="1" fillId="4" borderId="4" xfId="0" applyNumberFormat="1" applyFont="1" applyFill="1" applyBorder="1" applyAlignment="1">
      <alignment horizontal="center" vertical="center" wrapText="1"/>
    </xf>
    <xf numFmtId="4" fontId="1" fillId="4" borderId="4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5" borderId="3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5" fillId="8" borderId="3" xfId="0" applyNumberFormat="1" applyFont="1" applyFill="1" applyBorder="1" applyAlignment="1">
      <alignment horizontal="center" vertical="center"/>
    </xf>
    <xf numFmtId="165" fontId="15" fillId="4" borderId="3" xfId="0" applyNumberFormat="1" applyFont="1" applyFill="1" applyBorder="1" applyAlignment="1">
      <alignment horizontal="center" vertical="center"/>
    </xf>
    <xf numFmtId="165" fontId="1" fillId="4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" fontId="1" fillId="2" borderId="3" xfId="0" applyNumberFormat="1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vertical="center"/>
    </xf>
    <xf numFmtId="165" fontId="3" fillId="4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15" fillId="2" borderId="7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0" fontId="1" fillId="0" borderId="0" xfId="0" applyFont="1" applyFill="1" applyBorder="1" applyAlignment="1" applyProtection="1">
      <alignment horizontal="center" vertical="top" wrapText="1"/>
    </xf>
    <xf numFmtId="49" fontId="1" fillId="0" borderId="0" xfId="0" applyNumberFormat="1" applyFont="1" applyFill="1" applyBorder="1" applyAlignment="1" applyProtection="1">
      <alignment horizontal="left" vertical="top" wrapText="1"/>
      <protection hidden="1"/>
    </xf>
    <xf numFmtId="2" fontId="1" fillId="0" borderId="0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Font="1" applyBorder="1" applyAlignment="1">
      <alignment horizontal="left" vertical="top" wrapText="1"/>
    </xf>
    <xf numFmtId="4" fontId="1" fillId="0" borderId="0" xfId="0" applyNumberFormat="1" applyFont="1" applyBorder="1" applyAlignment="1">
      <alignment horizontal="left" vertical="top" wrapText="1"/>
    </xf>
    <xf numFmtId="4" fontId="1" fillId="0" borderId="0" xfId="0" applyNumberFormat="1" applyFont="1" applyBorder="1"/>
    <xf numFmtId="4" fontId="1" fillId="0" borderId="0" xfId="0" applyNumberFormat="1" applyFont="1" applyFill="1" applyBorder="1" applyAlignment="1" applyProtection="1">
      <alignment horizontal="left" vertical="top" wrapText="1"/>
      <protection hidden="1"/>
    </xf>
    <xf numFmtId="4" fontId="1" fillId="0" borderId="0" xfId="0" applyNumberFormat="1" applyFont="1" applyBorder="1" applyAlignment="1">
      <alignment horizontal="center"/>
    </xf>
    <xf numFmtId="4" fontId="16" fillId="0" borderId="0" xfId="0" applyNumberFormat="1" applyFont="1"/>
    <xf numFmtId="0" fontId="16" fillId="0" borderId="0" xfId="0" applyFont="1"/>
    <xf numFmtId="0" fontId="17" fillId="0" borderId="0" xfId="0" applyFont="1" applyAlignment="1"/>
    <xf numFmtId="4" fontId="3" fillId="2" borderId="3" xfId="0" applyNumberFormat="1" applyFont="1" applyFill="1" applyBorder="1" applyAlignment="1">
      <alignment vertical="center"/>
    </xf>
    <xf numFmtId="4" fontId="3" fillId="5" borderId="3" xfId="0" applyNumberFormat="1" applyFont="1" applyFill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4" fontId="3" fillId="10" borderId="3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4" fontId="3" fillId="2" borderId="6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18" fillId="0" borderId="0" xfId="0" applyFont="1" applyAlignment="1"/>
    <xf numFmtId="0" fontId="1" fillId="2" borderId="3" xfId="0" applyFont="1" applyFill="1" applyBorder="1"/>
    <xf numFmtId="0" fontId="1" fillId="8" borderId="3" xfId="0" applyFont="1" applyFill="1" applyBorder="1"/>
    <xf numFmtId="0" fontId="1" fillId="5" borderId="3" xfId="0" applyFont="1" applyFill="1" applyBorder="1"/>
    <xf numFmtId="4" fontId="1" fillId="4" borderId="0" xfId="0" applyNumberFormat="1" applyFont="1" applyFill="1" applyBorder="1" applyAlignment="1">
      <alignment horizontal="center" vertical="center" wrapText="1"/>
    </xf>
    <xf numFmtId="4" fontId="1" fillId="8" borderId="6" xfId="0" applyNumberFormat="1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2" borderId="3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4" fontId="15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5" fillId="4" borderId="6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4" fontId="3" fillId="10" borderId="6" xfId="0" applyNumberFormat="1" applyFont="1" applyFill="1" applyBorder="1" applyAlignment="1">
      <alignment horizontal="center" vertical="center"/>
    </xf>
    <xf numFmtId="4" fontId="15" fillId="2" borderId="5" xfId="0" applyNumberFormat="1" applyFont="1" applyFill="1" applyBorder="1" applyAlignment="1">
      <alignment horizontal="center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4" fontId="0" fillId="8" borderId="3" xfId="0" applyNumberForma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vertical="center"/>
    </xf>
    <xf numFmtId="0" fontId="1" fillId="0" borderId="17" xfId="0" applyFont="1" applyBorder="1"/>
    <xf numFmtId="4" fontId="1" fillId="2" borderId="18" xfId="0" applyNumberFormat="1" applyFont="1" applyFill="1" applyBorder="1" applyAlignment="1">
      <alignment horizontal="center" vertical="center" wrapText="1"/>
    </xf>
    <xf numFmtId="4" fontId="1" fillId="8" borderId="6" xfId="0" applyNumberFormat="1" applyFont="1" applyFill="1" applyBorder="1" applyAlignment="1">
      <alignment vertical="center"/>
    </xf>
    <xf numFmtId="4" fontId="1" fillId="4" borderId="19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5" fontId="3" fillId="11" borderId="2" xfId="0" applyNumberFormat="1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165" fontId="1" fillId="4" borderId="6" xfId="0" applyNumberFormat="1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4" fontId="1" fillId="8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left" vertical="center" wrapText="1"/>
    </xf>
    <xf numFmtId="4" fontId="1" fillId="8" borderId="21" xfId="0" applyNumberFormat="1" applyFont="1" applyFill="1" applyBorder="1" applyAlignment="1">
      <alignment horizontal="center" vertical="center"/>
    </xf>
    <xf numFmtId="4" fontId="1" fillId="4" borderId="20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0" fillId="12" borderId="0" xfId="0" applyFill="1"/>
    <xf numFmtId="4" fontId="7" fillId="0" borderId="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Y124"/>
  <sheetViews>
    <sheetView tabSelected="1" view="pageBreakPreview" zoomScaleNormal="75" zoomScaleSheetLayoutView="100" workbookViewId="0">
      <pane ySplit="7" topLeftCell="A114" activePane="bottomLeft" state="frozen"/>
      <selection activeCell="B1" sqref="B1"/>
      <selection pane="bottomLeft" activeCell="B119" sqref="B119"/>
    </sheetView>
  </sheetViews>
  <sheetFormatPr defaultRowHeight="12.75"/>
  <cols>
    <col min="1" max="1" width="14.42578125" style="30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14" width="9.85546875" hidden="1" customWidth="1"/>
    <col min="15" max="15" width="9.5703125" customWidth="1"/>
    <col min="16" max="16" width="9.85546875" customWidth="1"/>
    <col min="17" max="17" width="10" customWidth="1"/>
    <col min="18" max="18" width="9.5703125" customWidth="1"/>
    <col min="19" max="20" width="9.85546875" customWidth="1"/>
    <col min="21" max="21" width="12.28515625" customWidth="1"/>
  </cols>
  <sheetData>
    <row r="1" spans="1:21" ht="14.25" customHeight="1"/>
    <row r="3" spans="1:21" ht="18">
      <c r="A3" s="119"/>
      <c r="B3" s="186" t="s">
        <v>0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30"/>
      <c r="N3" s="30"/>
      <c r="O3" s="30"/>
      <c r="P3" s="30"/>
      <c r="Q3" s="30"/>
      <c r="R3" s="30"/>
      <c r="S3" s="30"/>
      <c r="T3" s="30"/>
      <c r="U3" s="30"/>
    </row>
    <row r="4" spans="1:21" ht="34.5" customHeight="1">
      <c r="B4" s="187" t="s">
        <v>1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30"/>
      <c r="N4" s="30"/>
      <c r="O4" s="30"/>
      <c r="P4" s="30"/>
      <c r="Q4" s="30"/>
      <c r="R4" s="30"/>
      <c r="S4" s="30"/>
      <c r="T4" s="30"/>
      <c r="U4" s="30"/>
    </row>
    <row r="5" spans="1:21" ht="18">
      <c r="B5" s="187" t="s">
        <v>237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30"/>
      <c r="N5" s="30"/>
      <c r="O5" s="30"/>
      <c r="P5" s="30"/>
      <c r="Q5" s="30"/>
      <c r="R5" s="30"/>
      <c r="S5" s="30"/>
      <c r="T5" s="30"/>
      <c r="U5" s="30"/>
    </row>
    <row r="6" spans="1:21" ht="15">
      <c r="B6" s="188" t="s">
        <v>143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30"/>
      <c r="N6" s="30"/>
      <c r="O6" s="30"/>
      <c r="P6" s="30"/>
      <c r="Q6" s="30"/>
      <c r="R6" s="30"/>
      <c r="S6" s="30"/>
      <c r="T6" s="30"/>
      <c r="U6" s="30"/>
    </row>
    <row r="7" spans="1:21" ht="47.25" customHeight="1">
      <c r="A7" s="143" t="s">
        <v>2</v>
      </c>
      <c r="B7" s="144" t="s">
        <v>3</v>
      </c>
      <c r="C7" s="144" t="s">
        <v>4</v>
      </c>
      <c r="D7" s="144" t="s">
        <v>5</v>
      </c>
      <c r="E7" s="144" t="s">
        <v>6</v>
      </c>
      <c r="F7" s="144" t="s">
        <v>7</v>
      </c>
      <c r="G7" s="144" t="s">
        <v>8</v>
      </c>
      <c r="H7" s="145" t="s">
        <v>9</v>
      </c>
      <c r="I7" s="25" t="s">
        <v>83</v>
      </c>
      <c r="J7" s="25" t="s">
        <v>84</v>
      </c>
      <c r="K7" s="25" t="s">
        <v>85</v>
      </c>
      <c r="L7" s="25" t="s">
        <v>86</v>
      </c>
      <c r="M7" s="25" t="s">
        <v>87</v>
      </c>
      <c r="N7" s="25" t="s">
        <v>88</v>
      </c>
      <c r="O7" s="25" t="s">
        <v>89</v>
      </c>
      <c r="P7" s="25" t="s">
        <v>90</v>
      </c>
      <c r="Q7" s="25" t="s">
        <v>91</v>
      </c>
      <c r="R7" s="25" t="s">
        <v>92</v>
      </c>
      <c r="S7" s="25" t="s">
        <v>93</v>
      </c>
      <c r="T7" s="25" t="s">
        <v>94</v>
      </c>
      <c r="U7" s="25" t="s">
        <v>96</v>
      </c>
    </row>
    <row r="8" spans="1:21">
      <c r="A8" s="146">
        <v>1</v>
      </c>
      <c r="B8" s="8">
        <v>2</v>
      </c>
      <c r="C8" s="26">
        <v>3</v>
      </c>
      <c r="D8" s="8">
        <v>4</v>
      </c>
      <c r="E8" s="8">
        <v>5</v>
      </c>
      <c r="F8" s="26">
        <v>6</v>
      </c>
      <c r="G8" s="26">
        <v>7</v>
      </c>
      <c r="H8" s="27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9</v>
      </c>
      <c r="P8" s="28">
        <v>10</v>
      </c>
      <c r="Q8" s="28">
        <v>11</v>
      </c>
      <c r="R8" s="28">
        <v>12</v>
      </c>
      <c r="S8" s="28">
        <v>13</v>
      </c>
      <c r="T8" s="28">
        <v>14</v>
      </c>
      <c r="U8" s="28">
        <v>15</v>
      </c>
    </row>
    <row r="9" spans="1:21" ht="38.25">
      <c r="A9" s="146"/>
      <c r="B9" s="11" t="s">
        <v>10</v>
      </c>
      <c r="C9" s="26"/>
      <c r="D9" s="13"/>
      <c r="E9" s="13"/>
      <c r="F9" s="26"/>
      <c r="G9" s="26"/>
      <c r="H9" s="31"/>
      <c r="I9" s="32"/>
      <c r="J9" s="32"/>
      <c r="K9" s="32"/>
      <c r="L9" s="32"/>
      <c r="M9" s="33"/>
      <c r="N9" s="28"/>
      <c r="O9" s="28"/>
      <c r="P9" s="28"/>
      <c r="Q9" s="28"/>
      <c r="R9" s="28"/>
      <c r="S9" s="28"/>
      <c r="T9" s="28"/>
      <c r="U9" s="28"/>
    </row>
    <row r="10" spans="1:21">
      <c r="A10" s="26"/>
      <c r="B10" s="11" t="s">
        <v>144</v>
      </c>
      <c r="C10" s="26"/>
      <c r="D10" s="13"/>
      <c r="E10" s="13"/>
      <c r="F10" s="26"/>
      <c r="G10" s="26"/>
      <c r="H10" s="31"/>
      <c r="I10" s="32"/>
      <c r="J10" s="32"/>
      <c r="K10" s="32"/>
      <c r="L10" s="32"/>
      <c r="M10" s="156"/>
      <c r="N10" s="121"/>
      <c r="O10" s="121"/>
      <c r="P10" s="121"/>
      <c r="Q10" s="121"/>
      <c r="R10" s="121"/>
      <c r="S10" s="121"/>
      <c r="T10" s="121"/>
      <c r="U10" s="121"/>
    </row>
    <row r="11" spans="1:21" ht="12.75" customHeight="1">
      <c r="A11" s="26" t="s">
        <v>156</v>
      </c>
      <c r="B11" s="13" t="s">
        <v>145</v>
      </c>
      <c r="C11" s="26" t="s">
        <v>11</v>
      </c>
      <c r="D11" s="13" t="s">
        <v>195</v>
      </c>
      <c r="E11" s="35">
        <v>92.5</v>
      </c>
      <c r="F11" s="36">
        <f>SUM(E11*156/100)</f>
        <v>144.30000000000001</v>
      </c>
      <c r="G11" s="36">
        <v>230</v>
      </c>
      <c r="H11" s="37">
        <f t="shared" ref="H11:H20" si="0">SUM(F11*G11/1000)</f>
        <v>33.189</v>
      </c>
      <c r="I11" s="29">
        <f>F11/12*G11</f>
        <v>2765.75</v>
      </c>
      <c r="J11" s="29">
        <f>F11/12*G11</f>
        <v>2765.75</v>
      </c>
      <c r="K11" s="29">
        <f>F11/12*G11</f>
        <v>2765.75</v>
      </c>
      <c r="L11" s="29">
        <f>F11/12*G11</f>
        <v>2765.75</v>
      </c>
      <c r="M11" s="29">
        <f>F11/12*G11</f>
        <v>2765.75</v>
      </c>
      <c r="N11" s="29">
        <f>F11/12*G11</f>
        <v>2765.75</v>
      </c>
      <c r="O11" s="29">
        <f>F11/12*G11</f>
        <v>2765.75</v>
      </c>
      <c r="P11" s="29">
        <f>F11/12*G11</f>
        <v>2765.75</v>
      </c>
      <c r="Q11" s="29">
        <f>F11/12*G11</f>
        <v>2765.75</v>
      </c>
      <c r="R11" s="29">
        <f>F11/12*G11</f>
        <v>2765.75</v>
      </c>
      <c r="S11" s="29">
        <f>F11/12*G11</f>
        <v>2765.75</v>
      </c>
      <c r="T11" s="29">
        <f>F11/12*G11</f>
        <v>2765.75</v>
      </c>
      <c r="U11" s="29">
        <f>SUM(O11:T11)</f>
        <v>16594.5</v>
      </c>
    </row>
    <row r="12" spans="1:21" ht="25.5">
      <c r="A12" s="26" t="s">
        <v>156</v>
      </c>
      <c r="B12" s="13" t="s">
        <v>196</v>
      </c>
      <c r="C12" s="26" t="s">
        <v>11</v>
      </c>
      <c r="D12" s="13" t="s">
        <v>198</v>
      </c>
      <c r="E12" s="35">
        <v>288.8</v>
      </c>
      <c r="F12" s="36">
        <f>SUM(E12*104/100)</f>
        <v>300.35200000000003</v>
      </c>
      <c r="G12" s="36">
        <v>230</v>
      </c>
      <c r="H12" s="37">
        <f t="shared" si="0"/>
        <v>69.080960000000005</v>
      </c>
      <c r="I12" s="29">
        <f>F12/12*G12</f>
        <v>5756.7466666666678</v>
      </c>
      <c r="J12" s="29">
        <f>F12/12*G12</f>
        <v>5756.7466666666678</v>
      </c>
      <c r="K12" s="29">
        <f>F12/12*G12</f>
        <v>5756.7466666666678</v>
      </c>
      <c r="L12" s="29">
        <f>F12/12*G12</f>
        <v>5756.7466666666678</v>
      </c>
      <c r="M12" s="29">
        <f>F12/12*G12</f>
        <v>5756.7466666666678</v>
      </c>
      <c r="N12" s="29">
        <f>F12/12*G12</f>
        <v>5756.7466666666678</v>
      </c>
      <c r="O12" s="29">
        <f>F12/12*G12</f>
        <v>5756.7466666666678</v>
      </c>
      <c r="P12" s="29">
        <f>F12/12*G12</f>
        <v>5756.7466666666678</v>
      </c>
      <c r="Q12" s="29">
        <f>F12/12*G12</f>
        <v>5756.7466666666678</v>
      </c>
      <c r="R12" s="29">
        <f>F12/12*G12</f>
        <v>5756.7466666666678</v>
      </c>
      <c r="S12" s="29">
        <f>F12/12*G12</f>
        <v>5756.7466666666678</v>
      </c>
      <c r="T12" s="29">
        <f>F12/12*G12</f>
        <v>5756.7466666666678</v>
      </c>
      <c r="U12" s="29">
        <f t="shared" ref="U12:U20" si="1">SUM(O12:T12)</f>
        <v>34540.480000000003</v>
      </c>
    </row>
    <row r="13" spans="1:21" ht="25.5">
      <c r="A13" s="26" t="s">
        <v>157</v>
      </c>
      <c r="B13" s="13" t="s">
        <v>197</v>
      </c>
      <c r="C13" s="26" t="s">
        <v>11</v>
      </c>
      <c r="D13" s="13" t="s">
        <v>199</v>
      </c>
      <c r="E13" s="35">
        <f>SUM(E11+E12)</f>
        <v>381.3</v>
      </c>
      <c r="F13" s="36">
        <f>SUM(E13*12/100)</f>
        <v>45.756</v>
      </c>
      <c r="G13" s="36">
        <v>661.67</v>
      </c>
      <c r="H13" s="37">
        <f t="shared" si="0"/>
        <v>30.275372519999998</v>
      </c>
      <c r="I13" s="29">
        <f>F13/12*G13</f>
        <v>2522.9477099999999</v>
      </c>
      <c r="J13" s="29">
        <f>F13/12*G13</f>
        <v>2522.9477099999999</v>
      </c>
      <c r="K13" s="29">
        <f>F13/12*G13</f>
        <v>2522.9477099999999</v>
      </c>
      <c r="L13" s="29">
        <f>F13/12*G13</f>
        <v>2522.9477099999999</v>
      </c>
      <c r="M13" s="29">
        <f>F13/12*G13</f>
        <v>2522.9477099999999</v>
      </c>
      <c r="N13" s="29">
        <f>F13/12*G13</f>
        <v>2522.9477099999999</v>
      </c>
      <c r="O13" s="29">
        <f>F13/12*G13</f>
        <v>2522.9477099999999</v>
      </c>
      <c r="P13" s="29">
        <f>F13/12*G13</f>
        <v>2522.9477099999999</v>
      </c>
      <c r="Q13" s="29">
        <f>F13/12*G13</f>
        <v>2522.9477099999999</v>
      </c>
      <c r="R13" s="29">
        <f>F13/12*G13</f>
        <v>2522.9477099999999</v>
      </c>
      <c r="S13" s="29">
        <f>F13/12*G13</f>
        <v>2522.9477099999999</v>
      </c>
      <c r="T13" s="29">
        <f>F13/12*G13</f>
        <v>2522.9477099999999</v>
      </c>
      <c r="U13" s="29">
        <f t="shared" si="1"/>
        <v>15137.68626</v>
      </c>
    </row>
    <row r="14" spans="1:21">
      <c r="A14" s="26" t="s">
        <v>163</v>
      </c>
      <c r="B14" s="13" t="s">
        <v>146</v>
      </c>
      <c r="C14" s="26" t="s">
        <v>147</v>
      </c>
      <c r="D14" s="13" t="s">
        <v>148</v>
      </c>
      <c r="E14" s="35">
        <v>19.2</v>
      </c>
      <c r="F14" s="36">
        <f>SUM(E14/10)</f>
        <v>1.92</v>
      </c>
      <c r="G14" s="36">
        <v>223.17</v>
      </c>
      <c r="H14" s="37">
        <f t="shared" si="0"/>
        <v>0.42848639999999993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f>F14*G14</f>
        <v>428.48639999999995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f t="shared" si="1"/>
        <v>0</v>
      </c>
    </row>
    <row r="15" spans="1:21">
      <c r="A15" s="26" t="s">
        <v>158</v>
      </c>
      <c r="B15" s="13" t="s">
        <v>149</v>
      </c>
      <c r="C15" s="26" t="s">
        <v>11</v>
      </c>
      <c r="D15" s="13" t="s">
        <v>200</v>
      </c>
      <c r="E15" s="35">
        <v>27.3</v>
      </c>
      <c r="F15" s="36">
        <f>SUM(E15*2/100)</f>
        <v>0.54600000000000004</v>
      </c>
      <c r="G15" s="36">
        <v>285.76</v>
      </c>
      <c r="H15" s="37">
        <f t="shared" si="0"/>
        <v>0.15602495999999999</v>
      </c>
      <c r="I15" s="29">
        <f>F15/12*G15</f>
        <v>13.002080000000001</v>
      </c>
      <c r="J15" s="29">
        <f>F15/12*G15</f>
        <v>13.002080000000001</v>
      </c>
      <c r="K15" s="29">
        <f>F15/12*G15</f>
        <v>13.002080000000001</v>
      </c>
      <c r="L15" s="29">
        <f>F15/12*G15</f>
        <v>13.002080000000001</v>
      </c>
      <c r="M15" s="29">
        <f>F15/12*G15</f>
        <v>13.002080000000001</v>
      </c>
      <c r="N15" s="29">
        <f>F15/12*G15</f>
        <v>13.002080000000001</v>
      </c>
      <c r="O15" s="29">
        <v>0</v>
      </c>
      <c r="P15" s="29">
        <v>0</v>
      </c>
      <c r="Q15" s="29">
        <f>F15/2*G15</f>
        <v>78.012479999999996</v>
      </c>
      <c r="R15" s="29">
        <v>0</v>
      </c>
      <c r="S15" s="29">
        <v>0</v>
      </c>
      <c r="T15" s="29">
        <v>0</v>
      </c>
      <c r="U15" s="29">
        <f t="shared" si="1"/>
        <v>78.012479999999996</v>
      </c>
    </row>
    <row r="16" spans="1:21">
      <c r="A16" s="26" t="s">
        <v>159</v>
      </c>
      <c r="B16" s="13" t="s">
        <v>151</v>
      </c>
      <c r="C16" s="26" t="s">
        <v>11</v>
      </c>
      <c r="D16" s="13" t="s">
        <v>200</v>
      </c>
      <c r="E16" s="35">
        <v>9.08</v>
      </c>
      <c r="F16" s="36">
        <f>SUM(E16*2/100)</f>
        <v>0.18160000000000001</v>
      </c>
      <c r="G16" s="36">
        <v>283.44</v>
      </c>
      <c r="H16" s="37">
        <f>SUM(F16*G16/1000)</f>
        <v>5.1472704000000001E-2</v>
      </c>
      <c r="I16" s="29">
        <f>F16/12*G16</f>
        <v>4.2893920000000003</v>
      </c>
      <c r="J16" s="29">
        <f>F16/12*G16</f>
        <v>4.2893920000000003</v>
      </c>
      <c r="K16" s="29">
        <f>F16/12*G16</f>
        <v>4.2893920000000003</v>
      </c>
      <c r="L16" s="29">
        <f>F16/12*G16</f>
        <v>4.2893920000000003</v>
      </c>
      <c r="M16" s="29">
        <f>F16/12*G16</f>
        <v>4.2893920000000003</v>
      </c>
      <c r="N16" s="29">
        <f>F16/12*G16</f>
        <v>4.2893920000000003</v>
      </c>
      <c r="O16" s="29">
        <v>0</v>
      </c>
      <c r="P16" s="29">
        <v>0</v>
      </c>
      <c r="Q16" s="29">
        <f>F16/2*G16</f>
        <v>25.736352</v>
      </c>
      <c r="R16" s="29">
        <v>0</v>
      </c>
      <c r="S16" s="29">
        <v>0</v>
      </c>
      <c r="T16" s="29">
        <v>0</v>
      </c>
      <c r="U16" s="29">
        <f t="shared" si="1"/>
        <v>25.736352</v>
      </c>
    </row>
    <row r="17" spans="1:21">
      <c r="A17" s="26" t="s">
        <v>160</v>
      </c>
      <c r="B17" s="13" t="s">
        <v>152</v>
      </c>
      <c r="C17" s="26" t="s">
        <v>153</v>
      </c>
      <c r="D17" s="13" t="s">
        <v>148</v>
      </c>
      <c r="E17" s="157">
        <v>30</v>
      </c>
      <c r="F17" s="36">
        <f>SUM(E17/100)</f>
        <v>0.3</v>
      </c>
      <c r="G17" s="36">
        <v>58.08</v>
      </c>
      <c r="H17" s="37">
        <f t="shared" si="0"/>
        <v>1.7423999999999999E-2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f>F17*G17</f>
        <v>17.423999999999999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f t="shared" si="1"/>
        <v>0</v>
      </c>
    </row>
    <row r="18" spans="1:21">
      <c r="A18" s="26" t="s">
        <v>161</v>
      </c>
      <c r="B18" s="13" t="s">
        <v>154</v>
      </c>
      <c r="C18" s="26" t="s">
        <v>153</v>
      </c>
      <c r="D18" s="13" t="s">
        <v>148</v>
      </c>
      <c r="E18" s="35">
        <v>20</v>
      </c>
      <c r="F18" s="36">
        <f>SUM(E18/100)</f>
        <v>0.2</v>
      </c>
      <c r="G18" s="36">
        <v>511.12</v>
      </c>
      <c r="H18" s="37">
        <f t="shared" si="0"/>
        <v>0.10222400000000001</v>
      </c>
      <c r="I18" s="29">
        <f>F18/12*G18</f>
        <v>8.5186666666666664</v>
      </c>
      <c r="J18" s="29">
        <f>F18/12*G18</f>
        <v>8.5186666666666664</v>
      </c>
      <c r="K18" s="29">
        <f>F18/12*G18</f>
        <v>8.5186666666666664</v>
      </c>
      <c r="L18" s="29">
        <f>F18/12*G18</f>
        <v>8.5186666666666664</v>
      </c>
      <c r="M18" s="29">
        <f>F18/12*G18</f>
        <v>8.5186666666666664</v>
      </c>
      <c r="N18" s="29">
        <f>F18/12*G18</f>
        <v>8.5186666666666664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f t="shared" si="1"/>
        <v>0</v>
      </c>
    </row>
    <row r="19" spans="1:21">
      <c r="A19" s="26" t="s">
        <v>162</v>
      </c>
      <c r="B19" s="13" t="s">
        <v>155</v>
      </c>
      <c r="C19" s="26" t="s">
        <v>153</v>
      </c>
      <c r="D19" s="13" t="s">
        <v>148</v>
      </c>
      <c r="E19" s="35">
        <v>8.5</v>
      </c>
      <c r="F19" s="36">
        <f>SUM(E19/100)</f>
        <v>8.5000000000000006E-2</v>
      </c>
      <c r="G19" s="36">
        <v>683.05</v>
      </c>
      <c r="H19" s="37">
        <f t="shared" si="0"/>
        <v>5.805925E-2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f>F19*G19</f>
        <v>58.059249999999999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f t="shared" si="1"/>
        <v>0</v>
      </c>
    </row>
    <row r="20" spans="1:21" ht="25.5">
      <c r="A20" s="146" t="s">
        <v>201</v>
      </c>
      <c r="B20" s="13" t="s">
        <v>202</v>
      </c>
      <c r="C20" s="26" t="s">
        <v>153</v>
      </c>
      <c r="D20" s="13" t="s">
        <v>17</v>
      </c>
      <c r="E20" s="35">
        <v>20</v>
      </c>
      <c r="F20" s="36">
        <f>SUM(E20/100)</f>
        <v>0.2</v>
      </c>
      <c r="G20" s="36">
        <v>283.44</v>
      </c>
      <c r="H20" s="37">
        <f t="shared" si="0"/>
        <v>5.6688000000000002E-2</v>
      </c>
      <c r="I20" s="29">
        <v>0</v>
      </c>
      <c r="J20" s="29">
        <v>0</v>
      </c>
      <c r="K20" s="29">
        <v>0</v>
      </c>
      <c r="L20" s="29">
        <v>0</v>
      </c>
      <c r="M20" s="29">
        <f>F20*G20</f>
        <v>56.688000000000002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f t="shared" si="1"/>
        <v>0</v>
      </c>
    </row>
    <row r="21" spans="1:21" s="9" customFormat="1">
      <c r="A21" s="158"/>
      <c r="B21" s="14" t="s">
        <v>12</v>
      </c>
      <c r="C21" s="41"/>
      <c r="D21" s="14"/>
      <c r="E21" s="42"/>
      <c r="F21" s="43"/>
      <c r="G21" s="43"/>
      <c r="H21" s="159">
        <f>SUM(H11:H20)</f>
        <v>133.41571183400001</v>
      </c>
      <c r="I21" s="111"/>
      <c r="J21" s="111"/>
      <c r="K21" s="111"/>
      <c r="L21" s="111"/>
      <c r="M21" s="120"/>
      <c r="N21" s="120"/>
      <c r="O21" s="120"/>
      <c r="P21" s="120"/>
      <c r="Q21" s="120"/>
      <c r="R21" s="120"/>
      <c r="S21" s="120"/>
      <c r="T21" s="120"/>
      <c r="U21" s="77">
        <f>SUM(U11:U19)</f>
        <v>66376.41509200001</v>
      </c>
    </row>
    <row r="22" spans="1:21">
      <c r="A22" s="146"/>
      <c r="B22" s="12" t="s">
        <v>13</v>
      </c>
      <c r="C22" s="26"/>
      <c r="D22" s="34"/>
      <c r="E22" s="35"/>
      <c r="F22" s="36"/>
      <c r="G22" s="36"/>
      <c r="H22" s="37"/>
      <c r="I22" s="33"/>
      <c r="J22" s="33"/>
      <c r="K22" s="33"/>
      <c r="L22" s="33"/>
      <c r="M22" s="33"/>
      <c r="N22" s="28"/>
      <c r="O22" s="28"/>
      <c r="P22" s="28"/>
      <c r="Q22" s="28"/>
      <c r="R22" s="28"/>
      <c r="S22" s="28"/>
      <c r="T22" s="28"/>
      <c r="U22" s="28"/>
    </row>
    <row r="23" spans="1:21" ht="12.75" customHeight="1">
      <c r="A23" s="146" t="s">
        <v>115</v>
      </c>
      <c r="B23" s="13" t="s">
        <v>103</v>
      </c>
      <c r="C23" s="26" t="s">
        <v>14</v>
      </c>
      <c r="D23" s="13" t="s">
        <v>203</v>
      </c>
      <c r="E23" s="36">
        <v>317.7</v>
      </c>
      <c r="F23" s="36">
        <f>SUM(E23*52/1000)</f>
        <v>16.520399999999999</v>
      </c>
      <c r="G23" s="36">
        <v>204.44</v>
      </c>
      <c r="H23" s="37">
        <f t="shared" ref="H23:H31" si="2">SUM(F23*G23/1000)</f>
        <v>3.3774305759999996</v>
      </c>
      <c r="I23" s="29">
        <v>0</v>
      </c>
      <c r="J23" s="29">
        <v>0</v>
      </c>
      <c r="K23" s="29">
        <v>0</v>
      </c>
      <c r="L23" s="29">
        <v>0</v>
      </c>
      <c r="M23" s="29">
        <f>F23/6*G23</f>
        <v>562.90509599999996</v>
      </c>
      <c r="N23" s="29">
        <f>F23/6*G23</f>
        <v>562.90509599999996</v>
      </c>
      <c r="O23" s="29">
        <f>F23/6*G23</f>
        <v>562.90509599999996</v>
      </c>
      <c r="P23" s="29">
        <f>F23/6*G23</f>
        <v>562.90509599999996</v>
      </c>
      <c r="Q23" s="29">
        <f>F23/6*G23</f>
        <v>562.90509599999996</v>
      </c>
      <c r="R23" s="29">
        <f>F23/6*G23</f>
        <v>562.90509599999996</v>
      </c>
      <c r="S23" s="29">
        <v>0</v>
      </c>
      <c r="T23" s="29">
        <v>0</v>
      </c>
      <c r="U23" s="29">
        <f t="shared" ref="U23:U31" si="3">SUM(O23:T23)</f>
        <v>2251.6203839999998</v>
      </c>
    </row>
    <row r="24" spans="1:21" ht="38.25" customHeight="1">
      <c r="A24" s="146" t="s">
        <v>116</v>
      </c>
      <c r="B24" s="13" t="s">
        <v>104</v>
      </c>
      <c r="C24" s="26" t="s">
        <v>14</v>
      </c>
      <c r="D24" s="13" t="s">
        <v>15</v>
      </c>
      <c r="E24" s="36">
        <v>146.1</v>
      </c>
      <c r="F24" s="36">
        <f>SUM(E24*78/1000)</f>
        <v>11.395799999999999</v>
      </c>
      <c r="G24" s="36">
        <v>339.21</v>
      </c>
      <c r="H24" s="37">
        <f t="shared" si="2"/>
        <v>3.8655693179999995</v>
      </c>
      <c r="I24" s="29">
        <v>0</v>
      </c>
      <c r="J24" s="29">
        <v>0</v>
      </c>
      <c r="K24" s="29">
        <v>0</v>
      </c>
      <c r="L24" s="29">
        <v>0</v>
      </c>
      <c r="M24" s="29">
        <f>F24/6*G24</f>
        <v>644.26155299999994</v>
      </c>
      <c r="N24" s="29">
        <f>F24/6*G24</f>
        <v>644.26155299999994</v>
      </c>
      <c r="O24" s="29">
        <f>F24/6*G24</f>
        <v>644.26155299999994</v>
      </c>
      <c r="P24" s="29">
        <f>F24/6*G24</f>
        <v>644.26155299999994</v>
      </c>
      <c r="Q24" s="29">
        <f>F24/6*G24</f>
        <v>644.26155299999994</v>
      </c>
      <c r="R24" s="29">
        <f>F24/6*G24</f>
        <v>644.26155299999994</v>
      </c>
      <c r="S24" s="29">
        <v>0</v>
      </c>
      <c r="T24" s="29">
        <v>0</v>
      </c>
      <c r="U24" s="29">
        <f t="shared" si="3"/>
        <v>2577.0462119999997</v>
      </c>
    </row>
    <row r="25" spans="1:21">
      <c r="A25" s="146" t="s">
        <v>117</v>
      </c>
      <c r="B25" s="13" t="s">
        <v>16</v>
      </c>
      <c r="C25" s="26" t="s">
        <v>14</v>
      </c>
      <c r="D25" s="13" t="s">
        <v>17</v>
      </c>
      <c r="E25" s="36">
        <f>E23</f>
        <v>317.7</v>
      </c>
      <c r="F25" s="36">
        <f>SUM(E25/1000)</f>
        <v>0.31769999999999998</v>
      </c>
      <c r="G25" s="36">
        <v>3961.23</v>
      </c>
      <c r="H25" s="37">
        <f t="shared" si="2"/>
        <v>1.2584827709999999</v>
      </c>
      <c r="I25" s="29">
        <v>0</v>
      </c>
      <c r="J25" s="29">
        <v>0</v>
      </c>
      <c r="K25" s="29">
        <v>0</v>
      </c>
      <c r="L25" s="29">
        <v>0</v>
      </c>
      <c r="M25" s="29">
        <f>F25*G25</f>
        <v>1258.482771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f t="shared" si="3"/>
        <v>0</v>
      </c>
    </row>
    <row r="26" spans="1:21">
      <c r="A26" s="146" t="s">
        <v>204</v>
      </c>
      <c r="B26" s="13" t="s">
        <v>205</v>
      </c>
      <c r="C26" s="26" t="s">
        <v>43</v>
      </c>
      <c r="D26" s="13" t="s">
        <v>20</v>
      </c>
      <c r="E26" s="36">
        <v>5</v>
      </c>
      <c r="F26" s="36">
        <f>E26*155/100</f>
        <v>7.75</v>
      </c>
      <c r="G26" s="36">
        <v>1707.63</v>
      </c>
      <c r="H26" s="37">
        <f t="shared" si="2"/>
        <v>13.234132500000001</v>
      </c>
      <c r="I26" s="29">
        <v>0</v>
      </c>
      <c r="J26" s="29">
        <v>0</v>
      </c>
      <c r="K26" s="29">
        <v>0</v>
      </c>
      <c r="L26" s="29">
        <v>0</v>
      </c>
      <c r="M26" s="29">
        <f>F26/6*G26</f>
        <v>2205.6887500000003</v>
      </c>
      <c r="N26" s="29">
        <f>F26/6*G26</f>
        <v>2205.6887500000003</v>
      </c>
      <c r="O26" s="29">
        <f>F26/6*G26</f>
        <v>2205.6887500000003</v>
      </c>
      <c r="P26" s="29">
        <f>F26/6*G26</f>
        <v>2205.6887500000003</v>
      </c>
      <c r="Q26" s="29">
        <f>F26/6*G26</f>
        <v>2205.6887500000003</v>
      </c>
      <c r="R26" s="29">
        <f>F26/6*G26</f>
        <v>2205.6887500000003</v>
      </c>
      <c r="S26" s="29">
        <v>0</v>
      </c>
      <c r="T26" s="29">
        <v>0</v>
      </c>
      <c r="U26" s="29">
        <f t="shared" si="3"/>
        <v>8822.755000000001</v>
      </c>
    </row>
    <row r="27" spans="1:21">
      <c r="A27" s="146" t="s">
        <v>118</v>
      </c>
      <c r="B27" s="13" t="s">
        <v>18</v>
      </c>
      <c r="C27" s="26" t="s">
        <v>19</v>
      </c>
      <c r="D27" s="13" t="s">
        <v>20</v>
      </c>
      <c r="E27" s="38">
        <f>1/6</f>
        <v>0.16666666666666666</v>
      </c>
      <c r="F27" s="36">
        <f>155/6</f>
        <v>25.833333333333332</v>
      </c>
      <c r="G27" s="36">
        <v>74.349999999999994</v>
      </c>
      <c r="H27" s="37">
        <f t="shared" si="2"/>
        <v>1.920708333333333</v>
      </c>
      <c r="I27" s="29">
        <v>0</v>
      </c>
      <c r="J27" s="29">
        <v>0</v>
      </c>
      <c r="K27" s="29">
        <v>0</v>
      </c>
      <c r="L27" s="29">
        <v>0</v>
      </c>
      <c r="M27" s="29">
        <f>F27/6*G27</f>
        <v>320.11805555555554</v>
      </c>
      <c r="N27" s="29">
        <f>F27/6*G27</f>
        <v>320.11805555555554</v>
      </c>
      <c r="O27" s="29">
        <f>F27/6*G27</f>
        <v>320.11805555555554</v>
      </c>
      <c r="P27" s="29">
        <f>F27/6*G27</f>
        <v>320.11805555555554</v>
      </c>
      <c r="Q27" s="29">
        <f>F27/6*G27</f>
        <v>320.11805555555554</v>
      </c>
      <c r="R27" s="29">
        <f>F27/6*G27</f>
        <v>320.11805555555554</v>
      </c>
      <c r="S27" s="29">
        <v>0</v>
      </c>
      <c r="T27" s="29">
        <v>0</v>
      </c>
      <c r="U27" s="29">
        <f t="shared" si="3"/>
        <v>1280.4722222222222</v>
      </c>
    </row>
    <row r="28" spans="1:21" ht="12.75" customHeight="1">
      <c r="A28" s="146" t="s">
        <v>119</v>
      </c>
      <c r="B28" s="13" t="s">
        <v>21</v>
      </c>
      <c r="C28" s="26" t="s">
        <v>22</v>
      </c>
      <c r="D28" s="13" t="s">
        <v>206</v>
      </c>
      <c r="E28" s="39">
        <v>0.05</v>
      </c>
      <c r="F28" s="36">
        <f>SUM(E28*182)</f>
        <v>9.1</v>
      </c>
      <c r="G28" s="36">
        <v>264.85000000000002</v>
      </c>
      <c r="H28" s="37">
        <f t="shared" si="2"/>
        <v>2.4101350000000004</v>
      </c>
      <c r="I28" s="29">
        <f>F28/12*G28</f>
        <v>200.84458333333333</v>
      </c>
      <c r="J28" s="29">
        <f>F28/12*G28</f>
        <v>200.84458333333333</v>
      </c>
      <c r="K28" s="29">
        <f>F28/12*G28</f>
        <v>200.84458333333333</v>
      </c>
      <c r="L28" s="29">
        <f>F28/12*G28</f>
        <v>200.84458333333333</v>
      </c>
      <c r="M28" s="29">
        <f>F28/12*G28</f>
        <v>200.84458333333333</v>
      </c>
      <c r="N28" s="29">
        <f>F28/12*G28</f>
        <v>200.84458333333333</v>
      </c>
      <c r="O28" s="29">
        <f>F28/12*G28</f>
        <v>200.84458333333333</v>
      </c>
      <c r="P28" s="29">
        <f>F28/12*G28</f>
        <v>200.84458333333333</v>
      </c>
      <c r="Q28" s="29">
        <f>F28/12*G28</f>
        <v>200.84458333333333</v>
      </c>
      <c r="R28" s="29">
        <f>F28/12*G28</f>
        <v>200.84458333333333</v>
      </c>
      <c r="S28" s="29">
        <f>F28/12*G28</f>
        <v>200.84458333333333</v>
      </c>
      <c r="T28" s="29">
        <f>F28/12*G28</f>
        <v>200.84458333333333</v>
      </c>
      <c r="U28" s="29">
        <f t="shared" si="3"/>
        <v>1205.0674999999999</v>
      </c>
    </row>
    <row r="29" spans="1:21" ht="12.75" customHeight="1">
      <c r="A29" s="146" t="s">
        <v>120</v>
      </c>
      <c r="B29" s="13" t="s">
        <v>105</v>
      </c>
      <c r="C29" s="26" t="s">
        <v>22</v>
      </c>
      <c r="D29" s="13" t="s">
        <v>23</v>
      </c>
      <c r="E29" s="35"/>
      <c r="F29" s="36">
        <v>2</v>
      </c>
      <c r="G29" s="36">
        <v>250.92</v>
      </c>
      <c r="H29" s="37">
        <f t="shared" si="2"/>
        <v>0.50183999999999995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f t="shared" si="3"/>
        <v>0</v>
      </c>
    </row>
    <row r="30" spans="1:21" ht="12.75" customHeight="1">
      <c r="A30" s="146" t="s">
        <v>100</v>
      </c>
      <c r="B30" s="13" t="s">
        <v>106</v>
      </c>
      <c r="C30" s="26" t="s">
        <v>24</v>
      </c>
      <c r="D30" s="13" t="s">
        <v>23</v>
      </c>
      <c r="E30" s="35"/>
      <c r="F30" s="36">
        <v>1</v>
      </c>
      <c r="G30" s="36">
        <v>1490.31</v>
      </c>
      <c r="H30" s="37">
        <f t="shared" si="2"/>
        <v>1.49031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f t="shared" si="3"/>
        <v>0</v>
      </c>
    </row>
    <row r="31" spans="1:21">
      <c r="A31" s="146"/>
      <c r="B31" s="40" t="s">
        <v>25</v>
      </c>
      <c r="C31" s="26" t="s">
        <v>26</v>
      </c>
      <c r="D31" s="40" t="s">
        <v>27</v>
      </c>
      <c r="E31" s="35">
        <v>3053.4</v>
      </c>
      <c r="F31" s="36">
        <f>SUM(E31*12)</f>
        <v>36640.800000000003</v>
      </c>
      <c r="G31" s="36">
        <v>4.09</v>
      </c>
      <c r="H31" s="37">
        <f t="shared" si="2"/>
        <v>149.860872</v>
      </c>
      <c r="I31" s="29">
        <f>F31/12*G31</f>
        <v>12488.405999999999</v>
      </c>
      <c r="J31" s="29">
        <f>F31/12*G31</f>
        <v>12488.405999999999</v>
      </c>
      <c r="K31" s="29">
        <f>F31/12*G31</f>
        <v>12488.405999999999</v>
      </c>
      <c r="L31" s="29">
        <f>F31/12*G31</f>
        <v>12488.405999999999</v>
      </c>
      <c r="M31" s="29">
        <f>F31/12*G31</f>
        <v>12488.405999999999</v>
      </c>
      <c r="N31" s="29">
        <f>F31/12*G31</f>
        <v>12488.405999999999</v>
      </c>
      <c r="O31" s="29">
        <f>F31/12*G31</f>
        <v>12488.405999999999</v>
      </c>
      <c r="P31" s="29">
        <f>F31/12*G31</f>
        <v>12488.405999999999</v>
      </c>
      <c r="Q31" s="29">
        <f>F31/12*G31</f>
        <v>12488.405999999999</v>
      </c>
      <c r="R31" s="29">
        <f>F31/12*G31</f>
        <v>12488.405999999999</v>
      </c>
      <c r="S31" s="29">
        <f>F31/12*G31</f>
        <v>12488.405999999999</v>
      </c>
      <c r="T31" s="29">
        <f>F31/12*G31</f>
        <v>12488.405999999999</v>
      </c>
      <c r="U31" s="29">
        <f t="shared" si="3"/>
        <v>74930.436000000002</v>
      </c>
    </row>
    <row r="32" spans="1:21" s="9" customFormat="1">
      <c r="A32" s="147"/>
      <c r="B32" s="14" t="s">
        <v>12</v>
      </c>
      <c r="C32" s="41"/>
      <c r="D32" s="14"/>
      <c r="E32" s="42"/>
      <c r="F32" s="43"/>
      <c r="G32" s="43"/>
      <c r="H32" s="140">
        <f>SUM(H23:H31)</f>
        <v>177.91948049833334</v>
      </c>
      <c r="I32" s="111"/>
      <c r="J32" s="111"/>
      <c r="K32" s="111"/>
      <c r="L32" s="111"/>
      <c r="M32" s="120"/>
      <c r="N32" s="82"/>
      <c r="O32" s="82"/>
      <c r="P32" s="82"/>
      <c r="Q32" s="82"/>
      <c r="R32" s="82"/>
      <c r="S32" s="82"/>
      <c r="T32" s="82"/>
      <c r="U32" s="77">
        <f>SUM(U23:U31)</f>
        <v>91067.397318222225</v>
      </c>
    </row>
    <row r="33" spans="1:21">
      <c r="A33" s="146"/>
      <c r="B33" s="12" t="s">
        <v>28</v>
      </c>
      <c r="C33" s="26"/>
      <c r="D33" s="13"/>
      <c r="E33" s="35"/>
      <c r="F33" s="36"/>
      <c r="G33" s="36"/>
      <c r="H33" s="37" t="s">
        <v>27</v>
      </c>
      <c r="I33" s="33"/>
      <c r="J33" s="33"/>
      <c r="K33" s="33"/>
      <c r="L33" s="33"/>
      <c r="M33" s="121"/>
      <c r="N33" s="28"/>
      <c r="O33" s="28"/>
      <c r="P33" s="28"/>
      <c r="Q33" s="28"/>
      <c r="R33" s="28"/>
      <c r="S33" s="28"/>
      <c r="T33" s="28"/>
      <c r="U33" s="29"/>
    </row>
    <row r="34" spans="1:21" ht="12.75" customHeight="1">
      <c r="A34" s="146" t="s">
        <v>100</v>
      </c>
      <c r="B34" s="15" t="s">
        <v>29</v>
      </c>
      <c r="C34" s="26" t="s">
        <v>24</v>
      </c>
      <c r="D34" s="13"/>
      <c r="E34" s="35"/>
      <c r="F34" s="36">
        <v>3</v>
      </c>
      <c r="G34" s="36">
        <v>2003</v>
      </c>
      <c r="H34" s="37">
        <f t="shared" ref="H34:H40" si="4">SUM(F34*G34/1000)</f>
        <v>6.0090000000000003</v>
      </c>
      <c r="I34" s="29">
        <f t="shared" ref="I34:I40" si="5">F34/6*G34</f>
        <v>1001.5</v>
      </c>
      <c r="J34" s="29">
        <f t="shared" ref="J34:J40" si="6">F34/6*G34</f>
        <v>1001.5</v>
      </c>
      <c r="K34" s="29">
        <f>F34/6*G34</f>
        <v>1001.5</v>
      </c>
      <c r="L34" s="29">
        <f>F34/6*G34</f>
        <v>1001.5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f>F34/6*G34</f>
        <v>1001.5</v>
      </c>
      <c r="T34" s="29">
        <f>F34/6*G34</f>
        <v>1001.5</v>
      </c>
      <c r="U34" s="29">
        <f t="shared" ref="U34:U40" si="7">SUM(O34:T34)</f>
        <v>2003</v>
      </c>
    </row>
    <row r="35" spans="1:21" s="1" customFormat="1">
      <c r="A35" s="148" t="s">
        <v>121</v>
      </c>
      <c r="B35" s="15" t="s">
        <v>30</v>
      </c>
      <c r="C35" s="45" t="s">
        <v>31</v>
      </c>
      <c r="D35" s="15" t="s">
        <v>207</v>
      </c>
      <c r="E35" s="46">
        <v>160.6</v>
      </c>
      <c r="F35" s="46">
        <f>SUM(E35*18/1000)</f>
        <v>2.8907999999999996</v>
      </c>
      <c r="G35" s="46">
        <v>2757.78</v>
      </c>
      <c r="H35" s="37">
        <f t="shared" si="4"/>
        <v>7.972190423999999</v>
      </c>
      <c r="I35" s="47">
        <f t="shared" si="5"/>
        <v>1328.698404</v>
      </c>
      <c r="J35" s="47">
        <f t="shared" si="6"/>
        <v>1328.698404</v>
      </c>
      <c r="K35" s="47">
        <f t="shared" ref="K35:K40" si="8">F35/6*G35</f>
        <v>1328.698404</v>
      </c>
      <c r="L35" s="29">
        <f t="shared" ref="L35:L40" si="9">F35/6*G35</f>
        <v>1328.698404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f t="shared" ref="S35:S40" si="10">F35/6*G35</f>
        <v>1328.698404</v>
      </c>
      <c r="T35" s="29">
        <f t="shared" ref="T35:T40" si="11">F35/6*G35</f>
        <v>1328.698404</v>
      </c>
      <c r="U35" s="29">
        <f t="shared" si="7"/>
        <v>2657.396808</v>
      </c>
    </row>
    <row r="36" spans="1:21" ht="25.5" customHeight="1">
      <c r="A36" s="146" t="s">
        <v>122</v>
      </c>
      <c r="B36" s="13" t="s">
        <v>107</v>
      </c>
      <c r="C36" s="26" t="s">
        <v>31</v>
      </c>
      <c r="D36" s="13" t="s">
        <v>179</v>
      </c>
      <c r="E36" s="35">
        <v>89.1</v>
      </c>
      <c r="F36" s="46">
        <f>SUM(E36*155/1000)</f>
        <v>13.810499999999999</v>
      </c>
      <c r="G36" s="36">
        <v>460.02</v>
      </c>
      <c r="H36" s="37">
        <f t="shared" si="4"/>
        <v>6.3531062099999991</v>
      </c>
      <c r="I36" s="29">
        <f t="shared" si="5"/>
        <v>1058.8510349999999</v>
      </c>
      <c r="J36" s="29">
        <f t="shared" si="6"/>
        <v>1058.8510349999999</v>
      </c>
      <c r="K36" s="29">
        <f t="shared" si="8"/>
        <v>1058.8510349999999</v>
      </c>
      <c r="L36" s="29">
        <f t="shared" si="9"/>
        <v>1058.8510349999999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f t="shared" si="10"/>
        <v>1058.8510349999999</v>
      </c>
      <c r="T36" s="29">
        <f t="shared" si="11"/>
        <v>1058.8510349999999</v>
      </c>
      <c r="U36" s="29">
        <f t="shared" si="7"/>
        <v>2117.7020699999998</v>
      </c>
    </row>
    <row r="37" spans="1:21">
      <c r="A37" s="146" t="s">
        <v>100</v>
      </c>
      <c r="B37" s="13" t="s">
        <v>208</v>
      </c>
      <c r="C37" s="26" t="s">
        <v>209</v>
      </c>
      <c r="D37" s="13" t="s">
        <v>23</v>
      </c>
      <c r="E37" s="35"/>
      <c r="F37" s="46">
        <v>39</v>
      </c>
      <c r="G37" s="36">
        <v>301.70999999999998</v>
      </c>
      <c r="H37" s="37">
        <f t="shared" si="4"/>
        <v>11.766689999999999</v>
      </c>
      <c r="I37" s="29">
        <v>0</v>
      </c>
      <c r="J37" s="29">
        <v>0</v>
      </c>
      <c r="K37" s="29">
        <v>0</v>
      </c>
      <c r="L37" s="29">
        <f>G37*39</f>
        <v>11766.689999999999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f t="shared" si="7"/>
        <v>0</v>
      </c>
    </row>
    <row r="38" spans="1:21" ht="51" customHeight="1">
      <c r="A38" s="146" t="s">
        <v>123</v>
      </c>
      <c r="B38" s="13" t="s">
        <v>108</v>
      </c>
      <c r="C38" s="26" t="s">
        <v>14</v>
      </c>
      <c r="D38" s="13" t="s">
        <v>210</v>
      </c>
      <c r="E38" s="36">
        <v>46.5</v>
      </c>
      <c r="F38" s="46">
        <f>SUM(E38*35/1000)</f>
        <v>1.6274999999999999</v>
      </c>
      <c r="G38" s="36">
        <v>7611.16</v>
      </c>
      <c r="H38" s="37">
        <f t="shared" si="4"/>
        <v>12.3871629</v>
      </c>
      <c r="I38" s="29">
        <f t="shared" si="5"/>
        <v>2064.5271499999999</v>
      </c>
      <c r="J38" s="29">
        <f t="shared" si="6"/>
        <v>2064.5271499999999</v>
      </c>
      <c r="K38" s="29">
        <f t="shared" si="8"/>
        <v>2064.5271499999999</v>
      </c>
      <c r="L38" s="29">
        <f t="shared" si="9"/>
        <v>2064.5271499999999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f t="shared" si="10"/>
        <v>2064.5271499999999</v>
      </c>
      <c r="T38" s="29">
        <f t="shared" si="11"/>
        <v>2064.5271499999999</v>
      </c>
      <c r="U38" s="29">
        <f t="shared" si="7"/>
        <v>4129.0542999999998</v>
      </c>
    </row>
    <row r="39" spans="1:21" ht="12.75" customHeight="1">
      <c r="A39" s="146" t="s">
        <v>124</v>
      </c>
      <c r="B39" s="13" t="s">
        <v>109</v>
      </c>
      <c r="C39" s="26" t="s">
        <v>14</v>
      </c>
      <c r="D39" s="13" t="s">
        <v>238</v>
      </c>
      <c r="E39" s="36">
        <v>89.1</v>
      </c>
      <c r="F39" s="46">
        <f>SUM(E39*15/1000)</f>
        <v>1.3365</v>
      </c>
      <c r="G39" s="36">
        <v>562.25</v>
      </c>
      <c r="H39" s="37">
        <f t="shared" si="4"/>
        <v>0.75144712499999999</v>
      </c>
      <c r="I39" s="29">
        <f t="shared" si="5"/>
        <v>125.2411875</v>
      </c>
      <c r="J39" s="29">
        <f t="shared" si="6"/>
        <v>125.2411875</v>
      </c>
      <c r="K39" s="29">
        <f t="shared" si="8"/>
        <v>125.2411875</v>
      </c>
      <c r="L39" s="29">
        <f t="shared" si="9"/>
        <v>125.2411875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9">
        <f t="shared" si="7"/>
        <v>0</v>
      </c>
    </row>
    <row r="40" spans="1:21" s="2" customFormat="1">
      <c r="A40" s="148"/>
      <c r="B40" s="15" t="s">
        <v>110</v>
      </c>
      <c r="C40" s="45" t="s">
        <v>22</v>
      </c>
      <c r="D40" s="15"/>
      <c r="E40" s="39"/>
      <c r="F40" s="46">
        <v>0.9</v>
      </c>
      <c r="G40" s="46">
        <v>974.83</v>
      </c>
      <c r="H40" s="37">
        <f t="shared" si="4"/>
        <v>0.8773470000000001</v>
      </c>
      <c r="I40" s="47">
        <f t="shared" si="5"/>
        <v>146.22450000000001</v>
      </c>
      <c r="J40" s="47">
        <f t="shared" si="6"/>
        <v>146.22450000000001</v>
      </c>
      <c r="K40" s="47">
        <f t="shared" si="8"/>
        <v>146.22450000000001</v>
      </c>
      <c r="L40" s="29">
        <f t="shared" si="9"/>
        <v>146.22450000000001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f t="shared" si="10"/>
        <v>146.22450000000001</v>
      </c>
      <c r="T40" s="29">
        <f t="shared" si="11"/>
        <v>146.22450000000001</v>
      </c>
      <c r="U40" s="29">
        <f t="shared" si="7"/>
        <v>292.44900000000001</v>
      </c>
    </row>
    <row r="41" spans="1:21" s="9" customFormat="1">
      <c r="A41" s="147"/>
      <c r="B41" s="14" t="s">
        <v>12</v>
      </c>
      <c r="C41" s="41"/>
      <c r="D41" s="14"/>
      <c r="E41" s="42"/>
      <c r="F41" s="43" t="s">
        <v>27</v>
      </c>
      <c r="G41" s="43"/>
      <c r="H41" s="140">
        <f>SUM(H34:H40)</f>
        <v>46.116943658999993</v>
      </c>
      <c r="I41" s="111"/>
      <c r="J41" s="111"/>
      <c r="K41" s="111"/>
      <c r="L41" s="111"/>
      <c r="M41" s="120"/>
      <c r="N41" s="82"/>
      <c r="O41" s="82"/>
      <c r="P41" s="82"/>
      <c r="Q41" s="82"/>
      <c r="R41" s="82"/>
      <c r="S41" s="82"/>
      <c r="T41" s="82"/>
      <c r="U41" s="77">
        <f>SUM(U34:U40)</f>
        <v>11199.602177999999</v>
      </c>
    </row>
    <row r="42" spans="1:21">
      <c r="A42" s="146"/>
      <c r="B42" s="16" t="s">
        <v>32</v>
      </c>
      <c r="C42" s="26"/>
      <c r="D42" s="13"/>
      <c r="E42" s="35"/>
      <c r="F42" s="36"/>
      <c r="G42" s="36"/>
      <c r="H42" s="37"/>
      <c r="I42" s="33"/>
      <c r="J42" s="33"/>
      <c r="K42" s="33"/>
      <c r="L42" s="33"/>
      <c r="M42" s="121"/>
      <c r="N42" s="28"/>
      <c r="O42" s="28"/>
      <c r="P42" s="28"/>
      <c r="Q42" s="28"/>
      <c r="R42" s="28"/>
      <c r="S42" s="28"/>
      <c r="T42" s="28"/>
      <c r="U42" s="29"/>
    </row>
    <row r="43" spans="1:21">
      <c r="A43" s="146" t="s">
        <v>125</v>
      </c>
      <c r="B43" s="13" t="s">
        <v>112</v>
      </c>
      <c r="C43" s="26" t="s">
        <v>14</v>
      </c>
      <c r="D43" s="13" t="s">
        <v>33</v>
      </c>
      <c r="E43" s="35">
        <v>1632.75</v>
      </c>
      <c r="F43" s="36">
        <f>SUM(E43*2/1000)</f>
        <v>3.2654999999999998</v>
      </c>
      <c r="G43" s="48">
        <v>1062</v>
      </c>
      <c r="H43" s="37">
        <f t="shared" ref="H43:H52" si="12">SUM(F43*G43/1000)</f>
        <v>3.4679609999999998</v>
      </c>
      <c r="I43" s="29">
        <v>0</v>
      </c>
      <c r="J43" s="29">
        <v>0</v>
      </c>
      <c r="K43" s="29">
        <v>0</v>
      </c>
      <c r="L43" s="29">
        <v>0</v>
      </c>
      <c r="M43" s="29">
        <f>F43/2*G43</f>
        <v>1733.9804999999999</v>
      </c>
      <c r="N43" s="29">
        <v>0</v>
      </c>
      <c r="O43" s="29">
        <v>0</v>
      </c>
      <c r="P43" s="29">
        <v>0</v>
      </c>
      <c r="Q43" s="29">
        <f t="shared" ref="Q43:Q45" si="13">F43/2*G43</f>
        <v>1733.9804999999999</v>
      </c>
      <c r="R43" s="29">
        <v>0</v>
      </c>
      <c r="S43" s="29">
        <v>0</v>
      </c>
      <c r="T43" s="29">
        <v>0</v>
      </c>
      <c r="U43" s="29">
        <f t="shared" ref="U43:U52" si="14">SUM(O43:T43)</f>
        <v>1733.9804999999999</v>
      </c>
    </row>
    <row r="44" spans="1:21">
      <c r="A44" s="146" t="s">
        <v>126</v>
      </c>
      <c r="B44" s="13" t="s">
        <v>34</v>
      </c>
      <c r="C44" s="26" t="s">
        <v>14</v>
      </c>
      <c r="D44" s="13" t="s">
        <v>33</v>
      </c>
      <c r="E44" s="35">
        <v>53.75</v>
      </c>
      <c r="F44" s="36">
        <f>SUM(E44*2/1000)</f>
        <v>0.1075</v>
      </c>
      <c r="G44" s="48">
        <v>759.98</v>
      </c>
      <c r="H44" s="37">
        <f t="shared" si="12"/>
        <v>8.1697850000000002E-2</v>
      </c>
      <c r="I44" s="29">
        <v>0</v>
      </c>
      <c r="J44" s="29">
        <v>0</v>
      </c>
      <c r="K44" s="29">
        <v>0</v>
      </c>
      <c r="L44" s="29">
        <v>0</v>
      </c>
      <c r="M44" s="29">
        <f t="shared" ref="M44:M47" si="15">F44/2*G44</f>
        <v>40.848925000000001</v>
      </c>
      <c r="N44" s="29">
        <v>0</v>
      </c>
      <c r="O44" s="29">
        <v>0</v>
      </c>
      <c r="P44" s="29">
        <v>0</v>
      </c>
      <c r="Q44" s="29">
        <f t="shared" si="13"/>
        <v>40.848925000000001</v>
      </c>
      <c r="R44" s="29">
        <v>0</v>
      </c>
      <c r="S44" s="29">
        <v>0</v>
      </c>
      <c r="T44" s="29">
        <v>0</v>
      </c>
      <c r="U44" s="29">
        <f t="shared" si="14"/>
        <v>40.848925000000001</v>
      </c>
    </row>
    <row r="45" spans="1:21" ht="12.75" customHeight="1">
      <c r="A45" s="146" t="s">
        <v>127</v>
      </c>
      <c r="B45" s="13" t="s">
        <v>35</v>
      </c>
      <c r="C45" s="26" t="s">
        <v>14</v>
      </c>
      <c r="D45" s="13" t="s">
        <v>33</v>
      </c>
      <c r="E45" s="35">
        <v>2285.6</v>
      </c>
      <c r="F45" s="36">
        <f>SUM(E45*2/1000)</f>
        <v>4.5712000000000002</v>
      </c>
      <c r="G45" s="48">
        <v>759.98</v>
      </c>
      <c r="H45" s="37">
        <f t="shared" si="12"/>
        <v>3.4740205760000005</v>
      </c>
      <c r="I45" s="29">
        <v>0</v>
      </c>
      <c r="J45" s="29">
        <v>0</v>
      </c>
      <c r="K45" s="29">
        <v>0</v>
      </c>
      <c r="L45" s="29">
        <v>0</v>
      </c>
      <c r="M45" s="29">
        <f t="shared" si="15"/>
        <v>1737.0102880000002</v>
      </c>
      <c r="N45" s="29">
        <v>0</v>
      </c>
      <c r="O45" s="29">
        <v>0</v>
      </c>
      <c r="P45" s="29">
        <v>0</v>
      </c>
      <c r="Q45" s="29">
        <f t="shared" si="13"/>
        <v>1737.0102880000002</v>
      </c>
      <c r="R45" s="29">
        <v>0</v>
      </c>
      <c r="S45" s="29">
        <v>0</v>
      </c>
      <c r="T45" s="29">
        <v>0</v>
      </c>
      <c r="U45" s="29">
        <f t="shared" si="14"/>
        <v>1737.0102880000002</v>
      </c>
    </row>
    <row r="46" spans="1:21">
      <c r="A46" s="26" t="s">
        <v>180</v>
      </c>
      <c r="B46" s="13" t="s">
        <v>181</v>
      </c>
      <c r="C46" s="26" t="s">
        <v>14</v>
      </c>
      <c r="D46" s="13" t="s">
        <v>33</v>
      </c>
      <c r="E46" s="35">
        <v>1860</v>
      </c>
      <c r="F46" s="36">
        <f>SUM(E46*2/1000)</f>
        <v>3.72</v>
      </c>
      <c r="G46" s="48">
        <v>795.82</v>
      </c>
      <c r="H46" s="37">
        <f t="shared" si="12"/>
        <v>2.9604504</v>
      </c>
      <c r="I46" s="29">
        <v>0</v>
      </c>
      <c r="J46" s="29">
        <v>0</v>
      </c>
      <c r="K46" s="29">
        <v>0</v>
      </c>
      <c r="L46" s="29">
        <v>0</v>
      </c>
      <c r="M46" s="29">
        <f>F46/2*G46</f>
        <v>1480.2252000000001</v>
      </c>
      <c r="N46" s="29">
        <v>0</v>
      </c>
      <c r="O46" s="29">
        <v>0</v>
      </c>
      <c r="P46" s="29">
        <v>0</v>
      </c>
      <c r="Q46" s="29">
        <f>F46/2*G46</f>
        <v>1480.2252000000001</v>
      </c>
      <c r="R46" s="29">
        <v>0</v>
      </c>
      <c r="S46" s="29">
        <v>0</v>
      </c>
      <c r="T46" s="29">
        <v>0</v>
      </c>
      <c r="U46" s="29">
        <f t="shared" si="14"/>
        <v>1480.2252000000001</v>
      </c>
    </row>
    <row r="47" spans="1:21">
      <c r="A47" s="146" t="s">
        <v>128</v>
      </c>
      <c r="B47" s="13" t="s">
        <v>36</v>
      </c>
      <c r="C47" s="26" t="s">
        <v>37</v>
      </c>
      <c r="D47" s="13" t="s">
        <v>33</v>
      </c>
      <c r="E47" s="35">
        <v>120.5</v>
      </c>
      <c r="F47" s="36">
        <f>SUM(E47*2/100)</f>
        <v>2.41</v>
      </c>
      <c r="G47" s="48">
        <v>95.49</v>
      </c>
      <c r="H47" s="37">
        <f t="shared" si="12"/>
        <v>0.2301309</v>
      </c>
      <c r="I47" s="29">
        <v>0</v>
      </c>
      <c r="J47" s="29">
        <v>0</v>
      </c>
      <c r="K47" s="29">
        <v>0</v>
      </c>
      <c r="L47" s="29">
        <v>0</v>
      </c>
      <c r="M47" s="29">
        <f t="shared" si="15"/>
        <v>115.06545</v>
      </c>
      <c r="N47" s="29">
        <v>0</v>
      </c>
      <c r="O47" s="29">
        <v>0</v>
      </c>
      <c r="P47" s="29">
        <v>0</v>
      </c>
      <c r="Q47" s="29">
        <f>F47/2*G47</f>
        <v>115.06545</v>
      </c>
      <c r="R47" s="29">
        <v>0</v>
      </c>
      <c r="S47" s="29">
        <v>0</v>
      </c>
      <c r="T47" s="29">
        <v>0</v>
      </c>
      <c r="U47" s="29">
        <f t="shared" si="14"/>
        <v>115.06545</v>
      </c>
    </row>
    <row r="48" spans="1:21" ht="25.5" customHeight="1">
      <c r="A48" s="146" t="s">
        <v>129</v>
      </c>
      <c r="B48" s="13" t="s">
        <v>38</v>
      </c>
      <c r="C48" s="26" t="s">
        <v>14</v>
      </c>
      <c r="D48" s="13" t="s">
        <v>39</v>
      </c>
      <c r="E48" s="35">
        <v>3053.4</v>
      </c>
      <c r="F48" s="36">
        <f>SUM(E48*5/1000)</f>
        <v>15.266999999999999</v>
      </c>
      <c r="G48" s="48">
        <v>1591.6</v>
      </c>
      <c r="H48" s="37">
        <f t="shared" si="12"/>
        <v>24.298957199999997</v>
      </c>
      <c r="I48" s="29">
        <f>F48/5*G48</f>
        <v>4859.79144</v>
      </c>
      <c r="J48" s="29">
        <f>F48/5*G48</f>
        <v>4859.79144</v>
      </c>
      <c r="K48" s="29">
        <v>0</v>
      </c>
      <c r="L48" s="29">
        <v>0</v>
      </c>
      <c r="M48" s="29">
        <f>F48/5*G48</f>
        <v>4859.79144</v>
      </c>
      <c r="N48" s="29">
        <v>0</v>
      </c>
      <c r="O48" s="29">
        <v>0</v>
      </c>
      <c r="P48" s="29">
        <v>0</v>
      </c>
      <c r="Q48" s="29">
        <f>F48/5*G48</f>
        <v>4859.79144</v>
      </c>
      <c r="R48" s="29">
        <v>0</v>
      </c>
      <c r="S48" s="29">
        <v>0</v>
      </c>
      <c r="T48" s="29">
        <f>F48/5*G48</f>
        <v>4859.79144</v>
      </c>
      <c r="U48" s="29">
        <f t="shared" si="14"/>
        <v>9719.5828799999999</v>
      </c>
    </row>
    <row r="49" spans="1:21" ht="38.25" customHeight="1">
      <c r="A49" s="146" t="s">
        <v>130</v>
      </c>
      <c r="B49" s="13" t="s">
        <v>40</v>
      </c>
      <c r="C49" s="26" t="s">
        <v>14</v>
      </c>
      <c r="D49" s="13" t="s">
        <v>33</v>
      </c>
      <c r="E49" s="35">
        <f>E48</f>
        <v>3053.4</v>
      </c>
      <c r="F49" s="36">
        <f>SUM(E49*2/1000)</f>
        <v>6.1067999999999998</v>
      </c>
      <c r="G49" s="48">
        <v>1591.6</v>
      </c>
      <c r="H49" s="37">
        <f t="shared" si="12"/>
        <v>9.7195828800000008</v>
      </c>
      <c r="I49" s="29">
        <v>0</v>
      </c>
      <c r="J49" s="29">
        <v>0</v>
      </c>
      <c r="K49" s="29">
        <v>0</v>
      </c>
      <c r="L49" s="29">
        <v>0</v>
      </c>
      <c r="M49" s="29">
        <f>F49/2*G49</f>
        <v>4859.79144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f>F49/2*G49</f>
        <v>4859.79144</v>
      </c>
      <c r="U49" s="29">
        <f t="shared" si="14"/>
        <v>4859.79144</v>
      </c>
    </row>
    <row r="50" spans="1:21" ht="25.5" customHeight="1">
      <c r="A50" s="146" t="s">
        <v>131</v>
      </c>
      <c r="B50" s="13" t="s">
        <v>111</v>
      </c>
      <c r="C50" s="26" t="s">
        <v>41</v>
      </c>
      <c r="D50" s="13" t="s">
        <v>33</v>
      </c>
      <c r="E50" s="35">
        <v>20</v>
      </c>
      <c r="F50" s="36">
        <f>SUM(E50*2/100)</f>
        <v>0.4</v>
      </c>
      <c r="G50" s="48">
        <v>3581.13</v>
      </c>
      <c r="H50" s="37">
        <f t="shared" si="12"/>
        <v>1.4324520000000003</v>
      </c>
      <c r="I50" s="29">
        <v>0</v>
      </c>
      <c r="J50" s="29">
        <v>0</v>
      </c>
      <c r="K50" s="29">
        <v>0</v>
      </c>
      <c r="L50" s="29">
        <v>0</v>
      </c>
      <c r="M50" s="29">
        <f>F50/2*G50</f>
        <v>716.22600000000011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f t="shared" ref="T50:T51" si="16">F50/2*G50</f>
        <v>716.22600000000011</v>
      </c>
      <c r="U50" s="29">
        <f t="shared" si="14"/>
        <v>716.22600000000011</v>
      </c>
    </row>
    <row r="51" spans="1:21">
      <c r="A51" s="146" t="s">
        <v>132</v>
      </c>
      <c r="B51" s="13" t="s">
        <v>42</v>
      </c>
      <c r="C51" s="26" t="s">
        <v>43</v>
      </c>
      <c r="D51" s="13" t="s">
        <v>33</v>
      </c>
      <c r="E51" s="35">
        <v>1</v>
      </c>
      <c r="F51" s="36">
        <v>0.02</v>
      </c>
      <c r="G51" s="48">
        <v>7412.92</v>
      </c>
      <c r="H51" s="37">
        <f t="shared" si="12"/>
        <v>0.14825839999999998</v>
      </c>
      <c r="I51" s="29">
        <v>0</v>
      </c>
      <c r="J51" s="29">
        <v>0</v>
      </c>
      <c r="K51" s="29">
        <v>0</v>
      </c>
      <c r="L51" s="29">
        <f>F51/2*G51</f>
        <v>74.129199999999997</v>
      </c>
      <c r="M51" s="169">
        <v>0</v>
      </c>
      <c r="N51" s="29">
        <v>0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29">
        <f t="shared" si="16"/>
        <v>74.129199999999997</v>
      </c>
      <c r="U51" s="29">
        <f t="shared" si="14"/>
        <v>74.129199999999997</v>
      </c>
    </row>
    <row r="52" spans="1:21" ht="13.5" customHeight="1">
      <c r="A52" s="146" t="s">
        <v>45</v>
      </c>
      <c r="B52" s="13" t="s">
        <v>46</v>
      </c>
      <c r="C52" s="26" t="s">
        <v>44</v>
      </c>
      <c r="D52" s="13" t="s">
        <v>95</v>
      </c>
      <c r="E52" s="35">
        <v>128</v>
      </c>
      <c r="F52" s="36">
        <f>SUM(E52)*3</f>
        <v>384</v>
      </c>
      <c r="G52" s="49">
        <v>86.15</v>
      </c>
      <c r="H52" s="37">
        <f t="shared" si="12"/>
        <v>33.081600000000009</v>
      </c>
      <c r="I52" s="29">
        <f>24*G52</f>
        <v>2067.6000000000004</v>
      </c>
      <c r="J52" s="29">
        <v>0</v>
      </c>
      <c r="K52" s="29">
        <v>0</v>
      </c>
      <c r="L52" s="29">
        <v>0</v>
      </c>
      <c r="M52" s="29">
        <f>E52*G52</f>
        <v>11027.2</v>
      </c>
      <c r="N52" s="29">
        <v>0</v>
      </c>
      <c r="O52" s="29">
        <v>0</v>
      </c>
      <c r="P52" s="169">
        <v>0</v>
      </c>
      <c r="Q52" s="29">
        <f>E52*G52</f>
        <v>11027.2</v>
      </c>
      <c r="R52" s="29">
        <v>0</v>
      </c>
      <c r="S52" s="29">
        <v>0</v>
      </c>
      <c r="T52" s="29">
        <v>0</v>
      </c>
      <c r="U52" s="29">
        <f t="shared" si="14"/>
        <v>11027.2</v>
      </c>
    </row>
    <row r="53" spans="1:21" s="10" customFormat="1">
      <c r="A53" s="149"/>
      <c r="B53" s="14" t="s">
        <v>12</v>
      </c>
      <c r="C53" s="50"/>
      <c r="D53" s="14"/>
      <c r="E53" s="51"/>
      <c r="F53" s="52"/>
      <c r="G53" s="52"/>
      <c r="H53" s="140">
        <f>SUM(H43:H52)</f>
        <v>78.89511120600001</v>
      </c>
      <c r="I53" s="112"/>
      <c r="J53" s="112"/>
      <c r="K53" s="112"/>
      <c r="L53" s="112"/>
      <c r="M53" s="122"/>
      <c r="N53" s="113"/>
      <c r="O53" s="113"/>
      <c r="P53" s="113"/>
      <c r="Q53" s="113"/>
      <c r="R53" s="113"/>
      <c r="S53" s="113"/>
      <c r="T53" s="113"/>
      <c r="U53" s="67">
        <f>SUM(U43:U52)</f>
        <v>31504.059882999998</v>
      </c>
    </row>
    <row r="54" spans="1:21">
      <c r="A54" s="146"/>
      <c r="B54" s="12" t="s">
        <v>47</v>
      </c>
      <c r="C54" s="26"/>
      <c r="D54" s="13"/>
      <c r="E54" s="35"/>
      <c r="F54" s="36"/>
      <c r="G54" s="36"/>
      <c r="H54" s="37"/>
      <c r="I54" s="33"/>
      <c r="J54" s="33"/>
      <c r="K54" s="33"/>
      <c r="L54" s="33"/>
      <c r="M54" s="121"/>
      <c r="N54" s="28"/>
      <c r="O54" s="28"/>
      <c r="P54" s="28"/>
      <c r="Q54" s="28"/>
      <c r="R54" s="28"/>
      <c r="S54" s="28"/>
      <c r="T54" s="28"/>
      <c r="U54" s="29"/>
    </row>
    <row r="55" spans="1:21" ht="38.25" customHeight="1">
      <c r="A55" s="150" t="s">
        <v>133</v>
      </c>
      <c r="B55" s="13" t="s">
        <v>113</v>
      </c>
      <c r="C55" s="26" t="s">
        <v>11</v>
      </c>
      <c r="D55" s="13" t="s">
        <v>182</v>
      </c>
      <c r="E55" s="35">
        <v>92.7</v>
      </c>
      <c r="F55" s="36">
        <f>SUM(E55*6/100)</f>
        <v>5.5620000000000003</v>
      </c>
      <c r="G55" s="48">
        <v>2431.1799999999998</v>
      </c>
      <c r="H55" s="37">
        <f>SUM(F55*G55/1000)</f>
        <v>13.522223159999999</v>
      </c>
      <c r="I55" s="29">
        <f>F55/6*G55</f>
        <v>2253.7038600000001</v>
      </c>
      <c r="J55" s="29">
        <f>F55/6*G55</f>
        <v>2253.7038600000001</v>
      </c>
      <c r="K55" s="29">
        <f>F55/6*G55</f>
        <v>2253.7038600000001</v>
      </c>
      <c r="L55" s="29">
        <f>F55/6*G55</f>
        <v>2253.7038600000001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f>F55/6*G55</f>
        <v>2253.7038600000001</v>
      </c>
      <c r="T55" s="29">
        <f>F55/6*G55</f>
        <v>2253.7038600000001</v>
      </c>
      <c r="U55" s="29">
        <f t="shared" ref="U55:U83" si="17">SUM(O55:T55)</f>
        <v>4507.4077200000002</v>
      </c>
    </row>
    <row r="56" spans="1:21" ht="12.75" customHeight="1">
      <c r="A56" s="150" t="s">
        <v>100</v>
      </c>
      <c r="B56" s="13" t="s">
        <v>170</v>
      </c>
      <c r="C56" s="26" t="s">
        <v>101</v>
      </c>
      <c r="D56" s="21" t="s">
        <v>23</v>
      </c>
      <c r="E56" s="35"/>
      <c r="F56" s="36">
        <v>2</v>
      </c>
      <c r="G56" s="53">
        <v>1582.05</v>
      </c>
      <c r="H56" s="37">
        <f>SUM(F56*G56/1000)</f>
        <v>3.1640999999999999</v>
      </c>
      <c r="I56" s="29"/>
      <c r="J56" s="29"/>
      <c r="K56" s="29"/>
      <c r="L56" s="29"/>
      <c r="M56" s="29"/>
      <c r="N56" s="29"/>
      <c r="O56" s="29">
        <v>0</v>
      </c>
      <c r="P56" s="29">
        <f>G56*2</f>
        <v>3164.1</v>
      </c>
      <c r="Q56" s="29">
        <f>G56*2</f>
        <v>3164.1</v>
      </c>
      <c r="R56" s="29">
        <v>0</v>
      </c>
      <c r="S56" s="29">
        <v>0</v>
      </c>
      <c r="T56" s="29">
        <v>0</v>
      </c>
      <c r="U56" s="29">
        <f t="shared" si="17"/>
        <v>6328.2</v>
      </c>
    </row>
    <row r="57" spans="1:21">
      <c r="A57" s="146"/>
      <c r="B57" s="17" t="s">
        <v>48</v>
      </c>
      <c r="C57" s="26"/>
      <c r="D57" s="13"/>
      <c r="E57" s="35"/>
      <c r="F57" s="36"/>
      <c r="G57" s="36"/>
      <c r="H57" s="37" t="s">
        <v>27</v>
      </c>
      <c r="I57" s="33"/>
      <c r="J57" s="33"/>
      <c r="K57" s="33"/>
      <c r="L57" s="33"/>
      <c r="M57" s="121"/>
      <c r="N57" s="28"/>
      <c r="O57" s="28"/>
      <c r="P57" s="28"/>
      <c r="Q57" s="28"/>
      <c r="R57" s="28"/>
      <c r="S57" s="28"/>
      <c r="T57" s="28"/>
      <c r="U57" s="29"/>
    </row>
    <row r="58" spans="1:21">
      <c r="A58" s="146" t="s">
        <v>134</v>
      </c>
      <c r="B58" s="13" t="s">
        <v>79</v>
      </c>
      <c r="C58" s="26" t="s">
        <v>11</v>
      </c>
      <c r="D58" s="13" t="s">
        <v>17</v>
      </c>
      <c r="E58" s="56">
        <v>145</v>
      </c>
      <c r="F58" s="36">
        <f>SUM(E58/100)</f>
        <v>1.45</v>
      </c>
      <c r="G58" s="48">
        <v>1040.8399999999999</v>
      </c>
      <c r="H58" s="170">
        <v>9.1679999999999993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29">
        <f t="shared" si="17"/>
        <v>0</v>
      </c>
    </row>
    <row r="59" spans="1:21" ht="12.75" customHeight="1">
      <c r="A59" s="54"/>
      <c r="B59" s="55" t="s">
        <v>164</v>
      </c>
      <c r="C59" s="54" t="s">
        <v>165</v>
      </c>
      <c r="D59" s="55" t="s">
        <v>150</v>
      </c>
      <c r="E59" s="56">
        <v>255.2</v>
      </c>
      <c r="F59" s="36">
        <f>SUM(E59*12)</f>
        <v>3062.3999999999996</v>
      </c>
      <c r="G59" s="53">
        <v>2.8</v>
      </c>
      <c r="H59" s="141">
        <f>G59*F59/1000</f>
        <v>8.5747199999999992</v>
      </c>
      <c r="I59" s="29">
        <f>F59/12*G59</f>
        <v>714.55999999999983</v>
      </c>
      <c r="J59" s="29">
        <f>F59/12*G59</f>
        <v>714.55999999999983</v>
      </c>
      <c r="K59" s="29">
        <f>F59/12*G59</f>
        <v>714.55999999999983</v>
      </c>
      <c r="L59" s="29">
        <f>F59/12*G59</f>
        <v>714.55999999999983</v>
      </c>
      <c r="M59" s="29">
        <f>F59/12*G59</f>
        <v>714.55999999999983</v>
      </c>
      <c r="N59" s="29">
        <f>F59/12*G59</f>
        <v>714.55999999999983</v>
      </c>
      <c r="O59" s="29">
        <f>F59/12*G59</f>
        <v>714.55999999999983</v>
      </c>
      <c r="P59" s="29">
        <f>F59/12*G59</f>
        <v>714.55999999999983</v>
      </c>
      <c r="Q59" s="29">
        <f>F59/12*G59</f>
        <v>714.55999999999983</v>
      </c>
      <c r="R59" s="29">
        <f>F59/12*G59</f>
        <v>714.55999999999983</v>
      </c>
      <c r="S59" s="29">
        <f>F59/12*G59</f>
        <v>714.55999999999983</v>
      </c>
      <c r="T59" s="29">
        <f>F59/12*G59</f>
        <v>714.55999999999983</v>
      </c>
      <c r="U59" s="29">
        <f t="shared" si="17"/>
        <v>4287.3599999999988</v>
      </c>
    </row>
    <row r="60" spans="1:21">
      <c r="A60" s="151"/>
      <c r="B60" s="18" t="s">
        <v>49</v>
      </c>
      <c r="C60" s="54"/>
      <c r="D60" s="55"/>
      <c r="E60" s="56"/>
      <c r="F60" s="57"/>
      <c r="G60" s="57"/>
      <c r="H60" s="160" t="s">
        <v>27</v>
      </c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29"/>
    </row>
    <row r="61" spans="1:21" ht="12.75" customHeight="1">
      <c r="A61" s="58" t="s">
        <v>135</v>
      </c>
      <c r="B61" s="19" t="s">
        <v>50</v>
      </c>
      <c r="C61" s="58" t="s">
        <v>44</v>
      </c>
      <c r="D61" s="21" t="s">
        <v>23</v>
      </c>
      <c r="E61" s="59">
        <v>6</v>
      </c>
      <c r="F61" s="36">
        <f>SUM(E61)</f>
        <v>6</v>
      </c>
      <c r="G61" s="48">
        <v>291.68</v>
      </c>
      <c r="H61" s="117">
        <f t="shared" ref="H61:H68" si="18">SUM(F61*G61/1000)</f>
        <v>1.7500799999999999</v>
      </c>
      <c r="I61" s="29">
        <f>G61</f>
        <v>291.68</v>
      </c>
      <c r="J61" s="29">
        <f>G61*4</f>
        <v>1166.72</v>
      </c>
      <c r="K61" s="29">
        <v>0</v>
      </c>
      <c r="L61" s="29">
        <f>G61</f>
        <v>291.68</v>
      </c>
      <c r="M61" s="29">
        <f>G61*5</f>
        <v>1458.4</v>
      </c>
      <c r="N61" s="29">
        <f>G61</f>
        <v>291.68</v>
      </c>
      <c r="O61" s="29">
        <f>G61*9</f>
        <v>2625.12</v>
      </c>
      <c r="P61" s="29">
        <f>G61*7</f>
        <v>2041.76</v>
      </c>
      <c r="Q61" s="29">
        <f>G61*11</f>
        <v>3208.48</v>
      </c>
      <c r="R61" s="29">
        <f>G61</f>
        <v>291.68</v>
      </c>
      <c r="S61" s="29">
        <f>G61*5</f>
        <v>1458.4</v>
      </c>
      <c r="T61" s="29">
        <f>G61*3</f>
        <v>875.04</v>
      </c>
      <c r="U61" s="29">
        <f t="shared" si="17"/>
        <v>10500.48</v>
      </c>
    </row>
    <row r="62" spans="1:21" ht="12.75" customHeight="1">
      <c r="A62" s="58" t="s">
        <v>136</v>
      </c>
      <c r="B62" s="19" t="s">
        <v>51</v>
      </c>
      <c r="C62" s="58" t="s">
        <v>44</v>
      </c>
      <c r="D62" s="21" t="s">
        <v>23</v>
      </c>
      <c r="E62" s="59">
        <v>4</v>
      </c>
      <c r="F62" s="36">
        <f>SUM(E62)</f>
        <v>4</v>
      </c>
      <c r="G62" s="48">
        <v>100.01</v>
      </c>
      <c r="H62" s="117">
        <f t="shared" si="18"/>
        <v>0.40004000000000001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f t="shared" si="17"/>
        <v>0</v>
      </c>
    </row>
    <row r="63" spans="1:21" s="2" customFormat="1">
      <c r="A63" s="60" t="s">
        <v>137</v>
      </c>
      <c r="B63" s="19" t="s">
        <v>52</v>
      </c>
      <c r="C63" s="60" t="s">
        <v>53</v>
      </c>
      <c r="D63" s="21" t="s">
        <v>17</v>
      </c>
      <c r="E63" s="35">
        <v>15552</v>
      </c>
      <c r="F63" s="49">
        <f>SUM(E63/100)</f>
        <v>155.52000000000001</v>
      </c>
      <c r="G63" s="48">
        <v>278.24</v>
      </c>
      <c r="H63" s="117">
        <f t="shared" si="18"/>
        <v>43.271884800000009</v>
      </c>
      <c r="I63" s="47">
        <v>0</v>
      </c>
      <c r="J63" s="47">
        <v>0</v>
      </c>
      <c r="K63" s="47">
        <v>0</v>
      </c>
      <c r="L63" s="47">
        <v>0</v>
      </c>
      <c r="M63" s="29">
        <f>F63*G63</f>
        <v>43271.884800000007</v>
      </c>
      <c r="N63" s="47">
        <v>0</v>
      </c>
      <c r="O63" s="47">
        <v>0</v>
      </c>
      <c r="P63" s="47">
        <v>0</v>
      </c>
      <c r="Q63" s="47">
        <v>0</v>
      </c>
      <c r="R63" s="47">
        <v>0</v>
      </c>
      <c r="S63" s="47">
        <v>0</v>
      </c>
      <c r="T63" s="47">
        <v>0</v>
      </c>
      <c r="U63" s="29">
        <f t="shared" si="17"/>
        <v>0</v>
      </c>
    </row>
    <row r="64" spans="1:21" ht="12.75" customHeight="1">
      <c r="A64" s="58" t="s">
        <v>138</v>
      </c>
      <c r="B64" s="19" t="s">
        <v>54</v>
      </c>
      <c r="C64" s="58" t="s">
        <v>55</v>
      </c>
      <c r="D64" s="21"/>
      <c r="E64" s="35">
        <v>15552</v>
      </c>
      <c r="F64" s="48">
        <f>SUM(E64/1000)</f>
        <v>15.552</v>
      </c>
      <c r="G64" s="48">
        <v>216.68</v>
      </c>
      <c r="H64" s="117">
        <f t="shared" si="18"/>
        <v>3.3698073600000003</v>
      </c>
      <c r="I64" s="29">
        <v>0</v>
      </c>
      <c r="J64" s="29">
        <v>0</v>
      </c>
      <c r="K64" s="29">
        <v>0</v>
      </c>
      <c r="L64" s="29">
        <v>0</v>
      </c>
      <c r="M64" s="29">
        <f t="shared" ref="M64:M67" si="19">F64*G64</f>
        <v>3369.8073600000002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f t="shared" si="17"/>
        <v>0</v>
      </c>
    </row>
    <row r="65" spans="1:21">
      <c r="A65" s="58" t="s">
        <v>139</v>
      </c>
      <c r="B65" s="19" t="s">
        <v>56</v>
      </c>
      <c r="C65" s="58" t="s">
        <v>57</v>
      </c>
      <c r="D65" s="21" t="s">
        <v>17</v>
      </c>
      <c r="E65" s="35">
        <v>2432</v>
      </c>
      <c r="F65" s="48">
        <f>SUM(E65/100)</f>
        <v>24.32</v>
      </c>
      <c r="G65" s="48">
        <v>2720.94</v>
      </c>
      <c r="H65" s="117">
        <f t="shared" si="18"/>
        <v>66.173260800000008</v>
      </c>
      <c r="I65" s="29">
        <v>0</v>
      </c>
      <c r="J65" s="29">
        <v>0</v>
      </c>
      <c r="K65" s="29">
        <v>0</v>
      </c>
      <c r="L65" s="29">
        <v>0</v>
      </c>
      <c r="M65" s="29">
        <f t="shared" si="19"/>
        <v>66173.260800000004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29">
        <f t="shared" si="17"/>
        <v>0</v>
      </c>
    </row>
    <row r="66" spans="1:21">
      <c r="A66" s="58"/>
      <c r="B66" s="20" t="s">
        <v>80</v>
      </c>
      <c r="C66" s="58" t="s">
        <v>22</v>
      </c>
      <c r="D66" s="21"/>
      <c r="E66" s="35">
        <v>14.8</v>
      </c>
      <c r="F66" s="48">
        <f>SUM(E66)</f>
        <v>14.8</v>
      </c>
      <c r="G66" s="48">
        <v>42.61</v>
      </c>
      <c r="H66" s="117">
        <f t="shared" si="18"/>
        <v>0.63062800000000008</v>
      </c>
      <c r="I66" s="29">
        <v>0</v>
      </c>
      <c r="J66" s="29">
        <v>0</v>
      </c>
      <c r="K66" s="29">
        <v>0</v>
      </c>
      <c r="L66" s="29">
        <v>0</v>
      </c>
      <c r="M66" s="29">
        <f t="shared" si="19"/>
        <v>630.62800000000004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f t="shared" si="17"/>
        <v>0</v>
      </c>
    </row>
    <row r="67" spans="1:21" ht="25.5">
      <c r="A67" s="58"/>
      <c r="B67" s="20" t="s">
        <v>81</v>
      </c>
      <c r="C67" s="58" t="s">
        <v>22</v>
      </c>
      <c r="D67" s="21"/>
      <c r="E67" s="35">
        <f>E66</f>
        <v>14.8</v>
      </c>
      <c r="F67" s="48">
        <f>SUM(E67)</f>
        <v>14.8</v>
      </c>
      <c r="G67" s="48">
        <v>46.04</v>
      </c>
      <c r="H67" s="117">
        <f t="shared" si="18"/>
        <v>0.681392</v>
      </c>
      <c r="I67" s="29">
        <v>0</v>
      </c>
      <c r="J67" s="29">
        <v>0</v>
      </c>
      <c r="K67" s="29">
        <v>0</v>
      </c>
      <c r="L67" s="29">
        <v>0</v>
      </c>
      <c r="M67" s="29">
        <f t="shared" si="19"/>
        <v>681.39200000000005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f t="shared" si="17"/>
        <v>0</v>
      </c>
    </row>
    <row r="68" spans="1:21" ht="12.75" customHeight="1">
      <c r="A68" s="58" t="s">
        <v>140</v>
      </c>
      <c r="B68" s="21" t="s">
        <v>58</v>
      </c>
      <c r="C68" s="58" t="s">
        <v>59</v>
      </c>
      <c r="D68" s="21" t="s">
        <v>17</v>
      </c>
      <c r="E68" s="59">
        <v>5</v>
      </c>
      <c r="F68" s="36">
        <f>SUM(E68)</f>
        <v>5</v>
      </c>
      <c r="G68" s="48">
        <v>65.42</v>
      </c>
      <c r="H68" s="117">
        <f t="shared" si="18"/>
        <v>0.3271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f>G68*4</f>
        <v>261.68</v>
      </c>
      <c r="R68" s="29">
        <v>0</v>
      </c>
      <c r="S68" s="29">
        <v>0</v>
      </c>
      <c r="T68" s="29">
        <v>0</v>
      </c>
      <c r="U68" s="29">
        <f t="shared" si="17"/>
        <v>261.68</v>
      </c>
    </row>
    <row r="69" spans="1:21" ht="25.5">
      <c r="A69" s="58"/>
      <c r="B69" s="21" t="s">
        <v>219</v>
      </c>
      <c r="C69" s="163" t="s">
        <v>220</v>
      </c>
      <c r="D69" s="21" t="s">
        <v>23</v>
      </c>
      <c r="E69" s="59">
        <f>E48</f>
        <v>3053.4</v>
      </c>
      <c r="F69" s="36">
        <f>SUM(E69*12)</f>
        <v>36640.800000000003</v>
      </c>
      <c r="G69" s="48">
        <v>2.2799999999999998</v>
      </c>
      <c r="H69" s="117">
        <f t="shared" ref="H69" si="20">SUM(F69*G69/1000)</f>
        <v>83.541024000000007</v>
      </c>
      <c r="I69" s="29">
        <f>F69/12*G69</f>
        <v>6961.7519999999995</v>
      </c>
      <c r="J69" s="29">
        <f>F69/12*G69</f>
        <v>6961.7519999999995</v>
      </c>
      <c r="K69" s="29">
        <f>F69/12*G69</f>
        <v>6961.7519999999995</v>
      </c>
      <c r="L69" s="29">
        <f>F69/12*G69</f>
        <v>6961.7519999999995</v>
      </c>
      <c r="M69" s="29">
        <f>F69/12*G69</f>
        <v>6961.7519999999995</v>
      </c>
      <c r="N69" s="29">
        <v>0</v>
      </c>
      <c r="O69" s="29">
        <f>F69/12*G69</f>
        <v>6961.7519999999995</v>
      </c>
      <c r="P69" s="29">
        <f>F69/12*G69</f>
        <v>6961.7519999999995</v>
      </c>
      <c r="Q69" s="29">
        <f>F69/12*G69</f>
        <v>6961.7519999999995</v>
      </c>
      <c r="R69" s="29">
        <f>F69/12*G69</f>
        <v>6961.7519999999995</v>
      </c>
      <c r="S69" s="29">
        <f>F69/12*G69</f>
        <v>6961.7519999999995</v>
      </c>
      <c r="T69" s="29">
        <f>F69/12*G69</f>
        <v>6961.7519999999995</v>
      </c>
      <c r="U69" s="29">
        <f t="shared" si="17"/>
        <v>41770.511999999995</v>
      </c>
    </row>
    <row r="70" spans="1:21">
      <c r="A70" s="58"/>
      <c r="B70" s="22" t="s">
        <v>60</v>
      </c>
      <c r="C70" s="58"/>
      <c r="D70" s="21"/>
      <c r="E70" s="59"/>
      <c r="F70" s="48"/>
      <c r="G70" s="48"/>
      <c r="H70" s="161" t="s">
        <v>27</v>
      </c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29"/>
    </row>
    <row r="71" spans="1:21">
      <c r="A71" s="58" t="s">
        <v>211</v>
      </c>
      <c r="B71" s="21" t="s">
        <v>212</v>
      </c>
      <c r="C71" s="58" t="s">
        <v>213</v>
      </c>
      <c r="D71" s="21" t="s">
        <v>23</v>
      </c>
      <c r="E71" s="59">
        <v>1</v>
      </c>
      <c r="F71" s="48">
        <f>E71</f>
        <v>1</v>
      </c>
      <c r="G71" s="48">
        <v>1029.1199999999999</v>
      </c>
      <c r="H71" s="117">
        <f t="shared" ref="H71:H72" si="21">SUM(F71*G71/1000)</f>
        <v>1.0291199999999998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29">
        <v>0</v>
      </c>
      <c r="S71" s="29">
        <v>0</v>
      </c>
      <c r="T71" s="29">
        <v>0</v>
      </c>
      <c r="U71" s="29">
        <f t="shared" si="17"/>
        <v>0</v>
      </c>
    </row>
    <row r="72" spans="1:21">
      <c r="A72" s="58" t="s">
        <v>187</v>
      </c>
      <c r="B72" s="21" t="s">
        <v>214</v>
      </c>
      <c r="C72" s="58" t="s">
        <v>215</v>
      </c>
      <c r="E72" s="59">
        <v>1</v>
      </c>
      <c r="F72" s="48">
        <v>1</v>
      </c>
      <c r="G72" s="48">
        <v>735</v>
      </c>
      <c r="H72" s="117">
        <f t="shared" si="21"/>
        <v>0.73499999999999999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  <c r="R72" s="29">
        <v>0</v>
      </c>
      <c r="S72" s="29">
        <v>0</v>
      </c>
      <c r="T72" s="29">
        <v>0</v>
      </c>
      <c r="U72" s="29">
        <f t="shared" si="17"/>
        <v>0</v>
      </c>
    </row>
    <row r="73" spans="1:21">
      <c r="A73" s="58" t="s">
        <v>141</v>
      </c>
      <c r="B73" s="21" t="s">
        <v>61</v>
      </c>
      <c r="C73" s="58" t="s">
        <v>62</v>
      </c>
      <c r="D73" s="21" t="s">
        <v>23</v>
      </c>
      <c r="E73" s="59">
        <v>5</v>
      </c>
      <c r="F73" s="36">
        <f>SUM(E73/10)</f>
        <v>0.5</v>
      </c>
      <c r="G73" s="48">
        <v>657.87</v>
      </c>
      <c r="H73" s="117">
        <f>SUM(F73*G73/1000)</f>
        <v>0.32893499999999998</v>
      </c>
      <c r="I73" s="29">
        <v>0</v>
      </c>
      <c r="J73" s="29">
        <f>G73*0.7</f>
        <v>460.50899999999996</v>
      </c>
      <c r="K73" s="29">
        <f>G73*0.3</f>
        <v>197.36099999999999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f>G73*0.8</f>
        <v>526.29600000000005</v>
      </c>
      <c r="U73" s="29">
        <f t="shared" si="17"/>
        <v>526.29600000000005</v>
      </c>
    </row>
    <row r="74" spans="1:21">
      <c r="A74" s="58" t="s">
        <v>185</v>
      </c>
      <c r="B74" s="21" t="s">
        <v>186</v>
      </c>
      <c r="C74" s="58" t="s">
        <v>44</v>
      </c>
      <c r="D74" s="21" t="s">
        <v>23</v>
      </c>
      <c r="E74" s="59">
        <v>1</v>
      </c>
      <c r="F74" s="48">
        <f>E74</f>
        <v>1</v>
      </c>
      <c r="G74" s="48">
        <v>1118.72</v>
      </c>
      <c r="H74" s="117">
        <f>SUM(F74*G74/1000)</f>
        <v>1.1187199999999999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  <c r="Q74" s="29">
        <v>0</v>
      </c>
      <c r="R74" s="29">
        <v>0</v>
      </c>
      <c r="S74" s="29">
        <v>0</v>
      </c>
      <c r="T74" s="29">
        <v>0</v>
      </c>
      <c r="U74" s="29">
        <f t="shared" si="17"/>
        <v>0</v>
      </c>
    </row>
    <row r="75" spans="1:21" ht="25.5">
      <c r="A75" s="125" t="s">
        <v>216</v>
      </c>
      <c r="B75" s="132" t="s">
        <v>217</v>
      </c>
      <c r="C75" s="125" t="s">
        <v>44</v>
      </c>
      <c r="D75" s="21" t="s">
        <v>23</v>
      </c>
      <c r="E75" s="59">
        <v>2</v>
      </c>
      <c r="F75" s="36">
        <f>E75*12</f>
        <v>24</v>
      </c>
      <c r="G75" s="48">
        <v>53.42</v>
      </c>
      <c r="H75" s="117">
        <f t="shared" ref="H75" si="22">SUM(F75*G75/1000)</f>
        <v>1.2820799999999999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f>G75*2</f>
        <v>106.84</v>
      </c>
      <c r="P75" s="29">
        <f>G75*2</f>
        <v>106.84</v>
      </c>
      <c r="Q75" s="29">
        <f>G75*2</f>
        <v>106.84</v>
      </c>
      <c r="R75" s="29">
        <f>G75*2</f>
        <v>106.84</v>
      </c>
      <c r="S75" s="29">
        <f>G75*2</f>
        <v>106.84</v>
      </c>
      <c r="T75" s="29">
        <f>G75*2</f>
        <v>106.84</v>
      </c>
      <c r="U75" s="29">
        <f t="shared" si="17"/>
        <v>641.04000000000008</v>
      </c>
    </row>
    <row r="76" spans="1:21" ht="25.5">
      <c r="A76" s="125"/>
      <c r="B76" s="132" t="s">
        <v>218</v>
      </c>
      <c r="C76" s="125" t="s">
        <v>44</v>
      </c>
      <c r="D76" s="21" t="s">
        <v>150</v>
      </c>
      <c r="E76" s="59">
        <v>1</v>
      </c>
      <c r="F76" s="36">
        <f>E76*12</f>
        <v>12</v>
      </c>
      <c r="G76" s="48">
        <v>1194</v>
      </c>
      <c r="H76" s="117">
        <f t="shared" ref="H76" si="23">SUM(F76*G76/1000)</f>
        <v>14.327999999999999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f>G76</f>
        <v>1194</v>
      </c>
      <c r="P76" s="29">
        <f>G76</f>
        <v>1194</v>
      </c>
      <c r="Q76" s="29">
        <f>G76</f>
        <v>1194</v>
      </c>
      <c r="R76" s="29">
        <f>G76</f>
        <v>1194</v>
      </c>
      <c r="S76" s="29">
        <f>G76</f>
        <v>1194</v>
      </c>
      <c r="T76" s="29">
        <f>G76</f>
        <v>1194</v>
      </c>
      <c r="U76" s="29">
        <f t="shared" si="17"/>
        <v>7164</v>
      </c>
    </row>
    <row r="77" spans="1:21">
      <c r="A77" s="58"/>
      <c r="B77" s="61" t="s">
        <v>64</v>
      </c>
      <c r="C77" s="58"/>
      <c r="D77" s="21"/>
      <c r="E77" s="63"/>
      <c r="F77" s="63"/>
      <c r="G77" s="63"/>
      <c r="H77" s="63"/>
      <c r="I77" s="33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</row>
    <row r="78" spans="1:21" s="2" customFormat="1">
      <c r="A78" s="60" t="s">
        <v>65</v>
      </c>
      <c r="B78" s="62" t="s">
        <v>66</v>
      </c>
      <c r="C78" s="60" t="s">
        <v>57</v>
      </c>
      <c r="D78" s="19"/>
      <c r="E78" s="63"/>
      <c r="F78" s="49">
        <v>0.3</v>
      </c>
      <c r="G78" s="49">
        <v>3619.09</v>
      </c>
      <c r="H78" s="117">
        <f t="shared" ref="H78" si="24">SUM(F78*G78/1000)</f>
        <v>1.0857270000000001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v>0</v>
      </c>
      <c r="P78" s="47">
        <v>0</v>
      </c>
      <c r="Q78" s="47">
        <v>0</v>
      </c>
      <c r="R78" s="47">
        <v>0</v>
      </c>
      <c r="S78" s="47">
        <v>0</v>
      </c>
      <c r="T78" s="47">
        <v>0</v>
      </c>
      <c r="U78" s="29">
        <f t="shared" si="17"/>
        <v>0</v>
      </c>
    </row>
    <row r="79" spans="1:21" s="10" customFormat="1">
      <c r="A79" s="113"/>
      <c r="B79" s="14" t="s">
        <v>12</v>
      </c>
      <c r="C79" s="64"/>
      <c r="D79" s="65"/>
      <c r="E79" s="66"/>
      <c r="F79" s="67"/>
      <c r="G79" s="67"/>
      <c r="H79" s="138">
        <f>SUM(H55:H78)</f>
        <v>254.48184212000004</v>
      </c>
      <c r="I79" s="112"/>
      <c r="J79" s="112"/>
      <c r="K79" s="112"/>
      <c r="L79" s="112"/>
      <c r="M79" s="122"/>
      <c r="N79" s="113"/>
      <c r="O79" s="113"/>
      <c r="P79" s="113"/>
      <c r="Q79" s="113"/>
      <c r="R79" s="113"/>
      <c r="S79" s="113"/>
      <c r="T79" s="113"/>
      <c r="U79" s="67">
        <f>SUM(U55:U78)</f>
        <v>75986.975719999988</v>
      </c>
    </row>
    <row r="80" spans="1:21">
      <c r="A80" s="152" t="s">
        <v>97</v>
      </c>
      <c r="B80" s="13" t="s">
        <v>98</v>
      </c>
      <c r="C80" s="68"/>
      <c r="D80" s="69"/>
      <c r="E80" s="123"/>
      <c r="F80" s="70">
        <f>232/10</f>
        <v>23.2</v>
      </c>
      <c r="G80" s="71">
        <v>12361.2</v>
      </c>
      <c r="H80" s="117">
        <f>G80*F80/1000</f>
        <v>286.77984000000004</v>
      </c>
      <c r="I80" s="29">
        <v>0</v>
      </c>
      <c r="J80" s="29">
        <v>0</v>
      </c>
      <c r="K80" s="29">
        <f>G80</f>
        <v>12361.2</v>
      </c>
      <c r="L80" s="29">
        <v>0</v>
      </c>
      <c r="M80" s="124">
        <v>0</v>
      </c>
      <c r="N80" s="124">
        <v>0</v>
      </c>
      <c r="O80" s="29">
        <v>0</v>
      </c>
      <c r="P80" s="142">
        <v>0</v>
      </c>
      <c r="Q80" s="142">
        <v>0</v>
      </c>
      <c r="R80" s="142">
        <v>0</v>
      </c>
      <c r="S80" s="142">
        <v>0</v>
      </c>
      <c r="T80" s="142">
        <v>0</v>
      </c>
      <c r="U80" s="29">
        <f t="shared" si="17"/>
        <v>0</v>
      </c>
    </row>
    <row r="81" spans="1:25" ht="12.75" customHeight="1">
      <c r="A81" s="153"/>
      <c r="B81" s="17" t="s">
        <v>67</v>
      </c>
      <c r="C81" s="58" t="s">
        <v>68</v>
      </c>
      <c r="D81" s="72"/>
      <c r="E81" s="48">
        <v>3053.4</v>
      </c>
      <c r="F81" s="48">
        <f>SUM(E81*12)</f>
        <v>36640.800000000003</v>
      </c>
      <c r="G81" s="73">
        <v>3.1</v>
      </c>
      <c r="H81" s="117">
        <f>SUM(F81*G81/1000)</f>
        <v>113.58648000000001</v>
      </c>
      <c r="I81" s="29">
        <f>F81/12*G81</f>
        <v>9465.5400000000009</v>
      </c>
      <c r="J81" s="29">
        <f>F81/12*G81</f>
        <v>9465.5400000000009</v>
      </c>
      <c r="K81" s="29">
        <f>F81/12*G81</f>
        <v>9465.5400000000009</v>
      </c>
      <c r="L81" s="29">
        <f>F81/12*G81</f>
        <v>9465.5400000000009</v>
      </c>
      <c r="M81" s="124">
        <f>F81/12*G81</f>
        <v>9465.5400000000009</v>
      </c>
      <c r="N81" s="124">
        <f>F81/12*G81</f>
        <v>9465.5400000000009</v>
      </c>
      <c r="O81" s="29">
        <f>F81/12*G81</f>
        <v>9465.5400000000009</v>
      </c>
      <c r="P81" s="142">
        <f>F81/12*G81</f>
        <v>9465.5400000000009</v>
      </c>
      <c r="Q81" s="142">
        <f>F81/12*G81</f>
        <v>9465.5400000000009</v>
      </c>
      <c r="R81" s="142">
        <f>F81/12*G81</f>
        <v>9465.5400000000009</v>
      </c>
      <c r="S81" s="142">
        <f>F81/12*G81</f>
        <v>9465.5400000000009</v>
      </c>
      <c r="T81" s="142">
        <f>F81/12*G81</f>
        <v>9465.5400000000009</v>
      </c>
      <c r="U81" s="29">
        <f t="shared" si="17"/>
        <v>56793.240000000005</v>
      </c>
    </row>
    <row r="82" spans="1:25" s="9" customFormat="1">
      <c r="A82" s="129"/>
      <c r="B82" s="14" t="s">
        <v>12</v>
      </c>
      <c r="C82" s="74"/>
      <c r="D82" s="75"/>
      <c r="E82" s="76"/>
      <c r="F82" s="77"/>
      <c r="G82" s="78"/>
      <c r="H82" s="116">
        <f>SUM(H80:H81)</f>
        <v>400.36632000000003</v>
      </c>
      <c r="I82" s="111"/>
      <c r="J82" s="111"/>
      <c r="K82" s="111"/>
      <c r="L82" s="111"/>
      <c r="M82" s="120"/>
      <c r="N82" s="84"/>
      <c r="O82" s="84"/>
      <c r="P82" s="84"/>
      <c r="Q82" s="84"/>
      <c r="R82" s="84"/>
      <c r="S82" s="84"/>
      <c r="T82" s="84"/>
      <c r="U82" s="77">
        <f>SUM(U80:U81)</f>
        <v>56793.240000000005</v>
      </c>
    </row>
    <row r="83" spans="1:25" ht="27" customHeight="1">
      <c r="A83" s="130"/>
      <c r="B83" s="21" t="s">
        <v>69</v>
      </c>
      <c r="C83" s="58"/>
      <c r="D83" s="79"/>
      <c r="E83" s="35">
        <f>E81</f>
        <v>3053.4</v>
      </c>
      <c r="F83" s="48">
        <f>E83*12</f>
        <v>36640.800000000003</v>
      </c>
      <c r="G83" s="48">
        <v>3.5</v>
      </c>
      <c r="H83" s="117">
        <f>F83*G83/1000</f>
        <v>128.24280000000002</v>
      </c>
      <c r="I83" s="29">
        <f>F83/12*G83</f>
        <v>10686.9</v>
      </c>
      <c r="J83" s="29">
        <f>F83/12*G83</f>
        <v>10686.9</v>
      </c>
      <c r="K83" s="29">
        <f>F83/12*G83</f>
        <v>10686.9</v>
      </c>
      <c r="L83" s="29">
        <f>F83/12*G83</f>
        <v>10686.9</v>
      </c>
      <c r="M83" s="29">
        <f>F83/12*G83</f>
        <v>10686.9</v>
      </c>
      <c r="N83" s="29">
        <f>F83/12*G83</f>
        <v>10686.9</v>
      </c>
      <c r="O83" s="29">
        <f>F83/12*G83</f>
        <v>10686.9</v>
      </c>
      <c r="P83" s="29">
        <f>F83/12*G83</f>
        <v>10686.9</v>
      </c>
      <c r="Q83" s="29">
        <f>F83/12*G83</f>
        <v>10686.9</v>
      </c>
      <c r="R83" s="29">
        <f>F83/12*G83</f>
        <v>10686.9</v>
      </c>
      <c r="S83" s="29">
        <f>F83/12*G83</f>
        <v>10686.9</v>
      </c>
      <c r="T83" s="142">
        <f t="shared" ref="T83" si="25">F83/12*G83</f>
        <v>10686.9</v>
      </c>
      <c r="U83" s="29">
        <f t="shared" si="17"/>
        <v>64121.4</v>
      </c>
    </row>
    <row r="84" spans="1:25" s="9" customFormat="1">
      <c r="A84" s="129"/>
      <c r="B84" s="80" t="s">
        <v>70</v>
      </c>
      <c r="C84" s="81"/>
      <c r="D84" s="80"/>
      <c r="E84" s="77"/>
      <c r="F84" s="77"/>
      <c r="G84" s="77"/>
      <c r="H84" s="138">
        <f>SUM(H83)</f>
        <v>128.24280000000002</v>
      </c>
      <c r="I84" s="111"/>
      <c r="J84" s="111"/>
      <c r="K84" s="111"/>
      <c r="L84" s="111"/>
      <c r="M84" s="120"/>
      <c r="N84" s="82"/>
      <c r="O84" s="82"/>
      <c r="P84" s="82"/>
      <c r="Q84" s="82"/>
      <c r="R84" s="82"/>
      <c r="S84" s="82"/>
      <c r="T84" s="82"/>
      <c r="U84" s="114">
        <f>SUM(U83)</f>
        <v>64121.4</v>
      </c>
    </row>
    <row r="85" spans="1:25" s="9" customFormat="1">
      <c r="A85" s="129"/>
      <c r="B85" s="80" t="s">
        <v>71</v>
      </c>
      <c r="C85" s="82"/>
      <c r="D85" s="83"/>
      <c r="E85" s="84"/>
      <c r="F85" s="84"/>
      <c r="G85" s="84"/>
      <c r="H85" s="138">
        <f>SUM(H84+H82+H79+H53+H41+H32)</f>
        <v>1086.0224974833334</v>
      </c>
      <c r="I85" s="90"/>
      <c r="J85" s="90"/>
      <c r="K85" s="90"/>
      <c r="L85" s="90"/>
      <c r="M85" s="120"/>
      <c r="N85" s="82"/>
      <c r="O85" s="82"/>
      <c r="P85" s="82"/>
      <c r="Q85" s="82"/>
      <c r="R85" s="82"/>
      <c r="S85" s="82"/>
      <c r="T85" s="82"/>
      <c r="U85" s="114">
        <f>SUM(U84+U82+U79+U53+U41+U32+U21)</f>
        <v>397049.09019122226</v>
      </c>
    </row>
    <row r="86" spans="1:25">
      <c r="A86" s="130"/>
      <c r="B86" s="79" t="s">
        <v>72</v>
      </c>
      <c r="C86" s="58"/>
      <c r="D86" s="79"/>
      <c r="E86" s="48"/>
      <c r="F86" s="48"/>
      <c r="G86" s="48" t="s">
        <v>73</v>
      </c>
      <c r="H86" s="134">
        <f>E83</f>
        <v>3053.4</v>
      </c>
      <c r="I86" s="33"/>
      <c r="J86" s="33"/>
      <c r="K86" s="33"/>
      <c r="L86" s="33"/>
      <c r="M86" s="121"/>
      <c r="N86" s="28"/>
      <c r="O86" s="28"/>
      <c r="P86" s="28"/>
      <c r="Q86" s="28"/>
      <c r="R86" s="28"/>
      <c r="S86" s="28"/>
      <c r="T86" s="28"/>
      <c r="U86" s="29"/>
    </row>
    <row r="87" spans="1:25">
      <c r="A87" s="129"/>
      <c r="B87" s="83" t="s">
        <v>74</v>
      </c>
      <c r="C87" s="82"/>
      <c r="D87" s="83"/>
      <c r="E87" s="84"/>
      <c r="F87" s="84"/>
      <c r="G87" s="84"/>
      <c r="H87" s="139">
        <f>SUM(H85/H86/12*1000)</f>
        <v>29.639704850421754</v>
      </c>
      <c r="I87" s="90"/>
      <c r="J87" s="90"/>
      <c r="K87" s="90"/>
      <c r="L87" s="90"/>
      <c r="M87" s="120"/>
      <c r="N87" s="133"/>
      <c r="O87" s="82"/>
      <c r="P87" s="82"/>
      <c r="Q87" s="82"/>
      <c r="R87" s="82"/>
      <c r="S87" s="82"/>
      <c r="T87" s="82"/>
      <c r="U87" s="133"/>
    </row>
    <row r="88" spans="1:25">
      <c r="A88" s="130"/>
      <c r="B88" s="79"/>
      <c r="C88" s="58"/>
      <c r="D88" s="79"/>
      <c r="E88" s="48"/>
      <c r="F88" s="48"/>
      <c r="G88" s="48"/>
      <c r="H88" s="86"/>
      <c r="I88" s="33"/>
      <c r="J88" s="33"/>
      <c r="K88" s="33"/>
      <c r="L88" s="33"/>
      <c r="M88" s="121"/>
      <c r="N88" s="28"/>
      <c r="O88" s="28"/>
      <c r="P88" s="28"/>
      <c r="Q88" s="28"/>
      <c r="R88" s="28"/>
      <c r="S88" s="28"/>
      <c r="T88" s="28"/>
      <c r="U88" s="85"/>
    </row>
    <row r="89" spans="1:25">
      <c r="A89" s="130"/>
      <c r="B89" s="61" t="s">
        <v>75</v>
      </c>
      <c r="C89" s="58"/>
      <c r="D89" s="79"/>
      <c r="E89" s="48"/>
      <c r="F89" s="48"/>
      <c r="G89" s="48"/>
      <c r="H89" s="87"/>
      <c r="I89" s="33"/>
      <c r="J89" s="33"/>
      <c r="K89" s="33"/>
      <c r="L89" s="33"/>
      <c r="M89" s="121"/>
      <c r="N89" s="28"/>
      <c r="O89" s="28"/>
      <c r="P89" s="28"/>
      <c r="Q89" s="28"/>
      <c r="R89" s="28"/>
      <c r="S89" s="28"/>
      <c r="T89" s="28"/>
      <c r="U89" s="29"/>
    </row>
    <row r="90" spans="1:25" ht="25.5" customHeight="1">
      <c r="A90" s="171" t="s">
        <v>177</v>
      </c>
      <c r="B90" s="165" t="s">
        <v>176</v>
      </c>
      <c r="C90" s="164" t="s">
        <v>171</v>
      </c>
      <c r="D90" s="79"/>
      <c r="E90" s="48"/>
      <c r="F90" s="48">
        <v>7</v>
      </c>
      <c r="G90" s="48">
        <v>589.84</v>
      </c>
      <c r="H90" s="117">
        <f>F90*G90/1000</f>
        <v>4.1288800000000005</v>
      </c>
      <c r="I90" s="29">
        <v>0</v>
      </c>
      <c r="J90" s="29">
        <v>0</v>
      </c>
      <c r="K90" s="29">
        <v>0</v>
      </c>
      <c r="L90" s="29">
        <f>G90*2</f>
        <v>1179.68</v>
      </c>
      <c r="M90" s="29">
        <v>0</v>
      </c>
      <c r="N90" s="29">
        <v>0</v>
      </c>
      <c r="O90" s="29">
        <f>G90</f>
        <v>589.84</v>
      </c>
      <c r="P90" s="29">
        <f>G90</f>
        <v>589.84</v>
      </c>
      <c r="Q90" s="29">
        <f>G90*2</f>
        <v>1179.68</v>
      </c>
      <c r="R90" s="29">
        <v>0</v>
      </c>
      <c r="S90" s="29">
        <f>G90</f>
        <v>589.84</v>
      </c>
      <c r="T90" s="29">
        <f>G90*2</f>
        <v>1179.68</v>
      </c>
      <c r="U90" s="29">
        <f t="shared" ref="U90:U97" si="26">SUM(O90:T90)</f>
        <v>4128.88</v>
      </c>
    </row>
    <row r="91" spans="1:25" ht="25.5">
      <c r="A91" s="164" t="s">
        <v>166</v>
      </c>
      <c r="B91" s="132" t="s">
        <v>167</v>
      </c>
      <c r="C91" s="125" t="s">
        <v>44</v>
      </c>
      <c r="D91" s="126"/>
      <c r="E91" s="48"/>
      <c r="F91" s="48">
        <v>384</v>
      </c>
      <c r="G91" s="48">
        <v>53.42</v>
      </c>
      <c r="H91" s="117">
        <f t="shared" ref="H91:H92" si="27">F91*G91/1000</f>
        <v>20.513279999999998</v>
      </c>
      <c r="I91" s="29">
        <f>G91*65</f>
        <v>3472.3</v>
      </c>
      <c r="J91" s="29">
        <f>G91*65</f>
        <v>3472.3</v>
      </c>
      <c r="K91" s="29">
        <f>G91*65</f>
        <v>3472.3</v>
      </c>
      <c r="L91" s="29">
        <f>G91*65</f>
        <v>3472.3</v>
      </c>
      <c r="M91" s="29">
        <f>G91*65</f>
        <v>3472.3</v>
      </c>
      <c r="N91" s="29">
        <f>G91*65</f>
        <v>3472.3</v>
      </c>
      <c r="O91" s="29">
        <f>G91*64</f>
        <v>3418.88</v>
      </c>
      <c r="P91" s="29">
        <f>G91*64</f>
        <v>3418.88</v>
      </c>
      <c r="Q91" s="29">
        <f>G91*64</f>
        <v>3418.88</v>
      </c>
      <c r="R91" s="29">
        <f>G91*64</f>
        <v>3418.88</v>
      </c>
      <c r="S91" s="29">
        <f>G91*64</f>
        <v>3418.88</v>
      </c>
      <c r="T91" s="29">
        <f>G91*64</f>
        <v>3418.88</v>
      </c>
      <c r="U91" s="29">
        <f t="shared" si="26"/>
        <v>20513.280000000002</v>
      </c>
    </row>
    <row r="92" spans="1:25" ht="25.5" customHeight="1">
      <c r="A92" s="164" t="s">
        <v>131</v>
      </c>
      <c r="B92" s="165" t="s">
        <v>102</v>
      </c>
      <c r="C92" s="164" t="s">
        <v>41</v>
      </c>
      <c r="D92" s="79"/>
      <c r="E92" s="48"/>
      <c r="F92" s="48">
        <v>0.03</v>
      </c>
      <c r="G92" s="48">
        <v>3581.13</v>
      </c>
      <c r="H92" s="117">
        <f t="shared" si="27"/>
        <v>0.1074339</v>
      </c>
      <c r="I92" s="29">
        <v>0</v>
      </c>
      <c r="J92" s="29">
        <f>G92*0.01</f>
        <v>35.811300000000003</v>
      </c>
      <c r="K92" s="29">
        <f>G92*0.01</f>
        <v>35.811300000000003</v>
      </c>
      <c r="L92" s="29">
        <v>0</v>
      </c>
      <c r="M92" s="29">
        <v>0</v>
      </c>
      <c r="N92" s="29">
        <v>0</v>
      </c>
      <c r="O92" s="29">
        <f>G92*0.01</f>
        <v>35.811300000000003</v>
      </c>
      <c r="P92" s="29">
        <v>0</v>
      </c>
      <c r="Q92" s="29">
        <f>G92*0.01</f>
        <v>35.811300000000003</v>
      </c>
      <c r="R92" s="29">
        <v>0</v>
      </c>
      <c r="S92" s="29">
        <v>0</v>
      </c>
      <c r="T92" s="29">
        <f>G92*0.01</f>
        <v>35.811300000000003</v>
      </c>
      <c r="U92" s="29">
        <f t="shared" si="26"/>
        <v>107.43390000000001</v>
      </c>
    </row>
    <row r="93" spans="1:25" s="128" customFormat="1" ht="25.5">
      <c r="A93" s="171" t="s">
        <v>142</v>
      </c>
      <c r="B93" s="165" t="s">
        <v>99</v>
      </c>
      <c r="C93" s="164" t="s">
        <v>44</v>
      </c>
      <c r="D93" s="126"/>
      <c r="E93" s="127"/>
      <c r="F93" s="127">
        <v>2</v>
      </c>
      <c r="G93" s="127">
        <v>83.36</v>
      </c>
      <c r="H93" s="137">
        <f>F93*G93/1000</f>
        <v>0.16672000000000001</v>
      </c>
      <c r="I93" s="29">
        <v>0</v>
      </c>
      <c r="J93" s="29">
        <f>G93</f>
        <v>83.36</v>
      </c>
      <c r="K93" s="29">
        <v>0</v>
      </c>
      <c r="L93" s="29">
        <v>0</v>
      </c>
      <c r="M93" s="29">
        <v>0</v>
      </c>
      <c r="N93" s="29">
        <v>0</v>
      </c>
      <c r="O93" s="29">
        <f>G93</f>
        <v>83.36</v>
      </c>
      <c r="P93" s="29">
        <v>0</v>
      </c>
      <c r="Q93" s="29">
        <v>0</v>
      </c>
      <c r="R93" s="29">
        <v>0</v>
      </c>
      <c r="S93" s="29">
        <v>0</v>
      </c>
      <c r="T93" s="29">
        <f>G93</f>
        <v>83.36</v>
      </c>
      <c r="U93" s="29">
        <f t="shared" si="26"/>
        <v>166.72</v>
      </c>
    </row>
    <row r="94" spans="1:25" ht="25.5">
      <c r="A94" s="172" t="s">
        <v>114</v>
      </c>
      <c r="B94" s="165" t="s">
        <v>172</v>
      </c>
      <c r="C94" s="172" t="s">
        <v>173</v>
      </c>
      <c r="D94" s="79"/>
      <c r="E94" s="48"/>
      <c r="F94" s="127">
        <v>2</v>
      </c>
      <c r="G94" s="48">
        <v>1187</v>
      </c>
      <c r="H94" s="117">
        <f>F94*G94/1000</f>
        <v>2.3740000000000001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  <c r="O94" s="29">
        <v>0</v>
      </c>
      <c r="P94" s="29">
        <f>G94</f>
        <v>1187</v>
      </c>
      <c r="Q94" s="29">
        <f>G94</f>
        <v>1187</v>
      </c>
      <c r="R94" s="29">
        <v>0</v>
      </c>
      <c r="S94" s="29">
        <v>0</v>
      </c>
      <c r="T94" s="29">
        <v>0</v>
      </c>
      <c r="U94" s="29">
        <f t="shared" si="26"/>
        <v>2374</v>
      </c>
    </row>
    <row r="95" spans="1:25" ht="25.5" customHeight="1">
      <c r="A95" s="125" t="s">
        <v>221</v>
      </c>
      <c r="B95" s="132" t="s">
        <v>222</v>
      </c>
      <c r="C95" s="125" t="s">
        <v>223</v>
      </c>
      <c r="D95" s="21"/>
      <c r="E95" s="59"/>
      <c r="F95" s="48">
        <f>(16.7)/10</f>
        <v>1.67</v>
      </c>
      <c r="G95" s="48">
        <v>5945.91</v>
      </c>
      <c r="H95" s="117">
        <f t="shared" ref="H95:H98" si="28">F95*G95/1000</f>
        <v>9.929669699999998</v>
      </c>
      <c r="I95" s="166">
        <v>0</v>
      </c>
      <c r="J95" s="166">
        <v>0</v>
      </c>
      <c r="K95" s="166">
        <v>0</v>
      </c>
      <c r="L95" s="166">
        <v>0</v>
      </c>
      <c r="M95" s="166">
        <v>0</v>
      </c>
      <c r="N95" s="166">
        <v>0</v>
      </c>
      <c r="O95" s="166">
        <v>0</v>
      </c>
      <c r="P95" s="166">
        <f>G95*(7.7/10)</f>
        <v>4578.3507</v>
      </c>
      <c r="Q95" s="29">
        <f>G95*(9/10)</f>
        <v>5351.3190000000004</v>
      </c>
      <c r="R95" s="29">
        <v>0</v>
      </c>
      <c r="S95" s="29">
        <v>0</v>
      </c>
      <c r="T95" s="29">
        <v>0</v>
      </c>
      <c r="U95" s="29">
        <f t="shared" si="26"/>
        <v>9929.6697000000004</v>
      </c>
    </row>
    <row r="96" spans="1:25" ht="25.5">
      <c r="A96" s="164" t="s">
        <v>100</v>
      </c>
      <c r="B96" s="165" t="s">
        <v>225</v>
      </c>
      <c r="C96" s="164" t="s">
        <v>224</v>
      </c>
      <c r="D96" s="79"/>
      <c r="E96" s="48"/>
      <c r="F96" s="48">
        <v>1.5</v>
      </c>
      <c r="G96" s="48">
        <v>1612</v>
      </c>
      <c r="H96" s="117">
        <f t="shared" si="28"/>
        <v>2.4180000000000001</v>
      </c>
      <c r="I96" s="166">
        <v>0</v>
      </c>
      <c r="J96" s="166">
        <v>0</v>
      </c>
      <c r="K96" s="166">
        <v>0</v>
      </c>
      <c r="L96" s="166">
        <v>0</v>
      </c>
      <c r="M96" s="166">
        <v>0</v>
      </c>
      <c r="N96" s="166">
        <v>0</v>
      </c>
      <c r="O96" s="166">
        <v>0</v>
      </c>
      <c r="P96" s="166">
        <v>0</v>
      </c>
      <c r="Q96" s="166">
        <f>G96*1.5</f>
        <v>2418</v>
      </c>
      <c r="R96" s="166">
        <v>0</v>
      </c>
      <c r="S96" s="166">
        <v>0</v>
      </c>
      <c r="T96" s="166">
        <v>0</v>
      </c>
      <c r="U96" s="29">
        <f t="shared" si="26"/>
        <v>2418</v>
      </c>
      <c r="V96" s="128"/>
      <c r="W96" s="128"/>
      <c r="X96" s="128"/>
      <c r="Y96" s="128"/>
    </row>
    <row r="97" spans="1:25" ht="25.5">
      <c r="A97" s="164" t="s">
        <v>228</v>
      </c>
      <c r="B97" s="165" t="s">
        <v>226</v>
      </c>
      <c r="C97" s="164" t="s">
        <v>227</v>
      </c>
      <c r="D97" s="79"/>
      <c r="E97" s="48"/>
      <c r="F97" s="48">
        <v>2</v>
      </c>
      <c r="G97" s="48">
        <v>206.54</v>
      </c>
      <c r="H97" s="117">
        <f t="shared" si="28"/>
        <v>0.41308</v>
      </c>
      <c r="I97" s="166"/>
      <c r="J97" s="166"/>
      <c r="K97" s="166"/>
      <c r="L97" s="166"/>
      <c r="M97" s="166"/>
      <c r="N97" s="166"/>
      <c r="O97" s="166">
        <v>0</v>
      </c>
      <c r="P97" s="166">
        <v>0</v>
      </c>
      <c r="Q97" s="166">
        <f>G97</f>
        <v>206.54</v>
      </c>
      <c r="R97" s="166">
        <v>0</v>
      </c>
      <c r="S97" s="166">
        <v>0</v>
      </c>
      <c r="T97" s="166">
        <f>G97</f>
        <v>206.54</v>
      </c>
      <c r="U97" s="29">
        <f t="shared" si="26"/>
        <v>413.08</v>
      </c>
      <c r="V97" s="128"/>
      <c r="W97" s="128"/>
      <c r="X97" s="128"/>
      <c r="Y97" s="128"/>
    </row>
    <row r="98" spans="1:25" ht="25.5" customHeight="1">
      <c r="A98" s="173" t="s">
        <v>100</v>
      </c>
      <c r="B98" s="162" t="s">
        <v>229</v>
      </c>
      <c r="C98" s="163" t="s">
        <v>189</v>
      </c>
      <c r="D98" s="79"/>
      <c r="E98" s="48"/>
      <c r="F98" s="48">
        <v>1</v>
      </c>
      <c r="G98" s="48">
        <v>1934.94</v>
      </c>
      <c r="H98" s="117">
        <f t="shared" si="28"/>
        <v>1.9349400000000001</v>
      </c>
      <c r="I98" s="29">
        <v>0</v>
      </c>
      <c r="J98" s="29">
        <v>0</v>
      </c>
      <c r="K98" s="29">
        <v>0</v>
      </c>
      <c r="L98" s="29">
        <v>0</v>
      </c>
      <c r="M98" s="29">
        <f>G98</f>
        <v>1934.94</v>
      </c>
      <c r="N98" s="29">
        <v>0</v>
      </c>
      <c r="O98" s="29">
        <v>0</v>
      </c>
      <c r="P98" s="29">
        <v>0</v>
      </c>
      <c r="Q98" s="29">
        <v>0</v>
      </c>
      <c r="R98" s="29">
        <v>0</v>
      </c>
      <c r="S98" s="29">
        <f>G98</f>
        <v>1934.94</v>
      </c>
      <c r="T98" s="29">
        <v>0</v>
      </c>
      <c r="U98" s="29">
        <f t="shared" ref="U98" si="29">SUM(O98:T98)</f>
        <v>1934.94</v>
      </c>
    </row>
    <row r="99" spans="1:25" ht="12.75" customHeight="1">
      <c r="A99" s="167" t="s">
        <v>188</v>
      </c>
      <c r="B99" s="168" t="s">
        <v>190</v>
      </c>
      <c r="C99" s="167" t="s">
        <v>178</v>
      </c>
      <c r="D99" s="79"/>
      <c r="E99" s="48"/>
      <c r="F99" s="48">
        <f>(10)/3</f>
        <v>3.3333333333333335</v>
      </c>
      <c r="G99" s="48">
        <v>1120.8900000000001</v>
      </c>
      <c r="H99" s="137">
        <f t="shared" ref="H99:H105" si="30">F99*G99/1000</f>
        <v>3.7363000000000008</v>
      </c>
      <c r="I99" s="29">
        <v>0</v>
      </c>
      <c r="J99" s="29">
        <v>0</v>
      </c>
      <c r="K99" s="29">
        <v>0</v>
      </c>
      <c r="L99" s="29">
        <f>G99*(10/3)</f>
        <v>3736.3000000000006</v>
      </c>
      <c r="M99" s="29">
        <f>G99*(10/3)</f>
        <v>3736.3000000000006</v>
      </c>
      <c r="N99" s="29">
        <f>G99*((10+3)/3)</f>
        <v>4857.1900000000005</v>
      </c>
      <c r="O99" s="29">
        <v>0</v>
      </c>
      <c r="P99" s="29">
        <v>0</v>
      </c>
      <c r="Q99" s="29">
        <v>0</v>
      </c>
      <c r="R99" s="29">
        <v>0</v>
      </c>
      <c r="S99" s="29">
        <f>G99*(10/3)</f>
        <v>3736.3000000000006</v>
      </c>
      <c r="T99" s="29">
        <v>0</v>
      </c>
      <c r="U99" s="29">
        <f t="shared" ref="U99:U105" si="31">SUM(O99:T99)</f>
        <v>3736.3000000000006</v>
      </c>
    </row>
    <row r="100" spans="1:25" s="176" customFormat="1" ht="12.75" customHeight="1">
      <c r="A100" s="175" t="s">
        <v>114</v>
      </c>
      <c r="B100" s="132" t="s">
        <v>236</v>
      </c>
      <c r="C100" s="125" t="s">
        <v>215</v>
      </c>
      <c r="D100" s="79"/>
      <c r="E100" s="48"/>
      <c r="F100" s="48">
        <v>1</v>
      </c>
      <c r="G100" s="127">
        <v>122000</v>
      </c>
      <c r="H100" s="137">
        <f t="shared" si="30"/>
        <v>122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f>G100</f>
        <v>122000</v>
      </c>
      <c r="T100" s="29">
        <v>0</v>
      </c>
      <c r="U100" s="29">
        <f t="shared" si="31"/>
        <v>122000</v>
      </c>
    </row>
    <row r="101" spans="1:25" ht="25.5" customHeight="1">
      <c r="A101" s="164" t="s">
        <v>130</v>
      </c>
      <c r="B101" s="165" t="s">
        <v>183</v>
      </c>
      <c r="C101" s="164" t="s">
        <v>31</v>
      </c>
      <c r="D101" s="79"/>
      <c r="E101" s="48"/>
      <c r="F101" s="87">
        <f>1/1000</f>
        <v>1E-3</v>
      </c>
      <c r="G101" s="48">
        <v>1591.6</v>
      </c>
      <c r="H101" s="161">
        <f t="shared" si="30"/>
        <v>1.5915999999999999E-3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29">
        <v>0</v>
      </c>
      <c r="R101" s="29">
        <v>0</v>
      </c>
      <c r="S101" s="29">
        <f>G101*0.001</f>
        <v>1.5915999999999999</v>
      </c>
      <c r="T101" s="29">
        <v>0</v>
      </c>
      <c r="U101" s="29">
        <f t="shared" si="31"/>
        <v>1.5915999999999999</v>
      </c>
    </row>
    <row r="102" spans="1:25" ht="15.75" customHeight="1">
      <c r="A102" s="174" t="s">
        <v>230</v>
      </c>
      <c r="B102" s="162" t="s">
        <v>231</v>
      </c>
      <c r="C102" s="163" t="s">
        <v>147</v>
      </c>
      <c r="D102" s="79"/>
      <c r="E102" s="48"/>
      <c r="F102" s="48">
        <f>0.81/10</f>
        <v>8.1000000000000003E-2</v>
      </c>
      <c r="G102" s="48">
        <v>3282.12</v>
      </c>
      <c r="H102" s="117">
        <f t="shared" si="30"/>
        <v>0.26585172000000001</v>
      </c>
      <c r="I102" s="29"/>
      <c r="J102" s="29"/>
      <c r="K102" s="29"/>
      <c r="L102" s="29"/>
      <c r="M102" s="29"/>
      <c r="N102" s="29"/>
      <c r="O102" s="29">
        <v>0</v>
      </c>
      <c r="P102" s="29">
        <v>0</v>
      </c>
      <c r="Q102" s="29">
        <v>0</v>
      </c>
      <c r="R102" s="29">
        <v>0</v>
      </c>
      <c r="S102" s="29">
        <f>G102*F102</f>
        <v>265.85172</v>
      </c>
      <c r="T102" s="29">
        <v>0</v>
      </c>
      <c r="U102" s="29">
        <f t="shared" si="31"/>
        <v>265.85172</v>
      </c>
    </row>
    <row r="103" spans="1:25" ht="25.5" customHeight="1">
      <c r="A103" s="164" t="s">
        <v>175</v>
      </c>
      <c r="B103" s="165" t="s">
        <v>174</v>
      </c>
      <c r="C103" s="164" t="s">
        <v>44</v>
      </c>
      <c r="D103" s="79"/>
      <c r="E103" s="48"/>
      <c r="F103" s="48">
        <v>1</v>
      </c>
      <c r="G103" s="48">
        <v>189.88</v>
      </c>
      <c r="H103" s="117">
        <f t="shared" si="30"/>
        <v>0.18987999999999999</v>
      </c>
      <c r="I103" s="29">
        <v>0</v>
      </c>
      <c r="J103" s="29">
        <f>G103</f>
        <v>189.88</v>
      </c>
      <c r="K103" s="29">
        <f>G103</f>
        <v>189.88</v>
      </c>
      <c r="L103" s="29">
        <f>G103</f>
        <v>189.88</v>
      </c>
      <c r="M103" s="29">
        <v>0</v>
      </c>
      <c r="N103" s="29">
        <v>0</v>
      </c>
      <c r="O103" s="29">
        <v>0</v>
      </c>
      <c r="P103" s="29">
        <v>0</v>
      </c>
      <c r="Q103" s="29">
        <v>0</v>
      </c>
      <c r="R103" s="29">
        <v>0</v>
      </c>
      <c r="S103" s="29">
        <v>0</v>
      </c>
      <c r="T103" s="29">
        <f>G103</f>
        <v>189.88</v>
      </c>
      <c r="U103" s="29">
        <f t="shared" si="31"/>
        <v>189.88</v>
      </c>
    </row>
    <row r="104" spans="1:25" ht="12.75" customHeight="1">
      <c r="A104" s="164" t="s">
        <v>169</v>
      </c>
      <c r="B104" s="165" t="s">
        <v>63</v>
      </c>
      <c r="C104" s="171" t="s">
        <v>168</v>
      </c>
      <c r="D104" s="79"/>
      <c r="E104" s="48"/>
      <c r="F104" s="48">
        <v>1</v>
      </c>
      <c r="G104" s="48">
        <v>18.97</v>
      </c>
      <c r="H104" s="117">
        <f t="shared" si="30"/>
        <v>1.8969999999999997E-2</v>
      </c>
      <c r="I104" s="29">
        <v>0</v>
      </c>
      <c r="J104" s="29">
        <v>0</v>
      </c>
      <c r="K104" s="29">
        <v>0</v>
      </c>
      <c r="L104" s="29">
        <v>0</v>
      </c>
      <c r="M104" s="29">
        <v>0</v>
      </c>
      <c r="N104" s="29">
        <v>0</v>
      </c>
      <c r="O104" s="29">
        <v>0</v>
      </c>
      <c r="P104" s="29">
        <v>0</v>
      </c>
      <c r="Q104" s="29">
        <v>0</v>
      </c>
      <c r="R104" s="29">
        <v>0</v>
      </c>
      <c r="S104" s="29">
        <v>0</v>
      </c>
      <c r="T104" s="29">
        <f>G104</f>
        <v>18.97</v>
      </c>
      <c r="U104" s="29">
        <f t="shared" si="31"/>
        <v>18.97</v>
      </c>
    </row>
    <row r="105" spans="1:25" ht="25.5" customHeight="1">
      <c r="A105" s="174" t="s">
        <v>233</v>
      </c>
      <c r="B105" s="132" t="s">
        <v>232</v>
      </c>
      <c r="C105" s="175" t="s">
        <v>223</v>
      </c>
      <c r="D105" s="79"/>
      <c r="E105" s="48"/>
      <c r="F105" s="48">
        <f>0.4/10</f>
        <v>0.04</v>
      </c>
      <c r="G105" s="48">
        <v>9397.7900000000009</v>
      </c>
      <c r="H105" s="117">
        <f t="shared" si="30"/>
        <v>0.37591160000000001</v>
      </c>
      <c r="I105" s="29"/>
      <c r="J105" s="29"/>
      <c r="K105" s="29"/>
      <c r="L105" s="29"/>
      <c r="M105" s="29"/>
      <c r="N105" s="29"/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 s="29">
        <f>G105*F105</f>
        <v>375.91160000000002</v>
      </c>
      <c r="U105" s="29">
        <f t="shared" si="31"/>
        <v>375.91160000000002</v>
      </c>
    </row>
    <row r="106" spans="1:25" s="9" customFormat="1">
      <c r="A106" s="89"/>
      <c r="B106" s="88" t="s">
        <v>76</v>
      </c>
      <c r="C106" s="89"/>
      <c r="D106" s="89"/>
      <c r="E106" s="90"/>
      <c r="F106" s="90"/>
      <c r="G106" s="90"/>
      <c r="H106" s="116">
        <f>SUM(H89:H105)</f>
        <v>168.57450851999997</v>
      </c>
      <c r="I106" s="90"/>
      <c r="J106" s="90"/>
      <c r="K106" s="90"/>
      <c r="L106" s="90"/>
      <c r="M106" s="120"/>
      <c r="N106" s="82"/>
      <c r="O106" s="82"/>
      <c r="P106" s="82"/>
      <c r="Q106" s="82"/>
      <c r="R106" s="82"/>
      <c r="S106" s="82"/>
      <c r="T106" s="82"/>
      <c r="U106" s="77">
        <f>SUM(U89:U105)</f>
        <v>168574.50852000003</v>
      </c>
    </row>
    <row r="107" spans="1:25">
      <c r="A107" s="154"/>
      <c r="B107" s="91"/>
      <c r="C107" s="92"/>
      <c r="D107" s="92"/>
      <c r="E107" s="93"/>
      <c r="F107" s="93"/>
      <c r="G107" s="93"/>
      <c r="H107" s="94"/>
      <c r="I107" s="33"/>
      <c r="J107" s="33"/>
      <c r="K107" s="33"/>
      <c r="L107" s="33"/>
      <c r="M107" s="121"/>
      <c r="N107" s="28"/>
      <c r="O107" s="28"/>
      <c r="P107" s="28"/>
      <c r="Q107" s="28"/>
      <c r="R107" s="28"/>
      <c r="S107" s="28"/>
      <c r="T107" s="28"/>
      <c r="U107" s="44"/>
    </row>
    <row r="108" spans="1:25" ht="12" customHeight="1">
      <c r="A108" s="92"/>
      <c r="B108" s="22" t="s">
        <v>77</v>
      </c>
      <c r="C108" s="58"/>
      <c r="D108" s="79"/>
      <c r="E108" s="48"/>
      <c r="F108" s="48"/>
      <c r="G108" s="48"/>
      <c r="H108" s="135">
        <f>H106/E109/12*1000</f>
        <v>27.850665563045201</v>
      </c>
      <c r="I108" s="32"/>
      <c r="J108" s="33"/>
      <c r="K108" s="33"/>
      <c r="L108" s="33"/>
      <c r="M108" s="121"/>
      <c r="N108" s="85"/>
      <c r="O108" s="28"/>
      <c r="P108" s="28"/>
      <c r="Q108" s="28"/>
      <c r="R108" s="28"/>
      <c r="S108" s="28"/>
      <c r="T108" s="28"/>
      <c r="U108" s="44"/>
    </row>
    <row r="109" spans="1:25" s="9" customFormat="1">
      <c r="A109" s="131"/>
      <c r="B109" s="95" t="s">
        <v>78</v>
      </c>
      <c r="C109" s="96"/>
      <c r="D109" s="95"/>
      <c r="E109" s="155">
        <v>504.4</v>
      </c>
      <c r="F109" s="97">
        <f>SUM(E109*12)</f>
        <v>6052.7999999999993</v>
      </c>
      <c r="G109" s="98">
        <f>H87+H108</f>
        <v>57.490370413466955</v>
      </c>
      <c r="H109" s="136">
        <f>SUM(F109*G109/1000)</f>
        <v>347.97771403863277</v>
      </c>
      <c r="I109" s="84">
        <f t="shared" ref="I109:S109" si="32">SUM(I11:I108)</f>
        <v>70259.374675166662</v>
      </c>
      <c r="J109" s="84">
        <f t="shared" si="32"/>
        <v>69836.374975166676</v>
      </c>
      <c r="K109" s="84">
        <f t="shared" si="32"/>
        <v>75824.55553516667</v>
      </c>
      <c r="L109" s="84">
        <f t="shared" si="32"/>
        <v>80278.662435166669</v>
      </c>
      <c r="M109" s="84">
        <f t="shared" si="32"/>
        <v>207936.45352722221</v>
      </c>
      <c r="N109" s="84">
        <f t="shared" si="32"/>
        <v>57485.618203222235</v>
      </c>
      <c r="O109" s="84">
        <f t="shared" si="32"/>
        <v>63350.271714555551</v>
      </c>
      <c r="P109" s="84">
        <f t="shared" si="32"/>
        <v>71577.19111455555</v>
      </c>
      <c r="Q109" s="84">
        <f t="shared" si="32"/>
        <v>98126.621349555528</v>
      </c>
      <c r="R109" s="84">
        <f t="shared" si="32"/>
        <v>60307.82041455555</v>
      </c>
      <c r="S109" s="84">
        <f t="shared" si="32"/>
        <v>194123.59522900003</v>
      </c>
      <c r="T109" s="84">
        <f>SUM(T11:T108)</f>
        <v>78138.098889000001</v>
      </c>
      <c r="U109" s="77">
        <f>U85+U106</f>
        <v>565623.59871122229</v>
      </c>
    </row>
    <row r="110" spans="1:25">
      <c r="B110" s="101"/>
      <c r="C110" s="102"/>
      <c r="D110" s="103"/>
      <c r="E110" s="104"/>
      <c r="F110" s="105"/>
      <c r="G110" s="106"/>
      <c r="H110" s="107"/>
      <c r="I110" s="99"/>
      <c r="J110" s="99"/>
      <c r="K110" s="99"/>
      <c r="L110" s="99"/>
      <c r="M110" s="99"/>
      <c r="N110" s="30"/>
      <c r="O110" s="30"/>
      <c r="P110" s="30"/>
      <c r="Q110" s="30"/>
      <c r="R110" s="30"/>
      <c r="S110" s="30"/>
      <c r="T110" s="30"/>
      <c r="U110" s="30"/>
    </row>
    <row r="111" spans="1:25">
      <c r="A111" s="100"/>
      <c r="B111" s="101"/>
      <c r="C111" s="102"/>
      <c r="D111" s="103"/>
      <c r="E111" s="104"/>
      <c r="F111" s="105"/>
      <c r="G111" s="106"/>
      <c r="H111" s="107"/>
      <c r="I111" s="99"/>
      <c r="J111" s="99"/>
      <c r="K111" s="99"/>
      <c r="L111" s="99"/>
      <c r="M111" s="99"/>
      <c r="N111" s="30"/>
      <c r="O111" s="30"/>
      <c r="P111" s="30"/>
      <c r="Q111" s="30"/>
      <c r="R111" s="30"/>
      <c r="S111" s="30"/>
      <c r="T111" s="30"/>
      <c r="U111" s="30"/>
    </row>
    <row r="112" spans="1:25" ht="51.75" customHeight="1">
      <c r="A112" s="100"/>
      <c r="B112" s="23" t="s">
        <v>184</v>
      </c>
      <c r="C112" s="180">
        <v>242901.84</v>
      </c>
      <c r="D112" s="181"/>
      <c r="E112" s="181"/>
      <c r="F112" s="182"/>
      <c r="G112" s="99"/>
      <c r="H112" s="99"/>
      <c r="I112" s="115"/>
      <c r="J112" s="99"/>
      <c r="K112" s="99"/>
      <c r="L112" s="99"/>
      <c r="M112" s="30"/>
      <c r="N112" s="99"/>
      <c r="O112" s="30"/>
      <c r="P112" s="30"/>
      <c r="Q112" s="30"/>
      <c r="R112" s="30"/>
      <c r="S112" s="30"/>
      <c r="T112" s="30"/>
      <c r="U112" s="30"/>
    </row>
    <row r="113" spans="2:21" ht="30" customHeight="1">
      <c r="B113" s="23" t="s">
        <v>191</v>
      </c>
      <c r="C113" s="180">
        <f>(58318.03*6)+202739.12+(80729.26*5)</f>
        <v>956293.60000000009</v>
      </c>
      <c r="D113" s="181"/>
      <c r="E113" s="181"/>
      <c r="F113" s="182"/>
      <c r="G113" s="99"/>
      <c r="H113" s="99"/>
      <c r="I113" s="99"/>
      <c r="J113" s="108"/>
      <c r="K113" s="109"/>
      <c r="L113" s="108"/>
      <c r="M113" s="99"/>
      <c r="N113" s="30"/>
      <c r="O113" s="30"/>
      <c r="P113" s="30"/>
      <c r="Q113" s="30"/>
      <c r="R113" s="30"/>
      <c r="S113" s="30"/>
      <c r="T113" s="30"/>
      <c r="U113" s="30"/>
    </row>
    <row r="114" spans="2:21" ht="30" customHeight="1">
      <c r="B114" s="23" t="s">
        <v>192</v>
      </c>
      <c r="C114" s="180">
        <f>SUM(U109-U106)+403248.98</f>
        <v>800298.07019122224</v>
      </c>
      <c r="D114" s="181"/>
      <c r="E114" s="181"/>
      <c r="F114" s="182"/>
      <c r="G114" s="99"/>
      <c r="H114" s="99"/>
      <c r="I114" s="99"/>
      <c r="J114" s="108"/>
      <c r="K114" s="109"/>
      <c r="L114" s="108"/>
      <c r="M114" s="99"/>
      <c r="N114" s="30"/>
      <c r="O114" s="30"/>
      <c r="P114" s="30"/>
      <c r="Q114" s="30"/>
      <c r="R114" s="30"/>
      <c r="S114" s="30"/>
      <c r="T114" s="30"/>
      <c r="U114" s="30"/>
    </row>
    <row r="115" spans="2:21" ht="30" customHeight="1">
      <c r="B115" s="23" t="s">
        <v>193</v>
      </c>
      <c r="C115" s="180">
        <f>SUM(U106)+50107.24</f>
        <v>218681.74852000002</v>
      </c>
      <c r="D115" s="181"/>
      <c r="E115" s="181"/>
      <c r="F115" s="182"/>
      <c r="G115" s="99"/>
      <c r="H115" s="99"/>
      <c r="I115" s="99"/>
      <c r="J115" s="108"/>
      <c r="K115" s="109"/>
      <c r="L115" s="108"/>
      <c r="M115" s="99"/>
      <c r="N115" s="30"/>
      <c r="O115" s="30"/>
      <c r="P115" s="30"/>
      <c r="Q115" s="30"/>
      <c r="R115" s="30"/>
      <c r="S115" s="30"/>
      <c r="T115" s="30"/>
      <c r="U115" s="30"/>
    </row>
    <row r="116" spans="2:21" ht="18" customHeight="1">
      <c r="B116" s="118" t="s">
        <v>194</v>
      </c>
      <c r="C116" s="180">
        <f>(61673.65+44039.39+60612.64+56432.47+45354.27+45444.44)+59800.49+131442.87+64665.61+76147.84+69514.05+81695.22</f>
        <v>796822.94</v>
      </c>
      <c r="D116" s="181"/>
      <c r="E116" s="181"/>
      <c r="F116" s="182"/>
      <c r="G116" s="30"/>
      <c r="H116" s="110" t="s">
        <v>82</v>
      </c>
      <c r="J116" s="99"/>
      <c r="K116" s="108"/>
      <c r="L116" s="109"/>
      <c r="M116" s="110"/>
      <c r="N116" s="110"/>
      <c r="O116" s="30"/>
      <c r="P116" s="30"/>
      <c r="Q116" s="30"/>
      <c r="R116" s="30"/>
      <c r="S116" s="30"/>
      <c r="T116" s="30"/>
      <c r="U116" s="30"/>
    </row>
    <row r="117" spans="2:21" ht="78.75" customHeight="1">
      <c r="B117" s="24" t="s">
        <v>234</v>
      </c>
      <c r="C117" s="183">
        <v>449335.91</v>
      </c>
      <c r="D117" s="184"/>
      <c r="E117" s="184"/>
      <c r="F117" s="185"/>
      <c r="G117" s="99"/>
      <c r="H117" s="99"/>
      <c r="I117" s="99"/>
      <c r="J117" s="108"/>
      <c r="K117" s="109"/>
      <c r="L117" s="108"/>
      <c r="M117" s="99"/>
      <c r="N117" s="30"/>
      <c r="O117" s="30"/>
      <c r="P117" s="30"/>
      <c r="Q117" s="30"/>
      <c r="R117" s="30"/>
      <c r="S117" s="30"/>
      <c r="T117" s="30"/>
      <c r="U117" s="30"/>
    </row>
    <row r="118" spans="2:21" ht="51.75" customHeight="1">
      <c r="B118" s="23" t="s">
        <v>235</v>
      </c>
      <c r="C118" s="177">
        <f>SUM(C114+C115-C113)+C112</f>
        <v>305588.05871122214</v>
      </c>
      <c r="D118" s="178"/>
      <c r="E118" s="178"/>
      <c r="F118" s="179"/>
      <c r="G118" s="99"/>
      <c r="H118" s="99"/>
      <c r="I118" s="99"/>
      <c r="J118" s="108"/>
      <c r="K118" s="109"/>
      <c r="L118" s="108"/>
      <c r="M118" s="99"/>
      <c r="N118" s="30"/>
      <c r="O118" s="30"/>
      <c r="P118" s="30"/>
      <c r="Q118" s="30"/>
      <c r="R118" s="30"/>
      <c r="S118" s="30"/>
      <c r="T118" s="30"/>
      <c r="U118" s="30"/>
    </row>
    <row r="122" spans="2:21">
      <c r="J122" s="4"/>
      <c r="K122" s="5"/>
      <c r="L122" s="5"/>
      <c r="M122" s="3"/>
    </row>
    <row r="123" spans="2:21">
      <c r="G123" s="6"/>
      <c r="H123" s="6"/>
    </row>
    <row r="124" spans="2:21">
      <c r="G124" s="7"/>
    </row>
  </sheetData>
  <mergeCells count="11">
    <mergeCell ref="B3:L3"/>
    <mergeCell ref="B4:L4"/>
    <mergeCell ref="B5:L5"/>
    <mergeCell ref="B6:L6"/>
    <mergeCell ref="C113:F113"/>
    <mergeCell ref="C112:F112"/>
    <mergeCell ref="C118:F118"/>
    <mergeCell ref="C114:F114"/>
    <mergeCell ref="C115:F115"/>
    <mergeCell ref="C116:F116"/>
    <mergeCell ref="C117:F117"/>
  </mergeCells>
  <pageMargins left="0.51181102362204722" right="0.11811023622047245" top="0.15748031496062992" bottom="0.19685039370078741" header="0" footer="0"/>
  <pageSetup paperSize="9" scale="4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Лерм.,17</vt:lpstr>
      <vt:lpstr>'Лерм.,17'!Область_печати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2018-03-19T10:34:29Z</cp:lastPrinted>
  <dcterms:created xsi:type="dcterms:W3CDTF">2014-02-05T12:20:20Z</dcterms:created>
  <dcterms:modified xsi:type="dcterms:W3CDTF">2018-03-27T08:08:32Z</dcterms:modified>
</cp:coreProperties>
</file>