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40" windowWidth="15480" windowHeight="11280" activeTab="11"/>
  </bookViews>
  <sheets>
    <sheet name="01.17" sheetId="17" r:id="rId1"/>
    <sheet name="02.17" sheetId="18" r:id="rId2"/>
    <sheet name="03.17" sheetId="19" r:id="rId3"/>
    <sheet name="04.17" sheetId="20" r:id="rId4"/>
    <sheet name="05.17" sheetId="21" r:id="rId5"/>
    <sheet name="06.17" sheetId="22" r:id="rId6"/>
    <sheet name="07.17" sheetId="27" r:id="rId7"/>
    <sheet name="08.17" sheetId="28" r:id="rId8"/>
    <sheet name="09.17" sheetId="29" r:id="rId9"/>
    <sheet name="10.17" sheetId="30" r:id="rId10"/>
    <sheet name="11.17" sheetId="31" r:id="rId11"/>
    <sheet name="12.17" sheetId="32" r:id="rId12"/>
  </sheets>
  <definedNames>
    <definedName name="_xlnm._FilterDatabase" localSheetId="0" hidden="1">'01.17'!$I$12:$I$62</definedName>
    <definedName name="_xlnm._FilterDatabase" localSheetId="1" hidden="1">'02.17'!$I$12:$I$62</definedName>
    <definedName name="_xlnm._FilterDatabase" localSheetId="2" hidden="1">'03.17'!$I$12:$I$62</definedName>
    <definedName name="_xlnm._FilterDatabase" localSheetId="3" hidden="1">'04.17'!$I$12:$I$62</definedName>
    <definedName name="_xlnm._FilterDatabase" localSheetId="4" hidden="1">'05.17'!$I$12:$I$62</definedName>
    <definedName name="_xlnm._FilterDatabase" localSheetId="5" hidden="1">'06.17'!$I$12:$I$62</definedName>
    <definedName name="_xlnm._FilterDatabase" localSheetId="6" hidden="1">'07.17'!$I$12:$I$66</definedName>
    <definedName name="_xlnm._FilterDatabase" localSheetId="7" hidden="1">'08.17'!$I$12:$I$66</definedName>
    <definedName name="_xlnm._FilterDatabase" localSheetId="8" hidden="1">'09.17'!$I$12:$I$66</definedName>
    <definedName name="_xlnm._FilterDatabase" localSheetId="9" hidden="1">'10.17'!$I$12:$I$66</definedName>
    <definedName name="_xlnm._FilterDatabase" localSheetId="10" hidden="1">'11.17'!$I$12:$I$66</definedName>
    <definedName name="_xlnm._FilterDatabase" localSheetId="11" hidden="1">'12.17'!$I$12:$I$66</definedName>
    <definedName name="_xlnm.Print_Titles" localSheetId="4">'05.17'!$12:$13</definedName>
    <definedName name="_xlnm.Print_Area" localSheetId="0">'01.17'!$A$1:$I$105</definedName>
    <definedName name="_xlnm.Print_Area" localSheetId="1">'02.17'!$A$1:$I$115</definedName>
    <definedName name="_xlnm.Print_Area" localSheetId="2">'03.17'!$A$1:$I$111</definedName>
    <definedName name="_xlnm.Print_Area" localSheetId="3">'04.17'!$A$1:$I$108</definedName>
    <definedName name="_xlnm.Print_Area" localSheetId="4">'05.17'!$A$1:$I$106</definedName>
    <definedName name="_xlnm.Print_Area" localSheetId="5">'06.17'!$A$1:$I$111</definedName>
    <definedName name="_xlnm.Print_Area" localSheetId="6">'07.17'!$A$1:$I$116</definedName>
    <definedName name="_xlnm.Print_Area" localSheetId="7">'08.17'!$A$1:$I$116</definedName>
    <definedName name="_xlnm.Print_Area" localSheetId="8">'09.17'!$A$1:$I$119</definedName>
    <definedName name="_xlnm.Print_Area" localSheetId="9">'10.17'!$A$1:$I$113</definedName>
    <definedName name="_xlnm.Print_Area" localSheetId="10">'11.17'!$A$1:$I$119</definedName>
    <definedName name="_xlnm.Print_Area" localSheetId="11">'12.17'!$A$1:$I$120</definedName>
  </definedNames>
  <calcPr calcId="124519"/>
</workbook>
</file>

<file path=xl/calcChain.xml><?xml version="1.0" encoding="utf-8"?>
<calcChain xmlns="http://schemas.openxmlformats.org/spreadsheetml/2006/main">
  <c r="I87" i="32"/>
  <c r="I87" i="31"/>
  <c r="F40" i="20" l="1"/>
  <c r="H40" s="1"/>
  <c r="I40" i="19"/>
  <c r="F40"/>
  <c r="H40" s="1"/>
  <c r="I78" i="18"/>
  <c r="I40" i="20" l="1"/>
  <c r="I78" i="17" l="1"/>
  <c r="I97" i="32"/>
  <c r="I96"/>
  <c r="I95"/>
  <c r="F96"/>
  <c r="H96" s="1"/>
  <c r="H95"/>
  <c r="H94"/>
  <c r="I93"/>
  <c r="H93"/>
  <c r="I92"/>
  <c r="I91"/>
  <c r="H92"/>
  <c r="H91"/>
  <c r="I89"/>
  <c r="I76"/>
  <c r="I64"/>
  <c r="I94"/>
  <c r="I90"/>
  <c r="H90"/>
  <c r="H89"/>
  <c r="H86"/>
  <c r="H87" s="1"/>
  <c r="F86"/>
  <c r="I86" s="1"/>
  <c r="F85"/>
  <c r="H85" s="1"/>
  <c r="F83"/>
  <c r="H83" s="1"/>
  <c r="H81"/>
  <c r="I79"/>
  <c r="H79"/>
  <c r="F79"/>
  <c r="I78"/>
  <c r="F78"/>
  <c r="H78" s="1"/>
  <c r="F77"/>
  <c r="H77" s="1"/>
  <c r="F76"/>
  <c r="H76" s="1"/>
  <c r="H75"/>
  <c r="F74"/>
  <c r="H74" s="1"/>
  <c r="E72"/>
  <c r="F72" s="1"/>
  <c r="H72" s="1"/>
  <c r="I71"/>
  <c r="F71"/>
  <c r="H71" s="1"/>
  <c r="F70"/>
  <c r="H70" s="1"/>
  <c r="E70"/>
  <c r="H69"/>
  <c r="F69"/>
  <c r="H68"/>
  <c r="F68"/>
  <c r="H67"/>
  <c r="F67"/>
  <c r="H66"/>
  <c r="F66"/>
  <c r="H65"/>
  <c r="F65"/>
  <c r="F64"/>
  <c r="H64" s="1"/>
  <c r="H62"/>
  <c r="F62"/>
  <c r="I62" s="1"/>
  <c r="F61"/>
  <c r="I59"/>
  <c r="H59"/>
  <c r="H58"/>
  <c r="F58"/>
  <c r="I58" s="1"/>
  <c r="I55"/>
  <c r="F55"/>
  <c r="H55" s="1"/>
  <c r="I54"/>
  <c r="H54"/>
  <c r="H53"/>
  <c r="F53"/>
  <c r="I53" s="1"/>
  <c r="F52"/>
  <c r="H52" s="1"/>
  <c r="E52"/>
  <c r="F51"/>
  <c r="H51" s="1"/>
  <c r="F50"/>
  <c r="I50" s="1"/>
  <c r="F49"/>
  <c r="H49" s="1"/>
  <c r="F48"/>
  <c r="I48" s="1"/>
  <c r="F47"/>
  <c r="H47" s="1"/>
  <c r="F46"/>
  <c r="I46" s="1"/>
  <c r="I44"/>
  <c r="H44"/>
  <c r="F43"/>
  <c r="H43" s="1"/>
  <c r="H42"/>
  <c r="F42"/>
  <c r="I42" s="1"/>
  <c r="H41"/>
  <c r="H40"/>
  <c r="F40"/>
  <c r="I40" s="1"/>
  <c r="F39"/>
  <c r="H39" s="1"/>
  <c r="I38"/>
  <c r="H38"/>
  <c r="H36"/>
  <c r="H35"/>
  <c r="H34"/>
  <c r="F34"/>
  <c r="I34" s="1"/>
  <c r="E34"/>
  <c r="H33"/>
  <c r="F33"/>
  <c r="I33" s="1"/>
  <c r="F32"/>
  <c r="H32" s="1"/>
  <c r="E32"/>
  <c r="F31"/>
  <c r="H31" s="1"/>
  <c r="H30"/>
  <c r="F30"/>
  <c r="I30" s="1"/>
  <c r="F27"/>
  <c r="H27" s="1"/>
  <c r="H26"/>
  <c r="F26"/>
  <c r="I26" s="1"/>
  <c r="H25"/>
  <c r="F25"/>
  <c r="H24"/>
  <c r="F24"/>
  <c r="H23"/>
  <c r="F23"/>
  <c r="H22"/>
  <c r="F22"/>
  <c r="F21"/>
  <c r="H21" s="1"/>
  <c r="H20"/>
  <c r="F20"/>
  <c r="I20" s="1"/>
  <c r="H19"/>
  <c r="F19"/>
  <c r="F18"/>
  <c r="H18" s="1"/>
  <c r="E18"/>
  <c r="F17"/>
  <c r="H17" s="1"/>
  <c r="H16"/>
  <c r="F16"/>
  <c r="I16" s="1"/>
  <c r="I96" i="31"/>
  <c r="I95"/>
  <c r="I94"/>
  <c r="I93"/>
  <c r="I92"/>
  <c r="I91"/>
  <c r="F95"/>
  <c r="H95" s="1"/>
  <c r="H94"/>
  <c r="F94"/>
  <c r="H93"/>
  <c r="F92"/>
  <c r="H92" s="1"/>
  <c r="H91"/>
  <c r="I89"/>
  <c r="H89"/>
  <c r="I64"/>
  <c r="I90"/>
  <c r="H90"/>
  <c r="H86"/>
  <c r="H87" s="1"/>
  <c r="F86"/>
  <c r="I86" s="1"/>
  <c r="F85"/>
  <c r="I85" s="1"/>
  <c r="F83"/>
  <c r="H83" s="1"/>
  <c r="H81"/>
  <c r="I79"/>
  <c r="F79"/>
  <c r="H79" s="1"/>
  <c r="I78"/>
  <c r="F78"/>
  <c r="H78" s="1"/>
  <c r="F77"/>
  <c r="H77" s="1"/>
  <c r="F76"/>
  <c r="H76" s="1"/>
  <c r="H75"/>
  <c r="F74"/>
  <c r="H74" s="1"/>
  <c r="E72"/>
  <c r="F72" s="1"/>
  <c r="I71"/>
  <c r="F71"/>
  <c r="H71" s="1"/>
  <c r="E70"/>
  <c r="F70" s="1"/>
  <c r="H70" s="1"/>
  <c r="F69"/>
  <c r="H69" s="1"/>
  <c r="F68"/>
  <c r="H68" s="1"/>
  <c r="F67"/>
  <c r="H67" s="1"/>
  <c r="F66"/>
  <c r="H66" s="1"/>
  <c r="F65"/>
  <c r="H65" s="1"/>
  <c r="F64"/>
  <c r="H64" s="1"/>
  <c r="F62"/>
  <c r="H62" s="1"/>
  <c r="F61"/>
  <c r="I59"/>
  <c r="H59"/>
  <c r="F58"/>
  <c r="I58" s="1"/>
  <c r="I55"/>
  <c r="F55"/>
  <c r="H55" s="1"/>
  <c r="I54"/>
  <c r="H54"/>
  <c r="F53"/>
  <c r="H53" s="1"/>
  <c r="E52"/>
  <c r="F52" s="1"/>
  <c r="F51"/>
  <c r="I51" s="1"/>
  <c r="H50"/>
  <c r="F50"/>
  <c r="I50" s="1"/>
  <c r="F49"/>
  <c r="I49" s="1"/>
  <c r="F48"/>
  <c r="I48" s="1"/>
  <c r="F47"/>
  <c r="I47" s="1"/>
  <c r="F46"/>
  <c r="I46" s="1"/>
  <c r="I44"/>
  <c r="H44"/>
  <c r="F43"/>
  <c r="I43" s="1"/>
  <c r="F42"/>
  <c r="H42" s="1"/>
  <c r="H41"/>
  <c r="F40"/>
  <c r="H40" s="1"/>
  <c r="F39"/>
  <c r="I39" s="1"/>
  <c r="I38"/>
  <c r="H38"/>
  <c r="H36"/>
  <c r="H35"/>
  <c r="F34"/>
  <c r="H34" s="1"/>
  <c r="E34"/>
  <c r="F33"/>
  <c r="H33" s="1"/>
  <c r="E32"/>
  <c r="F32" s="1"/>
  <c r="F31"/>
  <c r="I31" s="1"/>
  <c r="F30"/>
  <c r="H30" s="1"/>
  <c r="F27"/>
  <c r="I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87" i="30"/>
  <c r="I64"/>
  <c r="H48" i="32" l="1"/>
  <c r="H82"/>
  <c r="H46"/>
  <c r="H50"/>
  <c r="I17"/>
  <c r="I18"/>
  <c r="I21"/>
  <c r="I27"/>
  <c r="I31"/>
  <c r="I32"/>
  <c r="I39"/>
  <c r="I43"/>
  <c r="I47"/>
  <c r="I49"/>
  <c r="I51"/>
  <c r="I52"/>
  <c r="I72"/>
  <c r="I85"/>
  <c r="H58" i="31"/>
  <c r="H46"/>
  <c r="H48"/>
  <c r="I18"/>
  <c r="H18"/>
  <c r="I32"/>
  <c r="H32"/>
  <c r="I52"/>
  <c r="H52"/>
  <c r="I72"/>
  <c r="H72"/>
  <c r="H82" s="1"/>
  <c r="I16"/>
  <c r="H17"/>
  <c r="I20"/>
  <c r="H21"/>
  <c r="I26"/>
  <c r="H27"/>
  <c r="I30"/>
  <c r="H31"/>
  <c r="I33"/>
  <c r="I34"/>
  <c r="H39"/>
  <c r="I40"/>
  <c r="I42"/>
  <c r="H43"/>
  <c r="H47"/>
  <c r="H49"/>
  <c r="H51"/>
  <c r="I53"/>
  <c r="I62"/>
  <c r="H85"/>
  <c r="I99" i="32" l="1"/>
  <c r="I98" i="31"/>
  <c r="I89" i="30" l="1"/>
  <c r="H89"/>
  <c r="I90"/>
  <c r="F86"/>
  <c r="I86" s="1"/>
  <c r="F85"/>
  <c r="H85" s="1"/>
  <c r="F83"/>
  <c r="H83" s="1"/>
  <c r="H81"/>
  <c r="I79"/>
  <c r="F79"/>
  <c r="H79" s="1"/>
  <c r="I78"/>
  <c r="F78"/>
  <c r="H78" s="1"/>
  <c r="F77"/>
  <c r="H77" s="1"/>
  <c r="F76"/>
  <c r="H76" s="1"/>
  <c r="H75"/>
  <c r="F74"/>
  <c r="H74" s="1"/>
  <c r="E72"/>
  <c r="F72" s="1"/>
  <c r="I71"/>
  <c r="F71"/>
  <c r="H71" s="1"/>
  <c r="E70"/>
  <c r="F70" s="1"/>
  <c r="H70" s="1"/>
  <c r="F69"/>
  <c r="H69" s="1"/>
  <c r="F68"/>
  <c r="H68" s="1"/>
  <c r="F67"/>
  <c r="H67" s="1"/>
  <c r="F66"/>
  <c r="H66" s="1"/>
  <c r="F65"/>
  <c r="H65" s="1"/>
  <c r="F64"/>
  <c r="H64" s="1"/>
  <c r="F62"/>
  <c r="I62" s="1"/>
  <c r="F61"/>
  <c r="I59"/>
  <c r="H59"/>
  <c r="F58"/>
  <c r="I58" s="1"/>
  <c r="I55"/>
  <c r="F55"/>
  <c r="H55" s="1"/>
  <c r="I54"/>
  <c r="H54"/>
  <c r="F53"/>
  <c r="I53" s="1"/>
  <c r="E52"/>
  <c r="F52" s="1"/>
  <c r="F51"/>
  <c r="H51" s="1"/>
  <c r="F50"/>
  <c r="I50" s="1"/>
  <c r="F49"/>
  <c r="H49" s="1"/>
  <c r="F48"/>
  <c r="I48" s="1"/>
  <c r="F47"/>
  <c r="H47" s="1"/>
  <c r="F46"/>
  <c r="I46" s="1"/>
  <c r="I44"/>
  <c r="H44"/>
  <c r="F43"/>
  <c r="H43" s="1"/>
  <c r="F42"/>
  <c r="I42" s="1"/>
  <c r="H41"/>
  <c r="F40"/>
  <c r="I40" s="1"/>
  <c r="F39"/>
  <c r="H39" s="1"/>
  <c r="I38"/>
  <c r="H38"/>
  <c r="H36"/>
  <c r="H35"/>
  <c r="F34"/>
  <c r="I34" s="1"/>
  <c r="E34"/>
  <c r="F33"/>
  <c r="I33" s="1"/>
  <c r="E32"/>
  <c r="F32" s="1"/>
  <c r="F31"/>
  <c r="H31" s="1"/>
  <c r="F30"/>
  <c r="I30" s="1"/>
  <c r="F27"/>
  <c r="H27" s="1"/>
  <c r="F26"/>
  <c r="I26" s="1"/>
  <c r="F25"/>
  <c r="H25" s="1"/>
  <c r="F24"/>
  <c r="H24" s="1"/>
  <c r="F23"/>
  <c r="H23" s="1"/>
  <c r="F22"/>
  <c r="H22" s="1"/>
  <c r="F21"/>
  <c r="H21" s="1"/>
  <c r="F20"/>
  <c r="I20" s="1"/>
  <c r="F19"/>
  <c r="H19" s="1"/>
  <c r="E18"/>
  <c r="F18" s="1"/>
  <c r="F17"/>
  <c r="H17" s="1"/>
  <c r="F16"/>
  <c r="I16" s="1"/>
  <c r="I96" i="29"/>
  <c r="I95"/>
  <c r="I94"/>
  <c r="I92"/>
  <c r="I93"/>
  <c r="H95"/>
  <c r="H94"/>
  <c r="H93"/>
  <c r="F93"/>
  <c r="H92"/>
  <c r="I91"/>
  <c r="H91"/>
  <c r="H86" i="30" l="1"/>
  <c r="H87" s="1"/>
  <c r="H52"/>
  <c r="I52"/>
  <c r="H18"/>
  <c r="I18"/>
  <c r="H32"/>
  <c r="I32"/>
  <c r="H72"/>
  <c r="I72"/>
  <c r="H16"/>
  <c r="I17"/>
  <c r="H20"/>
  <c r="I21"/>
  <c r="H26"/>
  <c r="I27"/>
  <c r="H30"/>
  <c r="I31"/>
  <c r="H33"/>
  <c r="H34"/>
  <c r="I39"/>
  <c r="H40"/>
  <c r="H42"/>
  <c r="I43"/>
  <c r="H46"/>
  <c r="I47"/>
  <c r="H48"/>
  <c r="I49"/>
  <c r="H50"/>
  <c r="I51"/>
  <c r="H53"/>
  <c r="H58"/>
  <c r="H62"/>
  <c r="I85"/>
  <c r="I92" l="1"/>
  <c r="H82"/>
  <c r="I89" i="29" l="1"/>
  <c r="I87"/>
  <c r="I71"/>
  <c r="I64"/>
  <c r="I90"/>
  <c r="H90"/>
  <c r="H89"/>
  <c r="H86"/>
  <c r="H87" s="1"/>
  <c r="F86"/>
  <c r="I86" s="1"/>
  <c r="F85"/>
  <c r="H85" s="1"/>
  <c r="F83"/>
  <c r="H83" s="1"/>
  <c r="H81"/>
  <c r="I79"/>
  <c r="F79"/>
  <c r="H79" s="1"/>
  <c r="I78"/>
  <c r="F78"/>
  <c r="H78" s="1"/>
  <c r="F77"/>
  <c r="H77" s="1"/>
  <c r="F76"/>
  <c r="H76" s="1"/>
  <c r="H75"/>
  <c r="F74"/>
  <c r="H74" s="1"/>
  <c r="E72"/>
  <c r="F72" s="1"/>
  <c r="F71"/>
  <c r="H71" s="1"/>
  <c r="E70"/>
  <c r="F70" s="1"/>
  <c r="H70" s="1"/>
  <c r="F69"/>
  <c r="H69" s="1"/>
  <c r="F68"/>
  <c r="H68" s="1"/>
  <c r="F67"/>
  <c r="H67" s="1"/>
  <c r="F66"/>
  <c r="H66" s="1"/>
  <c r="F65"/>
  <c r="H65" s="1"/>
  <c r="F64"/>
  <c r="H64" s="1"/>
  <c r="F62"/>
  <c r="H62" s="1"/>
  <c r="F61"/>
  <c r="I59"/>
  <c r="H59"/>
  <c r="F58"/>
  <c r="H58" s="1"/>
  <c r="I55"/>
  <c r="F55"/>
  <c r="H55" s="1"/>
  <c r="I54"/>
  <c r="H54"/>
  <c r="F53"/>
  <c r="H53" s="1"/>
  <c r="E52"/>
  <c r="F52" s="1"/>
  <c r="F51"/>
  <c r="I51" s="1"/>
  <c r="F50"/>
  <c r="H50" s="1"/>
  <c r="F49"/>
  <c r="I49" s="1"/>
  <c r="F48"/>
  <c r="H48" s="1"/>
  <c r="F47"/>
  <c r="I47" s="1"/>
  <c r="F46"/>
  <c r="H46" s="1"/>
  <c r="I44"/>
  <c r="H44"/>
  <c r="F43"/>
  <c r="I43" s="1"/>
  <c r="F42"/>
  <c r="H42" s="1"/>
  <c r="H41"/>
  <c r="F40"/>
  <c r="I40" s="1"/>
  <c r="F39"/>
  <c r="I39" s="1"/>
  <c r="I38"/>
  <c r="H38"/>
  <c r="H36"/>
  <c r="H35"/>
  <c r="F34"/>
  <c r="H34" s="1"/>
  <c r="E34"/>
  <c r="F33"/>
  <c r="H33" s="1"/>
  <c r="E32"/>
  <c r="F32" s="1"/>
  <c r="F31"/>
  <c r="I31" s="1"/>
  <c r="F30"/>
  <c r="H30" s="1"/>
  <c r="F27"/>
  <c r="I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93" i="28"/>
  <c r="I91"/>
  <c r="I92"/>
  <c r="F92"/>
  <c r="H92" s="1"/>
  <c r="H91"/>
  <c r="I87"/>
  <c r="I64"/>
  <c r="I59"/>
  <c r="I90"/>
  <c r="H90"/>
  <c r="I89"/>
  <c r="H89"/>
  <c r="F86"/>
  <c r="H86" s="1"/>
  <c r="H87" s="1"/>
  <c r="F85"/>
  <c r="I85" s="1"/>
  <c r="F83"/>
  <c r="H83" s="1"/>
  <c r="H81"/>
  <c r="I79"/>
  <c r="F79"/>
  <c r="H79" s="1"/>
  <c r="I78"/>
  <c r="F78"/>
  <c r="H78" s="1"/>
  <c r="F77"/>
  <c r="H77" s="1"/>
  <c r="F76"/>
  <c r="H76" s="1"/>
  <c r="H75"/>
  <c r="F74"/>
  <c r="H74" s="1"/>
  <c r="E72"/>
  <c r="F72" s="1"/>
  <c r="F71"/>
  <c r="H71" s="1"/>
  <c r="E70"/>
  <c r="F70" s="1"/>
  <c r="H70" s="1"/>
  <c r="F69"/>
  <c r="H69" s="1"/>
  <c r="F68"/>
  <c r="H68" s="1"/>
  <c r="F67"/>
  <c r="H67" s="1"/>
  <c r="F66"/>
  <c r="H66" s="1"/>
  <c r="F65"/>
  <c r="H65" s="1"/>
  <c r="F64"/>
  <c r="H64" s="1"/>
  <c r="F62"/>
  <c r="I62" s="1"/>
  <c r="F61"/>
  <c r="H59"/>
  <c r="F58"/>
  <c r="H58" s="1"/>
  <c r="I55"/>
  <c r="F55"/>
  <c r="H55" s="1"/>
  <c r="I54"/>
  <c r="H54"/>
  <c r="F53"/>
  <c r="H53" s="1"/>
  <c r="E52"/>
  <c r="F52" s="1"/>
  <c r="F51"/>
  <c r="I51" s="1"/>
  <c r="F50"/>
  <c r="H50" s="1"/>
  <c r="F49"/>
  <c r="I49" s="1"/>
  <c r="F48"/>
  <c r="H48" s="1"/>
  <c r="F47"/>
  <c r="I47" s="1"/>
  <c r="F46"/>
  <c r="H46" s="1"/>
  <c r="I44"/>
  <c r="H44"/>
  <c r="F43"/>
  <c r="I43" s="1"/>
  <c r="F42"/>
  <c r="H42" s="1"/>
  <c r="H41"/>
  <c r="F40"/>
  <c r="H40" s="1"/>
  <c r="F39"/>
  <c r="I39" s="1"/>
  <c r="I38"/>
  <c r="H38"/>
  <c r="H36"/>
  <c r="H35"/>
  <c r="F34"/>
  <c r="H34" s="1"/>
  <c r="E34"/>
  <c r="F33"/>
  <c r="H33" s="1"/>
  <c r="E32"/>
  <c r="F32" s="1"/>
  <c r="F31"/>
  <c r="I31" s="1"/>
  <c r="F30"/>
  <c r="H30" s="1"/>
  <c r="F27"/>
  <c r="I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87" i="27"/>
  <c r="I93"/>
  <c r="I91"/>
  <c r="I90"/>
  <c r="I92"/>
  <c r="I89"/>
  <c r="H92"/>
  <c r="H91"/>
  <c r="H90"/>
  <c r="H89"/>
  <c r="F86"/>
  <c r="H86" s="1"/>
  <c r="F85"/>
  <c r="H85" s="1"/>
  <c r="F83"/>
  <c r="H83" s="1"/>
  <c r="H81"/>
  <c r="I79"/>
  <c r="I78"/>
  <c r="F79"/>
  <c r="H79" s="1"/>
  <c r="F78"/>
  <c r="H78" s="1"/>
  <c r="F77"/>
  <c r="H77" s="1"/>
  <c r="F76"/>
  <c r="H76" s="1"/>
  <c r="H75"/>
  <c r="F74"/>
  <c r="H74" s="1"/>
  <c r="I64"/>
  <c r="E72"/>
  <c r="F72" s="1"/>
  <c r="H72" s="1"/>
  <c r="F71"/>
  <c r="H71" s="1"/>
  <c r="E70"/>
  <c r="F70" s="1"/>
  <c r="H70" s="1"/>
  <c r="F69"/>
  <c r="H69" s="1"/>
  <c r="F68"/>
  <c r="H68" s="1"/>
  <c r="F67"/>
  <c r="H67" s="1"/>
  <c r="F66"/>
  <c r="H66" s="1"/>
  <c r="F65"/>
  <c r="H65" s="1"/>
  <c r="F64"/>
  <c r="H64" s="1"/>
  <c r="F62"/>
  <c r="H62" s="1"/>
  <c r="F61"/>
  <c r="H59"/>
  <c r="F58"/>
  <c r="H58" s="1"/>
  <c r="I54"/>
  <c r="F55"/>
  <c r="H55" s="1"/>
  <c r="H54"/>
  <c r="F53"/>
  <c r="H53" s="1"/>
  <c r="E52"/>
  <c r="F52" s="1"/>
  <c r="H52" s="1"/>
  <c r="F51"/>
  <c r="H51" s="1"/>
  <c r="F50"/>
  <c r="H50" s="1"/>
  <c r="F49"/>
  <c r="H49" s="1"/>
  <c r="F48"/>
  <c r="H48" s="1"/>
  <c r="F47"/>
  <c r="H47" s="1"/>
  <c r="F46"/>
  <c r="H46" s="1"/>
  <c r="I44"/>
  <c r="H44"/>
  <c r="F43"/>
  <c r="H43" s="1"/>
  <c r="F42"/>
  <c r="H42" s="1"/>
  <c r="H41"/>
  <c r="F40"/>
  <c r="H40" s="1"/>
  <c r="F39"/>
  <c r="I39" s="1"/>
  <c r="H38"/>
  <c r="H36"/>
  <c r="H35"/>
  <c r="F34"/>
  <c r="H34" s="1"/>
  <c r="E34"/>
  <c r="F33"/>
  <c r="H33" s="1"/>
  <c r="E32"/>
  <c r="F32" s="1"/>
  <c r="H32" s="1"/>
  <c r="F31"/>
  <c r="H31" s="1"/>
  <c r="F30"/>
  <c r="H30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I20" s="1"/>
  <c r="F19"/>
  <c r="H19" s="1"/>
  <c r="E18"/>
  <c r="F18" s="1"/>
  <c r="H18" s="1"/>
  <c r="F17"/>
  <c r="H17" s="1"/>
  <c r="F16"/>
  <c r="H16" s="1"/>
  <c r="H40" i="29" l="1"/>
  <c r="I18"/>
  <c r="H18"/>
  <c r="I32"/>
  <c r="H32"/>
  <c r="I52"/>
  <c r="H52"/>
  <c r="H72"/>
  <c r="I72"/>
  <c r="H82"/>
  <c r="I16"/>
  <c r="H17"/>
  <c r="I20"/>
  <c r="H21"/>
  <c r="I26"/>
  <c r="H27"/>
  <c r="I30"/>
  <c r="H31"/>
  <c r="I33"/>
  <c r="I34"/>
  <c r="H39"/>
  <c r="I42"/>
  <c r="H43"/>
  <c r="I46"/>
  <c r="H47"/>
  <c r="I48"/>
  <c r="H49"/>
  <c r="I50"/>
  <c r="H51"/>
  <c r="I53"/>
  <c r="I58"/>
  <c r="I62"/>
  <c r="I85"/>
  <c r="I18" i="28"/>
  <c r="H18"/>
  <c r="I32"/>
  <c r="H32"/>
  <c r="I72"/>
  <c r="H72"/>
  <c r="I52"/>
  <c r="H52"/>
  <c r="I16"/>
  <c r="H17"/>
  <c r="I20"/>
  <c r="H21"/>
  <c r="I26"/>
  <c r="H27"/>
  <c r="I30"/>
  <c r="H31"/>
  <c r="I33"/>
  <c r="I34"/>
  <c r="H39"/>
  <c r="I40"/>
  <c r="I42"/>
  <c r="H43"/>
  <c r="I46"/>
  <c r="H47"/>
  <c r="I48"/>
  <c r="H49"/>
  <c r="I50"/>
  <c r="H51"/>
  <c r="I53"/>
  <c r="I58"/>
  <c r="H62"/>
  <c r="H82" s="1"/>
  <c r="H85"/>
  <c r="I86"/>
  <c r="I72" i="27"/>
  <c r="H20"/>
  <c r="H21"/>
  <c r="I34"/>
  <c r="I27"/>
  <c r="I50"/>
  <c r="I48"/>
  <c r="I52"/>
  <c r="I53"/>
  <c r="I46"/>
  <c r="I49"/>
  <c r="I47"/>
  <c r="H39"/>
  <c r="I42"/>
  <c r="I43"/>
  <c r="I40"/>
  <c r="I98" i="29" l="1"/>
  <c r="I95" i="28"/>
  <c r="I85" i="27" l="1"/>
  <c r="I62"/>
  <c r="I55"/>
  <c r="I51"/>
  <c r="I38"/>
  <c r="I33"/>
  <c r="I32"/>
  <c r="I30"/>
  <c r="I17"/>
  <c r="I83" i="22"/>
  <c r="I88"/>
  <c r="I87"/>
  <c r="H87"/>
  <c r="I86"/>
  <c r="F86"/>
  <c r="H86" s="1"/>
  <c r="I82"/>
  <c r="I84"/>
  <c r="I85"/>
  <c r="I81"/>
  <c r="H85"/>
  <c r="H84"/>
  <c r="H83"/>
  <c r="H82"/>
  <c r="H81"/>
  <c r="I80"/>
  <c r="H80"/>
  <c r="I60"/>
  <c r="I58"/>
  <c r="H82" i="27" l="1"/>
  <c r="I18"/>
  <c r="I86"/>
  <c r="H87"/>
  <c r="I16"/>
  <c r="I26"/>
  <c r="I31"/>
  <c r="I58"/>
  <c r="I95" l="1"/>
  <c r="I85" i="21" l="1"/>
  <c r="I82"/>
  <c r="H82"/>
  <c r="I81"/>
  <c r="F81"/>
  <c r="H81" s="1"/>
  <c r="I80"/>
  <c r="H80"/>
  <c r="I60"/>
  <c r="I85" i="20"/>
  <c r="I84"/>
  <c r="I83"/>
  <c r="I82"/>
  <c r="F84"/>
  <c r="H84" s="1"/>
  <c r="H83"/>
  <c r="F82"/>
  <c r="H82" s="1"/>
  <c r="I81"/>
  <c r="H81"/>
  <c r="I80"/>
  <c r="H80"/>
  <c r="I60"/>
  <c r="I51"/>
  <c r="I88" i="19"/>
  <c r="I87"/>
  <c r="I86"/>
  <c r="I85"/>
  <c r="I84"/>
  <c r="I83"/>
  <c r="H87"/>
  <c r="H86"/>
  <c r="H85"/>
  <c r="H84"/>
  <c r="H83"/>
  <c r="I82"/>
  <c r="H82"/>
  <c r="F81"/>
  <c r="H81" s="1"/>
  <c r="I80"/>
  <c r="H80"/>
  <c r="I69"/>
  <c r="I92" i="18"/>
  <c r="I91"/>
  <c r="I90"/>
  <c r="I89"/>
  <c r="I88"/>
  <c r="I87"/>
  <c r="I86"/>
  <c r="I85"/>
  <c r="I84"/>
  <c r="I83"/>
  <c r="I82"/>
  <c r="I81" l="1"/>
  <c r="I80"/>
  <c r="H91"/>
  <c r="H90"/>
  <c r="F89"/>
  <c r="H89" s="1"/>
  <c r="H88"/>
  <c r="H87"/>
  <c r="H86"/>
  <c r="H85"/>
  <c r="H84"/>
  <c r="H83"/>
  <c r="H82"/>
  <c r="H81"/>
  <c r="H80"/>
  <c r="I69"/>
  <c r="I60"/>
  <c r="I82" i="17" l="1"/>
  <c r="I81"/>
  <c r="H81"/>
  <c r="I80"/>
  <c r="H80"/>
  <c r="I60"/>
  <c r="E77" i="22" l="1"/>
  <c r="F77" s="1"/>
  <c r="F76"/>
  <c r="I76" s="1"/>
  <c r="F74"/>
  <c r="H74" s="1"/>
  <c r="H72"/>
  <c r="F70"/>
  <c r="H70" s="1"/>
  <c r="I69"/>
  <c r="H69"/>
  <c r="F67"/>
  <c r="H67" s="1"/>
  <c r="E66"/>
  <c r="F66" s="1"/>
  <c r="H66" s="1"/>
  <c r="F65"/>
  <c r="H65" s="1"/>
  <c r="F64"/>
  <c r="H64" s="1"/>
  <c r="F63"/>
  <c r="H63" s="1"/>
  <c r="F62"/>
  <c r="H62" s="1"/>
  <c r="H61"/>
  <c r="H60"/>
  <c r="H58"/>
  <c r="F55"/>
  <c r="I55" s="1"/>
  <c r="I52"/>
  <c r="F52"/>
  <c r="H52" s="1"/>
  <c r="H51"/>
  <c r="F50"/>
  <c r="H50" s="1"/>
  <c r="F49"/>
  <c r="H49" s="1"/>
  <c r="F48"/>
  <c r="H48" s="1"/>
  <c r="F47"/>
  <c r="H47" s="1"/>
  <c r="F46"/>
  <c r="H46" s="1"/>
  <c r="F45"/>
  <c r="H45" s="1"/>
  <c r="F44"/>
  <c r="H44" s="1"/>
  <c r="F43"/>
  <c r="H43" s="1"/>
  <c r="I41"/>
  <c r="H41"/>
  <c r="F40"/>
  <c r="I40" s="1"/>
  <c r="F39"/>
  <c r="H39" s="1"/>
  <c r="F38"/>
  <c r="I38" s="1"/>
  <c r="F37"/>
  <c r="H37" s="1"/>
  <c r="I36"/>
  <c r="H36"/>
  <c r="H34"/>
  <c r="H33"/>
  <c r="H32"/>
  <c r="F32"/>
  <c r="I32" s="1"/>
  <c r="F31"/>
  <c r="H31" s="1"/>
  <c r="F30"/>
  <c r="I30" s="1"/>
  <c r="F29"/>
  <c r="H29" s="1"/>
  <c r="F26"/>
  <c r="I26" s="1"/>
  <c r="F25"/>
  <c r="H25" s="1"/>
  <c r="F24"/>
  <c r="H24" s="1"/>
  <c r="F23"/>
  <c r="I23" s="1"/>
  <c r="F22"/>
  <c r="H22" s="1"/>
  <c r="F21"/>
  <c r="H21" s="1"/>
  <c r="F20"/>
  <c r="I20" s="1"/>
  <c r="F19"/>
  <c r="H19" s="1"/>
  <c r="E18"/>
  <c r="F18" s="1"/>
  <c r="F17"/>
  <c r="H17" s="1"/>
  <c r="F16"/>
  <c r="I16" s="1"/>
  <c r="H18" l="1"/>
  <c r="I18"/>
  <c r="I77"/>
  <c r="H77"/>
  <c r="H78" s="1"/>
  <c r="H16"/>
  <c r="I17"/>
  <c r="H20"/>
  <c r="I21"/>
  <c r="H23"/>
  <c r="I25"/>
  <c r="H26"/>
  <c r="I29"/>
  <c r="H30"/>
  <c r="I31"/>
  <c r="I37"/>
  <c r="H38"/>
  <c r="I39"/>
  <c r="H40"/>
  <c r="I48"/>
  <c r="H55"/>
  <c r="H73" s="1"/>
  <c r="H76"/>
  <c r="I78" l="1"/>
  <c r="I90" s="1"/>
  <c r="I51" i="21" l="1"/>
  <c r="I83"/>
  <c r="E77"/>
  <c r="F77" s="1"/>
  <c r="I77" s="1"/>
  <c r="F76"/>
  <c r="I76" s="1"/>
  <c r="F74"/>
  <c r="H74" s="1"/>
  <c r="H72"/>
  <c r="F70"/>
  <c r="H70" s="1"/>
  <c r="I69"/>
  <c r="H69"/>
  <c r="F67"/>
  <c r="H67" s="1"/>
  <c r="E66"/>
  <c r="F66" s="1"/>
  <c r="H66" s="1"/>
  <c r="F65"/>
  <c r="H65" s="1"/>
  <c r="F64"/>
  <c r="H64" s="1"/>
  <c r="F63"/>
  <c r="H63" s="1"/>
  <c r="F62"/>
  <c r="H62" s="1"/>
  <c r="H61"/>
  <c r="H60"/>
  <c r="I58"/>
  <c r="H58"/>
  <c r="F55"/>
  <c r="I55" s="1"/>
  <c r="I52"/>
  <c r="F52"/>
  <c r="H52" s="1"/>
  <c r="H51"/>
  <c r="F50"/>
  <c r="H50" s="1"/>
  <c r="F49"/>
  <c r="H49" s="1"/>
  <c r="F48"/>
  <c r="I48" s="1"/>
  <c r="F47"/>
  <c r="H47" s="1"/>
  <c r="F46"/>
  <c r="H46" s="1"/>
  <c r="F45"/>
  <c r="H45" s="1"/>
  <c r="F44"/>
  <c r="H44" s="1"/>
  <c r="F43"/>
  <c r="H43" s="1"/>
  <c r="I41"/>
  <c r="H41"/>
  <c r="F40"/>
  <c r="I40" s="1"/>
  <c r="F39"/>
  <c r="H39" s="1"/>
  <c r="F38"/>
  <c r="I38" s="1"/>
  <c r="F37"/>
  <c r="H37" s="1"/>
  <c r="I36"/>
  <c r="H36"/>
  <c r="H34"/>
  <c r="H33"/>
  <c r="H32"/>
  <c r="F32"/>
  <c r="I32" s="1"/>
  <c r="F31"/>
  <c r="H31" s="1"/>
  <c r="F30"/>
  <c r="I30" s="1"/>
  <c r="F29"/>
  <c r="H29" s="1"/>
  <c r="F26"/>
  <c r="I26" s="1"/>
  <c r="F25"/>
  <c r="H25" s="1"/>
  <c r="F24"/>
  <c r="H24" s="1"/>
  <c r="F23"/>
  <c r="I23" s="1"/>
  <c r="F22"/>
  <c r="H22" s="1"/>
  <c r="F21"/>
  <c r="H21" s="1"/>
  <c r="F20"/>
  <c r="I20" s="1"/>
  <c r="F19"/>
  <c r="H19" s="1"/>
  <c r="E18"/>
  <c r="F18" s="1"/>
  <c r="F17"/>
  <c r="H17" s="1"/>
  <c r="F16"/>
  <c r="I16" s="1"/>
  <c r="I52" i="20"/>
  <c r="I52" i="17"/>
  <c r="H48" i="21" l="1"/>
  <c r="I22"/>
  <c r="I49"/>
  <c r="I50"/>
  <c r="I46"/>
  <c r="I44"/>
  <c r="I62"/>
  <c r="I65"/>
  <c r="I63"/>
  <c r="I19"/>
  <c r="I24"/>
  <c r="I47"/>
  <c r="I45"/>
  <c r="I43"/>
  <c r="I66"/>
  <c r="I64"/>
  <c r="H18"/>
  <c r="I18"/>
  <c r="H16"/>
  <c r="I17"/>
  <c r="I78" s="1"/>
  <c r="H20"/>
  <c r="I21"/>
  <c r="H23"/>
  <c r="I25"/>
  <c r="H26"/>
  <c r="I29"/>
  <c r="H30"/>
  <c r="I31"/>
  <c r="I37"/>
  <c r="H38"/>
  <c r="I39"/>
  <c r="H40"/>
  <c r="H55"/>
  <c r="H73" s="1"/>
  <c r="H76"/>
  <c r="H77"/>
  <c r="H78" s="1"/>
  <c r="E77" i="20" l="1"/>
  <c r="F77" s="1"/>
  <c r="F76"/>
  <c r="I76" s="1"/>
  <c r="F74"/>
  <c r="H74" s="1"/>
  <c r="H72"/>
  <c r="F70"/>
  <c r="H70" s="1"/>
  <c r="I69"/>
  <c r="H69"/>
  <c r="F67"/>
  <c r="H67" s="1"/>
  <c r="E66"/>
  <c r="F66" s="1"/>
  <c r="H66" s="1"/>
  <c r="F65"/>
  <c r="H65" s="1"/>
  <c r="F64"/>
  <c r="H64" s="1"/>
  <c r="F63"/>
  <c r="H63" s="1"/>
  <c r="F62"/>
  <c r="H62" s="1"/>
  <c r="H61"/>
  <c r="H60"/>
  <c r="I58"/>
  <c r="H58"/>
  <c r="F55"/>
  <c r="I55" s="1"/>
  <c r="F52"/>
  <c r="H52" s="1"/>
  <c r="H51"/>
  <c r="F50"/>
  <c r="H50" s="1"/>
  <c r="F49"/>
  <c r="H49" s="1"/>
  <c r="F48"/>
  <c r="H48" s="1"/>
  <c r="F47"/>
  <c r="H47" s="1"/>
  <c r="F46"/>
  <c r="H46" s="1"/>
  <c r="F45"/>
  <c r="H45" s="1"/>
  <c r="F44"/>
  <c r="H44" s="1"/>
  <c r="F43"/>
  <c r="H43" s="1"/>
  <c r="I41"/>
  <c r="H41"/>
  <c r="F39"/>
  <c r="I39" s="1"/>
  <c r="F38"/>
  <c r="I38" s="1"/>
  <c r="F37"/>
  <c r="H37" s="1"/>
  <c r="I36"/>
  <c r="H36"/>
  <c r="H34"/>
  <c r="H33"/>
  <c r="H32"/>
  <c r="F32"/>
  <c r="I32" s="1"/>
  <c r="F31"/>
  <c r="H31" s="1"/>
  <c r="F30"/>
  <c r="I30" s="1"/>
  <c r="F29"/>
  <c r="H29" s="1"/>
  <c r="F26"/>
  <c r="I26" s="1"/>
  <c r="F25"/>
  <c r="H25" s="1"/>
  <c r="F24"/>
  <c r="H24" s="1"/>
  <c r="F23"/>
  <c r="I23" s="1"/>
  <c r="F22"/>
  <c r="H22" s="1"/>
  <c r="F21"/>
  <c r="H21" s="1"/>
  <c r="F20"/>
  <c r="I20" s="1"/>
  <c r="F19"/>
  <c r="H19" s="1"/>
  <c r="E18"/>
  <c r="F18" s="1"/>
  <c r="F17"/>
  <c r="H17" s="1"/>
  <c r="F16"/>
  <c r="I16" s="1"/>
  <c r="H39" l="1"/>
  <c r="H18"/>
  <c r="I18"/>
  <c r="I77"/>
  <c r="H77"/>
  <c r="H78" s="1"/>
  <c r="H16"/>
  <c r="I17"/>
  <c r="I78" s="1"/>
  <c r="H20"/>
  <c r="I21"/>
  <c r="H23"/>
  <c r="I25"/>
  <c r="H26"/>
  <c r="I29"/>
  <c r="H30"/>
  <c r="I31"/>
  <c r="I37"/>
  <c r="H38"/>
  <c r="I48"/>
  <c r="H55"/>
  <c r="H73" s="1"/>
  <c r="H76"/>
  <c r="I87" l="1"/>
  <c r="I81" i="19"/>
  <c r="I74"/>
  <c r="E77"/>
  <c r="F77" s="1"/>
  <c r="F76"/>
  <c r="I76" s="1"/>
  <c r="F74"/>
  <c r="H74" s="1"/>
  <c r="H72"/>
  <c r="F70"/>
  <c r="H70" s="1"/>
  <c r="H69"/>
  <c r="F67"/>
  <c r="H67" s="1"/>
  <c r="E66"/>
  <c r="F66" s="1"/>
  <c r="H66" s="1"/>
  <c r="F65"/>
  <c r="H65" s="1"/>
  <c r="F64"/>
  <c r="H64" s="1"/>
  <c r="F63"/>
  <c r="H63" s="1"/>
  <c r="F62"/>
  <c r="H62" s="1"/>
  <c r="H61"/>
  <c r="H60"/>
  <c r="I58"/>
  <c r="H58"/>
  <c r="F55"/>
  <c r="I55" s="1"/>
  <c r="I52"/>
  <c r="F52"/>
  <c r="H52" s="1"/>
  <c r="H51"/>
  <c r="F50"/>
  <c r="H50" s="1"/>
  <c r="F49"/>
  <c r="H49" s="1"/>
  <c r="F48"/>
  <c r="H48" s="1"/>
  <c r="F47"/>
  <c r="H47" s="1"/>
  <c r="F46"/>
  <c r="H46" s="1"/>
  <c r="F45"/>
  <c r="H45" s="1"/>
  <c r="F44"/>
  <c r="H44" s="1"/>
  <c r="F43"/>
  <c r="H43" s="1"/>
  <c r="I41"/>
  <c r="H41"/>
  <c r="I78"/>
  <c r="F39"/>
  <c r="H39" s="1"/>
  <c r="F38"/>
  <c r="I38" s="1"/>
  <c r="F37"/>
  <c r="H37" s="1"/>
  <c r="I36"/>
  <c r="H36"/>
  <c r="H34"/>
  <c r="H33"/>
  <c r="H32"/>
  <c r="F32"/>
  <c r="I32" s="1"/>
  <c r="F31"/>
  <c r="H31" s="1"/>
  <c r="F30"/>
  <c r="I30" s="1"/>
  <c r="F29"/>
  <c r="H29" s="1"/>
  <c r="F26"/>
  <c r="I26" s="1"/>
  <c r="F25"/>
  <c r="H25" s="1"/>
  <c r="F24"/>
  <c r="H24" s="1"/>
  <c r="F23"/>
  <c r="I23" s="1"/>
  <c r="F22"/>
  <c r="H22" s="1"/>
  <c r="F21"/>
  <c r="H21" s="1"/>
  <c r="F20"/>
  <c r="I20" s="1"/>
  <c r="F19"/>
  <c r="H19" s="1"/>
  <c r="E18"/>
  <c r="F18" s="1"/>
  <c r="F17"/>
  <c r="H17" s="1"/>
  <c r="F16"/>
  <c r="I16" s="1"/>
  <c r="E77" i="18"/>
  <c r="F77" s="1"/>
  <c r="F76"/>
  <c r="I76" s="1"/>
  <c r="F74"/>
  <c r="H74" s="1"/>
  <c r="H72"/>
  <c r="F70"/>
  <c r="H70" s="1"/>
  <c r="H69"/>
  <c r="F67"/>
  <c r="H67" s="1"/>
  <c r="E66"/>
  <c r="F66" s="1"/>
  <c r="H66" s="1"/>
  <c r="F65"/>
  <c r="H65" s="1"/>
  <c r="F64"/>
  <c r="H64" s="1"/>
  <c r="F63"/>
  <c r="H63" s="1"/>
  <c r="F62"/>
  <c r="H62" s="1"/>
  <c r="H61"/>
  <c r="H60"/>
  <c r="I58"/>
  <c r="H58"/>
  <c r="F55"/>
  <c r="I55" s="1"/>
  <c r="I52"/>
  <c r="F52"/>
  <c r="H52" s="1"/>
  <c r="H51"/>
  <c r="F50"/>
  <c r="H50" s="1"/>
  <c r="F49"/>
  <c r="H49" s="1"/>
  <c r="F48"/>
  <c r="H48" s="1"/>
  <c r="F47"/>
  <c r="H47" s="1"/>
  <c r="F46"/>
  <c r="H46" s="1"/>
  <c r="F45"/>
  <c r="H45" s="1"/>
  <c r="F44"/>
  <c r="H44" s="1"/>
  <c r="F43"/>
  <c r="H43" s="1"/>
  <c r="I41"/>
  <c r="H41"/>
  <c r="F40"/>
  <c r="I40" s="1"/>
  <c r="F39"/>
  <c r="H39" s="1"/>
  <c r="F38"/>
  <c r="I38" s="1"/>
  <c r="F37"/>
  <c r="H37" s="1"/>
  <c r="I36"/>
  <c r="H36"/>
  <c r="H34"/>
  <c r="H33"/>
  <c r="H32"/>
  <c r="F32"/>
  <c r="I32" s="1"/>
  <c r="F31"/>
  <c r="H31" s="1"/>
  <c r="F30"/>
  <c r="I30" s="1"/>
  <c r="F29"/>
  <c r="H29" s="1"/>
  <c r="F26"/>
  <c r="I26" s="1"/>
  <c r="F25"/>
  <c r="H25" s="1"/>
  <c r="F24"/>
  <c r="H24" s="1"/>
  <c r="F23"/>
  <c r="I23" s="1"/>
  <c r="F22"/>
  <c r="H22" s="1"/>
  <c r="F21"/>
  <c r="H21" s="1"/>
  <c r="F20"/>
  <c r="I20" s="1"/>
  <c r="F19"/>
  <c r="H19" s="1"/>
  <c r="E18"/>
  <c r="F18" s="1"/>
  <c r="F17"/>
  <c r="H17" s="1"/>
  <c r="F16"/>
  <c r="I16" s="1"/>
  <c r="I94" l="1"/>
  <c r="H55" i="19"/>
  <c r="H76"/>
  <c r="H18"/>
  <c r="I18"/>
  <c r="H73"/>
  <c r="I77"/>
  <c r="H77"/>
  <c r="H78" s="1"/>
  <c r="H16"/>
  <c r="I17"/>
  <c r="H20"/>
  <c r="I21"/>
  <c r="H23"/>
  <c r="I25"/>
  <c r="H26"/>
  <c r="I29"/>
  <c r="H30"/>
  <c r="I31"/>
  <c r="I37"/>
  <c r="H38"/>
  <c r="I39"/>
  <c r="I48"/>
  <c r="H18" i="18"/>
  <c r="I18"/>
  <c r="I77"/>
  <c r="H77"/>
  <c r="H78" s="1"/>
  <c r="H16"/>
  <c r="I17"/>
  <c r="H20"/>
  <c r="I21"/>
  <c r="H23"/>
  <c r="I25"/>
  <c r="H26"/>
  <c r="I29"/>
  <c r="H30"/>
  <c r="I31"/>
  <c r="I37"/>
  <c r="H38"/>
  <c r="I39"/>
  <c r="H40"/>
  <c r="I48"/>
  <c r="H55"/>
  <c r="H73" s="1"/>
  <c r="H76"/>
  <c r="E77" i="17"/>
  <c r="F77" s="1"/>
  <c r="F76"/>
  <c r="H76" s="1"/>
  <c r="F74"/>
  <c r="H74" s="1"/>
  <c r="H72"/>
  <c r="F70"/>
  <c r="H70" s="1"/>
  <c r="I69"/>
  <c r="H69"/>
  <c r="F67"/>
  <c r="H67" s="1"/>
  <c r="E66"/>
  <c r="F66" s="1"/>
  <c r="H66" s="1"/>
  <c r="F65"/>
  <c r="H65" s="1"/>
  <c r="F64"/>
  <c r="H64" s="1"/>
  <c r="F63"/>
  <c r="H63" s="1"/>
  <c r="F62"/>
  <c r="H62" s="1"/>
  <c r="H61"/>
  <c r="H60"/>
  <c r="I58"/>
  <c r="H58"/>
  <c r="F55"/>
  <c r="H55" s="1"/>
  <c r="F52"/>
  <c r="H52" s="1"/>
  <c r="H51"/>
  <c r="F50"/>
  <c r="H50" s="1"/>
  <c r="F49"/>
  <c r="H49" s="1"/>
  <c r="F48"/>
  <c r="H48" s="1"/>
  <c r="F47"/>
  <c r="H47" s="1"/>
  <c r="F46"/>
  <c r="H46" s="1"/>
  <c r="F45"/>
  <c r="H45" s="1"/>
  <c r="F44"/>
  <c r="H44" s="1"/>
  <c r="F43"/>
  <c r="H43" s="1"/>
  <c r="I41"/>
  <c r="H41"/>
  <c r="F40"/>
  <c r="H40" s="1"/>
  <c r="F39"/>
  <c r="I39" s="1"/>
  <c r="F38"/>
  <c r="H38" s="1"/>
  <c r="F37"/>
  <c r="I37" s="1"/>
  <c r="I36"/>
  <c r="H36"/>
  <c r="F26"/>
  <c r="I26" s="1"/>
  <c r="H34"/>
  <c r="H33"/>
  <c r="F25"/>
  <c r="H25" s="1"/>
  <c r="H32"/>
  <c r="F32"/>
  <c r="I32" s="1"/>
  <c r="F31"/>
  <c r="H31" s="1"/>
  <c r="F30"/>
  <c r="H30" s="1"/>
  <c r="F29"/>
  <c r="H29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90" i="19" l="1"/>
  <c r="I31" i="17"/>
  <c r="I29"/>
  <c r="I30"/>
  <c r="H21"/>
  <c r="H26"/>
  <c r="H37"/>
  <c r="H73"/>
  <c r="H17"/>
  <c r="H39"/>
  <c r="I18"/>
  <c r="H18"/>
  <c r="I77"/>
  <c r="H77"/>
  <c r="H78" s="1"/>
  <c r="I16"/>
  <c r="I20"/>
  <c r="I23"/>
  <c r="I25"/>
  <c r="I38"/>
  <c r="I40"/>
  <c r="I84" s="1"/>
  <c r="I48"/>
  <c r="I55"/>
  <c r="I76"/>
</calcChain>
</file>

<file path=xl/sharedStrings.xml><?xml version="1.0" encoding="utf-8"?>
<sst xmlns="http://schemas.openxmlformats.org/spreadsheetml/2006/main" count="2655" uniqueCount="257">
  <si>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</si>
  <si>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</si>
  <si>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</si>
  <si>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</si>
  <si>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</si>
  <si>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</si>
  <si>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</si>
  <si>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</si>
  <si>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</si>
  <si>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</si>
  <si>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</si>
  <si>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</si>
  <si>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</si>
  <si>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</si>
  <si>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</si>
  <si>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</si>
  <si>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</si>
  <si>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</si>
  <si>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</si>
  <si>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</si>
  <si>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</si>
  <si>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</si>
  <si>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</si>
  <si>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</si>
  <si>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</si>
  <si>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</si>
  <si>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</si>
  <si>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</si>
  <si>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</si>
  <si>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</si>
  <si>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</si>
  <si>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</si>
  <si>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</si>
  <si>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</si>
  <si>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</si>
  <si>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</si>
  <si>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</si>
  <si>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</si>
  <si>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</si>
  <si>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</si>
  <si>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</si>
  <si>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</si>
  <si>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</si>
  <si>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</si>
  <si>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</si>
  <si>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</si>
  <si>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</si>
  <si>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</si>
  <si>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</si>
  <si>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</si>
  <si>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</si>
  <si>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</si>
  <si>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</si>
  <si>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</si>
  <si>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</si>
  <si>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</si>
  <si>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</si>
  <si>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>ежемесячно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</si>
  <si>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</si>
  <si>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</si>
  <si>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</si>
  <si>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</si>
  <si>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</si>
  <si>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</si>
  <si>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</si>
  <si>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</si>
  <si>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</si>
  <si>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</si>
  <si>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</si>
  <si>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</si>
  <si>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</si>
  <si>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</si>
  <si>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</si>
  <si>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</si>
  <si>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</si>
  <si>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Вода для промывки системы отопления</t>
  </si>
  <si>
    <t>Спуск воды после промывки системы отопления в канализацию</t>
  </si>
  <si>
    <t>Электроснабжение</t>
  </si>
  <si>
    <t>Смена ламп накаливания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</si>
  <si>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</si>
  <si>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</si>
  <si>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</si>
  <si>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</si>
  <si>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</si>
  <si>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Ремонт групповых щитков на лестничной клетке без ремонта автоматов</t>
  </si>
  <si>
    <t>Итого:</t>
  </si>
  <si>
    <t>Подключение и отключение сварочного аппарата</t>
  </si>
  <si>
    <t>Внеплановый осмотр электросетей, арматуры и электрооборудования на лестничных клетках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</si>
  <si>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</si>
  <si>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 xml:space="preserve">ежедневно </t>
  </si>
  <si>
    <t xml:space="preserve">II. Уборка земельного участка </t>
  </si>
  <si>
    <t>ООО «Жилсервис»</t>
  </si>
  <si>
    <t>Влажное подметание лестничных клеток 1 этажа</t>
  </si>
  <si>
    <t>Влажное подметание лестничных клеток 2-4 этажа</t>
  </si>
  <si>
    <t>Мытье лестничных  площадок и маршей 1-4 этаж.</t>
  </si>
  <si>
    <t>Смена арматуры - вентилей и клапанов обратных муфтовых диаметром до 20 мм</t>
  </si>
  <si>
    <t>генеральный директор Куканов Ю.Л.</t>
  </si>
  <si>
    <t>шт</t>
  </si>
  <si>
    <t>Дератизация</t>
  </si>
  <si>
    <t>3м</t>
  </si>
  <si>
    <t>10 м2</t>
  </si>
  <si>
    <t>Влажная протирка перил</t>
  </si>
  <si>
    <t>100м2</t>
  </si>
  <si>
    <t>Влажная протирка дверей</t>
  </si>
  <si>
    <t>Влажная протирка подоконников</t>
  </si>
  <si>
    <t xml:space="preserve">1 раз в месяц    </t>
  </si>
  <si>
    <t>Влажная протирка отопительных приборов</t>
  </si>
  <si>
    <t>Снятие показаний эл.счетчика коммунального назначения</t>
  </si>
  <si>
    <t>1 шт</t>
  </si>
  <si>
    <t>Влажная протирка почтовых ящиков</t>
  </si>
  <si>
    <t>Влажная протирка шкафов для щитов и слаботочных устройств</t>
  </si>
  <si>
    <t>Влажное подметание лестничных клеток 2-5 этажа</t>
  </si>
  <si>
    <t>Мытье окон</t>
  </si>
  <si>
    <t>10м2</t>
  </si>
  <si>
    <t xml:space="preserve">1 раз в год     </t>
  </si>
  <si>
    <t>Уборка газонов</t>
  </si>
  <si>
    <t>1000м2</t>
  </si>
  <si>
    <t>Уборка контейнерной площадки (16 кв.м.)</t>
  </si>
  <si>
    <t xml:space="preserve">Пескопосыпка территории: крыльца и тротуары </t>
  </si>
  <si>
    <t>Осмотр шиферной кровли</t>
  </si>
  <si>
    <t>Осмотр электросетей, арматуры и электрооборудования на чердаках, подвалах и техэтажах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</si>
  <si>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</si>
  <si>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</si>
  <si>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>100м3</t>
  </si>
  <si>
    <t>1000м3</t>
  </si>
  <si>
    <t>Техническое обслуживание наружных газопроводов</t>
  </si>
  <si>
    <t>ТО внутридомового газ.оборудования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</si>
  <si>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</si>
  <si>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</si>
  <si>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№17 по ул.Лермонтова пгт.Ярега
</t>
  </si>
  <si>
    <t>156 раз в год</t>
  </si>
  <si>
    <t>104 раза в год</t>
  </si>
  <si>
    <t>52 раза в сезон</t>
  </si>
  <si>
    <t>78 раз за сезон</t>
  </si>
  <si>
    <t>20 раз за сезон</t>
  </si>
  <si>
    <t>155 раз за сезон</t>
  </si>
  <si>
    <t>50 раз за сезон</t>
  </si>
  <si>
    <t>Смена плвкой вставки в электрощитке</t>
  </si>
  <si>
    <t>АКТ №1</t>
  </si>
  <si>
    <t>2 раза в неделю 52 раза в сезон</t>
  </si>
  <si>
    <t>3 раза в неделю 78 раз за сезон</t>
  </si>
  <si>
    <t>по мере необходимости</t>
  </si>
  <si>
    <t xml:space="preserve"> </t>
  </si>
  <si>
    <t>Осмотр электросетей, арматуры и электооборудования на лестничных клетках</t>
  </si>
  <si>
    <t>Работа автовышки</t>
  </si>
  <si>
    <t>маш/час</t>
  </si>
  <si>
    <t xml:space="preserve">Смена трубопроводов на полипропиленовые трубы PN25 диаметром 20мм </t>
  </si>
  <si>
    <t>м</t>
  </si>
  <si>
    <t>Мытье лестничных площадок и маршей 1-5 этаж.</t>
  </si>
  <si>
    <t>Подметание территории с усовершенствованным покрытием асф.: крыльца, контейнерн пл., проезд, тротуар</t>
  </si>
  <si>
    <t>III. Проведение технических осмотров</t>
  </si>
  <si>
    <t>IV. Содержание общего имущества МКД</t>
  </si>
  <si>
    <t>V. Прочие услуги</t>
  </si>
  <si>
    <t>5 раз в год</t>
  </si>
  <si>
    <t>АКТ №2</t>
  </si>
  <si>
    <t>АКТ №3</t>
  </si>
  <si>
    <t>III. Содержание общего имущества МКД</t>
  </si>
  <si>
    <t>IV. Прочие услуги</t>
  </si>
  <si>
    <t>АКТ №4</t>
  </si>
  <si>
    <t>АКТ №5</t>
  </si>
  <si>
    <t>АКТ №6</t>
  </si>
  <si>
    <t>АКТ №7</t>
  </si>
  <si>
    <t>АКТ №8</t>
  </si>
  <si>
    <t>АКТ №9</t>
  </si>
  <si>
    <t>АКТ №10</t>
  </si>
  <si>
    <t>за период с 01.01.2017 г. по 31.01.2017 г.</t>
  </si>
  <si>
    <r>
      <t xml:space="preserve">    Собственники помещений в многоквартирном доме, расположенном по адресу: пгт.Ярега, ул.Лермонтова, д.17,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26.03.2013г. стороны, и ООО «Жилсервис», именуемое в дальнейшем "Исполнитель", в лице генерального директора Куканова  Юрия 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</si>
  <si>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 xml:space="preserve">12 раз в год </t>
  </si>
  <si>
    <t>II. Уборка земельного участка</t>
  </si>
  <si>
    <t>Дезинфекция подвала</t>
  </si>
  <si>
    <t>Итого затраты за месяц</t>
  </si>
  <si>
    <t>за период с 01.02.2017 г. по 28.02.2017 г.</t>
  </si>
  <si>
    <t>Смена полипропиленовых канализационных труб диаметром 50 мм, длиной 1м</t>
  </si>
  <si>
    <t xml:space="preserve">Переход чугун-пластик Ду 50 </t>
  </si>
  <si>
    <t>Заглушка 50</t>
  </si>
  <si>
    <t>Установка заглушек диаметром трубопроводов до 20 мм</t>
  </si>
  <si>
    <t>заглушка</t>
  </si>
  <si>
    <t>Отвод 50×90°</t>
  </si>
  <si>
    <t>Манжета 50×73</t>
  </si>
  <si>
    <t>Тройник 50×50/90°</t>
  </si>
  <si>
    <t>Отвод 50×45°</t>
  </si>
  <si>
    <t>за период с 01.03.2017 г. по 31.03.2017 г.</t>
  </si>
  <si>
    <t>Смена вентилей диаметром до 32 мм (без учёта материала)</t>
  </si>
  <si>
    <t>Смена выключателей</t>
  </si>
  <si>
    <t>Поверка средств измерений: Счетчики холодной и горячей воды ВСТ</t>
  </si>
  <si>
    <t>Поверка средств измерений: Комплекты термометров платиновые технические разностные КТПТР</t>
  </si>
  <si>
    <t>Поверка средств измерений: Тепловычислители СПТ941</t>
  </si>
  <si>
    <t>2. Всего за период с 01.03.2017 по 31.03.2017 выполнено работ (оказано услуг) на общую сумму: 67038,91 руб.</t>
  </si>
  <si>
    <t>(шестьдесят семь тысяч тридцать восемь рублей 91 копейка)</t>
  </si>
  <si>
    <t>за период с 01.04.2017 г. по 30.04.2017 г.</t>
  </si>
  <si>
    <t>за период с 01.05.2017 г. по 31.05.2017 г.</t>
  </si>
  <si>
    <t>Прочистка засоров канализации</t>
  </si>
  <si>
    <t>Очистка чердака от снега</t>
  </si>
  <si>
    <t>2. Всего за период с 01.04.2017 по 30.04.2017 выполнено работ (оказано услуг) на общую сумму: 52134,36 руб.</t>
  </si>
  <si>
    <t>(пятьдесят две тысячи сто тридцать четыре рубля 36 копеек)</t>
  </si>
  <si>
    <t>Ремонт и регулировка доводчика (без стоимости доводчика)</t>
  </si>
  <si>
    <t>1шт.</t>
  </si>
  <si>
    <t>2. Всего за период с 01.05.2017 по 31.05.2017 выполнено работ (оказано услуг) на общую сумму: 153832,06 руб.</t>
  </si>
  <si>
    <t>(сто пятьдесят три тысячи восемьсот тридцать два рубля 06 копеек)</t>
  </si>
  <si>
    <t>за период с 01.06.2017 г. по 30.06.2017 г.</t>
  </si>
  <si>
    <t>Патрубок компенсационный ПП Ду 50</t>
  </si>
  <si>
    <t>2. Всего за период с 01.06.2017 по 30.06.2017 выполнено работ (оказано услуг) на общую сумму: 46383,32 руб.</t>
  </si>
  <si>
    <t>(сорок шесть тысяч триста восемьдесят три рубля 32 копейки)</t>
  </si>
  <si>
    <t>за период с 01.07.2017 г. по 31.07.2017 г.</t>
  </si>
  <si>
    <r>
      <t xml:space="preserve">    Собственники помещений в многоквартирном доме, расположенном по адресу: пгт.Ярега, ул.Лермонтова, д.17,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27.06.2017г. стороны, и ООО «Жилсервис», именуемое в дальнейшем "Исполнитель", в лице генерального директора Куканова  Юрия 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</si>
  <si>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 xml:space="preserve">2 раза в год     </t>
  </si>
  <si>
    <t>182 раза</t>
  </si>
  <si>
    <t>Очистка урн от мусора</t>
  </si>
  <si>
    <t>18 раз за сезон</t>
  </si>
  <si>
    <t>Вывоз снега с придомовой территории</t>
  </si>
  <si>
    <t>1м3</t>
  </si>
  <si>
    <t>35 раз за сезон</t>
  </si>
  <si>
    <t>ТО внутренних сетей водопровода и канализации</t>
  </si>
  <si>
    <t>руб/м2 в мес.</t>
  </si>
  <si>
    <t>Смена светодиодных светильников в.о.</t>
  </si>
  <si>
    <t>1 шт.</t>
  </si>
  <si>
    <t>Стоимость светодиодного светильника</t>
  </si>
  <si>
    <t>руб.</t>
  </si>
  <si>
    <t>Снятие показаний с общедомовых приборов учёта электрической энергии и холодной воды</t>
  </si>
  <si>
    <t>Обслуживание общедомового прибора учета тепловой энергии</t>
  </si>
  <si>
    <t>2. Всего за период с 01.07.2017 по 31.07.2017 выполнено работ (оказано услуг) на общую сумму: 63350,27 руб.</t>
  </si>
  <si>
    <t>(шестьдесят три тысячи триста пятьдесят рублей 27 копеек)</t>
  </si>
  <si>
    <t>за период с 01.08.2017 г. по 31.08.2017 г.</t>
  </si>
  <si>
    <t>Ремонт отдельных мест покрытия из асбоцементных листов обыкновенного профиля</t>
  </si>
  <si>
    <t>2. Всего за период с 01.08.2017 по 31.08.2017 выполнено работ (оказано услуг) на общую сумму: 71577,19 руб.</t>
  </si>
  <si>
    <t>(семьдесят одна тысяча пятьсот семьдесят семь рублей 19 копеек)</t>
  </si>
  <si>
    <t>за период с 01.09.2017 г. по 30.09.2017 г.</t>
  </si>
  <si>
    <t>Смена трубопроводов на полипропиленовые трубы PN25 диаметром до 50 мм</t>
  </si>
  <si>
    <t>1м</t>
  </si>
  <si>
    <t xml:space="preserve">Смена сгонов у трубопроводов диаметром до 20 мм </t>
  </si>
  <si>
    <t>1 сгон</t>
  </si>
  <si>
    <t>2. Всего за период с 01.09.2017 по 30.09.2017 выполнено работ (оказано услуг) на общую сумму: 98126,62 руб.</t>
  </si>
  <si>
    <t>(девяносто восемь тысяч сто двадцать шесть рублей 62 копейки)</t>
  </si>
  <si>
    <t>за период с 01.10.2017 г. по 31.10.2017 г.</t>
  </si>
  <si>
    <t>2. Всего за период с 01.10.2017 по 31.10.2017 выполнено работ (оказано услуг) на общую сумму: 60307,82 руб.</t>
  </si>
  <si>
    <t>(шестьдесят тысяч триста семь рублей 82 копейки)</t>
  </si>
  <si>
    <t>АКТ №11</t>
  </si>
  <si>
    <t>за период с 01.11.2017 г. по 30.11.2017 г.</t>
  </si>
  <si>
    <t>Ремонт и регулировка доводчика (со стоимостью доводчика)</t>
  </si>
  <si>
    <t xml:space="preserve">Монтаж тепловычислителя </t>
  </si>
  <si>
    <t>Внеплановый осмотр электросетей, арматуры и электрооборудования на чердаках и подвалах</t>
  </si>
  <si>
    <t>Ремонт слухового окна</t>
  </si>
  <si>
    <t>АКТ №12</t>
  </si>
  <si>
    <t>за период с 01.12.2017 г. по 31.12.2017 г.</t>
  </si>
  <si>
    <t>Мелкий ремонт электропроводки</t>
  </si>
  <si>
    <t>1 м</t>
  </si>
  <si>
    <t>Смена стекол в деревянных переплетах при площади стекла до 1,0 м2</t>
  </si>
  <si>
    <r>
      <t xml:space="preserve">1. Исполнителем  предъявлены  к  приемке  следующие  оказанные  на  основании  Договора  на  содержание  и  ремонт  многоквартирного  дома   № 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ул.Лермонтова, д.17</t>
    </r>
  </si>
  <si>
    <t>2. Всего за период с 01.01.2017 по 31.01.2017 выполнено работ (оказано услуг) на общую сумму: 57620,09 руб.</t>
  </si>
  <si>
    <t>(пятьдесят семь тысяч шестьсот двадцать рублей 09 копеек)</t>
  </si>
  <si>
    <t>2. Всего за период с 01.02.2017 по 28.02.2017 выполнено работ (оказано услуг) на общую сумму: 55687,67 руб.</t>
  </si>
  <si>
    <t>(пятьдесят пять тысяч шестьсот восемьдесят семь рублей 67 копеек)</t>
  </si>
  <si>
    <t>15 раз за сезон</t>
  </si>
  <si>
    <t>2. Всего за период с 01.11.2017 по 30.11.2017 выполнено работ (оказано услуг) на общую сумму: 194123,60 руб.</t>
  </si>
  <si>
    <t>(сто девяносто четыре тысячи сто двадцать три рубля 60 копеек)</t>
  </si>
  <si>
    <t>2. Всего за период с 01.12.2017 по 31.12.2017 выполнено работ (оказано услуг) на общую сумму: 78138,10 руб.</t>
  </si>
  <si>
    <t>(семьдесят восемь тысяч сто тридцать восемь рублей 10 копеек)</t>
  </si>
</sst>
</file>

<file path=xl/styles.xml><?xml version="1.0" encoding="utf-8"?>
<styleSheet xmlns="http://schemas.openxmlformats.org/spreadsheetml/2006/main">
  <numFmts count="1">
    <numFmt numFmtId="164" formatCode="#,##0.000"/>
  </numFmts>
  <fonts count="2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9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164" fontId="11" fillId="0" borderId="3" xfId="0" applyNumberFormat="1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left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4" fontId="11" fillId="4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3" borderId="3" xfId="0" applyFont="1" applyFill="1" applyBorder="1" applyAlignment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4" fontId="11" fillId="3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/>
    </xf>
    <xf numFmtId="164" fontId="11" fillId="0" borderId="16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vertical="center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vertical="center"/>
    </xf>
    <xf numFmtId="4" fontId="17" fillId="0" borderId="9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/>
    </xf>
    <xf numFmtId="4" fontId="11" fillId="0" borderId="12" xfId="0" applyNumberFormat="1" applyFont="1" applyFill="1" applyBorder="1" applyAlignment="1">
      <alignment horizontal="center" vertical="center" wrapText="1"/>
    </xf>
    <xf numFmtId="4" fontId="11" fillId="0" borderId="18" xfId="0" applyNumberFormat="1" applyFont="1" applyFill="1" applyBorder="1" applyAlignment="1">
      <alignment horizontal="center" vertical="center"/>
    </xf>
    <xf numFmtId="164" fontId="11" fillId="0" borderId="19" xfId="0" applyNumberFormat="1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/>
    </xf>
    <xf numFmtId="164" fontId="11" fillId="0" borderId="18" xfId="0" applyNumberFormat="1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3" xfId="0" applyNumberFormat="1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left" vertical="center" wrapText="1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4" fontId="11" fillId="0" borderId="15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 wrapText="1"/>
    </xf>
    <xf numFmtId="4" fontId="11" fillId="0" borderId="14" xfId="0" applyNumberFormat="1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/>
    </xf>
    <xf numFmtId="164" fontId="11" fillId="0" borderId="20" xfId="0" applyNumberFormat="1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left" vertical="center" wrapText="1"/>
    </xf>
    <xf numFmtId="4" fontId="11" fillId="0" borderId="10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1" fontId="11" fillId="0" borderId="7" xfId="0" applyNumberFormat="1" applyFont="1" applyFill="1" applyBorder="1" applyAlignment="1">
      <alignment horizontal="left" vertical="center" wrapText="1"/>
    </xf>
    <xf numFmtId="164" fontId="11" fillId="0" borderId="11" xfId="0" applyNumberFormat="1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 wrapText="1"/>
    </xf>
    <xf numFmtId="4" fontId="11" fillId="0" borderId="20" xfId="0" applyNumberFormat="1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4" fontId="18" fillId="2" borderId="5" xfId="0" applyNumberFormat="1" applyFont="1" applyFill="1" applyBorder="1" applyAlignment="1">
      <alignment horizontal="center" vertical="center"/>
    </xf>
    <xf numFmtId="4" fontId="11" fillId="2" borderId="5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/>
    </xf>
    <xf numFmtId="0" fontId="11" fillId="2" borderId="15" xfId="0" applyNumberFormat="1" applyFont="1" applyFill="1" applyBorder="1" applyAlignment="1" applyProtection="1">
      <alignment horizontal="left" vertical="center" wrapText="1"/>
    </xf>
    <xf numFmtId="0" fontId="11" fillId="2" borderId="15" xfId="0" applyNumberFormat="1" applyFont="1" applyFill="1" applyBorder="1" applyAlignment="1" applyProtection="1">
      <alignment horizontal="center" vertical="center" wrapText="1"/>
    </xf>
    <xf numFmtId="4" fontId="11" fillId="3" borderId="9" xfId="0" applyNumberFormat="1" applyFont="1" applyFill="1" applyBorder="1" applyAlignment="1">
      <alignment horizontal="center" vertical="center" wrapText="1"/>
    </xf>
    <xf numFmtId="4" fontId="11" fillId="2" borderId="16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left" vertical="center"/>
    </xf>
    <xf numFmtId="4" fontId="11" fillId="2" borderId="9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4" fontId="11" fillId="2" borderId="12" xfId="0" applyNumberFormat="1" applyFont="1" applyFill="1" applyBorder="1" applyAlignment="1">
      <alignment horizontal="center" vertical="center" wrapText="1"/>
    </xf>
    <xf numFmtId="4" fontId="11" fillId="2" borderId="19" xfId="0" applyNumberFormat="1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/>
    </xf>
    <xf numFmtId="4" fontId="11" fillId="2" borderId="18" xfId="0" applyNumberFormat="1" applyFont="1" applyFill="1" applyBorder="1" applyAlignment="1">
      <alignment horizontal="center" vertical="center"/>
    </xf>
    <xf numFmtId="0" fontId="14" fillId="0" borderId="0" xfId="0" applyFont="1"/>
    <xf numFmtId="0" fontId="11" fillId="4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left" vertical="center" wrapText="1"/>
    </xf>
    <xf numFmtId="4" fontId="11" fillId="2" borderId="0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center" vertical="center"/>
    </xf>
    <xf numFmtId="4" fontId="11" fillId="2" borderId="6" xfId="0" applyNumberFormat="1" applyFont="1" applyFill="1" applyBorder="1" applyAlignment="1">
      <alignment horizontal="center" vertical="center" wrapText="1"/>
    </xf>
    <xf numFmtId="4" fontId="11" fillId="2" borderId="6" xfId="0" applyNumberFormat="1" applyFont="1" applyFill="1" applyBorder="1" applyAlignment="1">
      <alignment horizontal="center" vertical="center"/>
    </xf>
    <xf numFmtId="4" fontId="11" fillId="3" borderId="6" xfId="0" applyNumberFormat="1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left" vertical="center" wrapText="1"/>
    </xf>
    <xf numFmtId="164" fontId="11" fillId="2" borderId="3" xfId="0" applyNumberFormat="1" applyFont="1" applyFill="1" applyBorder="1" applyAlignment="1">
      <alignment horizontal="center" vertical="center"/>
    </xf>
    <xf numFmtId="164" fontId="11" fillId="2" borderId="5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4" fontId="11" fillId="3" borderId="9" xfId="0" applyNumberFormat="1" applyFont="1" applyFill="1" applyBorder="1" applyAlignment="1">
      <alignment horizontal="center" vertical="center"/>
    </xf>
    <xf numFmtId="164" fontId="11" fillId="2" borderId="16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05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91</v>
      </c>
      <c r="I1" s="27"/>
      <c r="J1" s="1"/>
      <c r="K1" s="1"/>
      <c r="L1" s="1"/>
      <c r="M1" s="1"/>
    </row>
    <row r="2" spans="1:13" ht="15.75" customHeight="1">
      <c r="A2" s="29" t="s">
        <v>64</v>
      </c>
      <c r="J2" s="2"/>
      <c r="K2" s="2"/>
      <c r="L2" s="2"/>
      <c r="M2" s="2"/>
    </row>
    <row r="3" spans="1:13" ht="15.75" customHeight="1">
      <c r="A3" s="172" t="s">
        <v>138</v>
      </c>
      <c r="B3" s="172"/>
      <c r="C3" s="172"/>
      <c r="D3" s="172"/>
      <c r="E3" s="172"/>
      <c r="F3" s="172"/>
      <c r="G3" s="172"/>
      <c r="H3" s="172"/>
      <c r="I3" s="172"/>
      <c r="J3" s="3"/>
      <c r="K3" s="3"/>
      <c r="L3" s="3"/>
    </row>
    <row r="4" spans="1:13" ht="31.5" customHeight="1">
      <c r="A4" s="173" t="s">
        <v>129</v>
      </c>
      <c r="B4" s="173"/>
      <c r="C4" s="173"/>
      <c r="D4" s="173"/>
      <c r="E4" s="173"/>
      <c r="F4" s="173"/>
      <c r="G4" s="173"/>
      <c r="H4" s="173"/>
      <c r="I4" s="173"/>
    </row>
    <row r="5" spans="1:13" ht="15.75" customHeight="1">
      <c r="A5" s="172" t="s">
        <v>165</v>
      </c>
      <c r="B5" s="174"/>
      <c r="C5" s="174"/>
      <c r="D5" s="174"/>
      <c r="E5" s="174"/>
      <c r="F5" s="174"/>
      <c r="G5" s="174"/>
      <c r="H5" s="174"/>
      <c r="I5" s="174"/>
      <c r="J5" s="2"/>
      <c r="K5" s="2"/>
      <c r="L5" s="2"/>
      <c r="M5" s="2"/>
    </row>
    <row r="6" spans="1:13" ht="15.75" customHeight="1">
      <c r="A6" s="2"/>
      <c r="B6" s="66"/>
      <c r="C6" s="66"/>
      <c r="D6" s="66"/>
      <c r="E6" s="66"/>
      <c r="F6" s="66"/>
      <c r="G6" s="66"/>
      <c r="H6" s="66"/>
      <c r="I6" s="31">
        <v>42766</v>
      </c>
      <c r="J6" s="2"/>
      <c r="K6" s="2"/>
      <c r="L6" s="2"/>
      <c r="M6" s="2"/>
    </row>
    <row r="7" spans="1:13" ht="15.75" customHeight="1">
      <c r="B7" s="61"/>
      <c r="C7" s="61"/>
      <c r="D7" s="6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75" t="s">
        <v>166</v>
      </c>
      <c r="B8" s="175"/>
      <c r="C8" s="175"/>
      <c r="D8" s="175"/>
      <c r="E8" s="175"/>
      <c r="F8" s="175"/>
      <c r="G8" s="175"/>
      <c r="H8" s="175"/>
      <c r="I8" s="17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76" t="s">
        <v>247</v>
      </c>
      <c r="B10" s="176"/>
      <c r="C10" s="176"/>
      <c r="D10" s="176"/>
      <c r="E10" s="176"/>
      <c r="F10" s="176"/>
      <c r="G10" s="176"/>
      <c r="H10" s="176"/>
      <c r="I10" s="17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68" t="s">
        <v>61</v>
      </c>
      <c r="B14" s="168"/>
      <c r="C14" s="168"/>
      <c r="D14" s="168"/>
      <c r="E14" s="168"/>
      <c r="F14" s="168"/>
      <c r="G14" s="168"/>
      <c r="H14" s="168"/>
      <c r="I14" s="168"/>
      <c r="J14" s="8"/>
      <c r="K14" s="8"/>
      <c r="L14" s="8"/>
      <c r="M14" s="8"/>
    </row>
    <row r="15" spans="1:13" ht="15.75" customHeight="1">
      <c r="A15" s="179" t="s">
        <v>4</v>
      </c>
      <c r="B15" s="179"/>
      <c r="C15" s="179"/>
      <c r="D15" s="179"/>
      <c r="E15" s="179"/>
      <c r="F15" s="179"/>
      <c r="G15" s="179"/>
      <c r="H15" s="179"/>
      <c r="I15" s="179"/>
      <c r="J15" s="8"/>
      <c r="K15" s="8"/>
      <c r="L15" s="8"/>
      <c r="M15" s="8"/>
    </row>
    <row r="16" spans="1:13" ht="15.75" customHeight="1">
      <c r="A16" s="30">
        <v>1</v>
      </c>
      <c r="B16" s="79" t="s">
        <v>92</v>
      </c>
      <c r="C16" s="80" t="s">
        <v>102</v>
      </c>
      <c r="D16" s="79" t="s">
        <v>130</v>
      </c>
      <c r="E16" s="81">
        <v>92.5</v>
      </c>
      <c r="F16" s="82">
        <f>SUM(E16*156/100)</f>
        <v>144.30000000000001</v>
      </c>
      <c r="G16" s="82">
        <v>175.38</v>
      </c>
      <c r="H16" s="83">
        <f t="shared" ref="H16:H24" si="0">SUM(F16*G16/1000)</f>
        <v>25.307334000000001</v>
      </c>
      <c r="I16" s="13">
        <f>F16/12*G16</f>
        <v>2108.9445000000001</v>
      </c>
      <c r="J16" s="8"/>
      <c r="K16" s="8"/>
      <c r="L16" s="8"/>
      <c r="M16" s="8"/>
    </row>
    <row r="17" spans="1:13" ht="15.75" customHeight="1">
      <c r="A17" s="30">
        <v>2</v>
      </c>
      <c r="B17" s="79" t="s">
        <v>111</v>
      </c>
      <c r="C17" s="80" t="s">
        <v>102</v>
      </c>
      <c r="D17" s="79" t="s">
        <v>131</v>
      </c>
      <c r="E17" s="81">
        <v>288.8</v>
      </c>
      <c r="F17" s="82">
        <f>SUM(E17*104/100)</f>
        <v>300.35200000000003</v>
      </c>
      <c r="G17" s="82">
        <v>175.38</v>
      </c>
      <c r="H17" s="83">
        <f t="shared" si="0"/>
        <v>52.67573376</v>
      </c>
      <c r="I17" s="13">
        <f>F17/12*G17</f>
        <v>4389.6444800000008</v>
      </c>
      <c r="J17" s="23"/>
      <c r="K17" s="8"/>
      <c r="L17" s="8"/>
      <c r="M17" s="8"/>
    </row>
    <row r="18" spans="1:13" ht="15.75" customHeight="1">
      <c r="A18" s="30">
        <v>3</v>
      </c>
      <c r="B18" s="79" t="s">
        <v>148</v>
      </c>
      <c r="C18" s="80" t="s">
        <v>102</v>
      </c>
      <c r="D18" s="79" t="s">
        <v>167</v>
      </c>
      <c r="E18" s="81">
        <f>SUM(E16+E17)</f>
        <v>381.3</v>
      </c>
      <c r="F18" s="82">
        <f>SUM(E18*12/100)</f>
        <v>45.756</v>
      </c>
      <c r="G18" s="82">
        <v>504.5</v>
      </c>
      <c r="H18" s="83">
        <f t="shared" si="0"/>
        <v>23.083902000000002</v>
      </c>
      <c r="I18" s="13">
        <f>F18/12*G18</f>
        <v>1923.6585</v>
      </c>
      <c r="J18" s="23"/>
      <c r="K18" s="8"/>
      <c r="L18" s="8"/>
      <c r="M18" s="8"/>
    </row>
    <row r="19" spans="1:13" ht="15.75" hidden="1" customHeight="1">
      <c r="A19" s="30">
        <v>4</v>
      </c>
      <c r="B19" s="79" t="s">
        <v>112</v>
      </c>
      <c r="C19" s="80" t="s">
        <v>113</v>
      </c>
      <c r="D19" s="79" t="s">
        <v>114</v>
      </c>
      <c r="E19" s="81">
        <v>19.2</v>
      </c>
      <c r="F19" s="82">
        <f>SUM(E19/10)</f>
        <v>1.92</v>
      </c>
      <c r="G19" s="82">
        <v>170.16</v>
      </c>
      <c r="H19" s="83">
        <f t="shared" si="0"/>
        <v>0.32670719999999998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79" t="s">
        <v>101</v>
      </c>
      <c r="C20" s="80" t="s">
        <v>102</v>
      </c>
      <c r="D20" s="79" t="s">
        <v>30</v>
      </c>
      <c r="E20" s="81">
        <v>27.3</v>
      </c>
      <c r="F20" s="82">
        <f>SUM(E20*12/100)</f>
        <v>3.2760000000000002</v>
      </c>
      <c r="G20" s="82">
        <v>217.88</v>
      </c>
      <c r="H20" s="83">
        <f t="shared" si="0"/>
        <v>0.71377488</v>
      </c>
      <c r="I20" s="13">
        <f>F20/12*G20</f>
        <v>59.48124</v>
      </c>
      <c r="J20" s="23"/>
      <c r="K20" s="8"/>
      <c r="L20" s="8"/>
      <c r="M20" s="8"/>
    </row>
    <row r="21" spans="1:13" ht="15.75" customHeight="1">
      <c r="A21" s="30">
        <v>5</v>
      </c>
      <c r="B21" s="79" t="s">
        <v>109</v>
      </c>
      <c r="C21" s="80" t="s">
        <v>102</v>
      </c>
      <c r="D21" s="79" t="s">
        <v>30</v>
      </c>
      <c r="E21" s="81">
        <v>9.08</v>
      </c>
      <c r="F21" s="82">
        <f>SUM(E21*12/100)</f>
        <v>1.0896000000000001</v>
      </c>
      <c r="G21" s="82">
        <v>216.12</v>
      </c>
      <c r="H21" s="83">
        <f t="shared" si="0"/>
        <v>0.23548435200000004</v>
      </c>
      <c r="I21" s="13">
        <f>F21/12*G21</f>
        <v>19.623696000000002</v>
      </c>
      <c r="J21" s="23"/>
      <c r="K21" s="8"/>
      <c r="L21" s="8"/>
      <c r="M21" s="8"/>
    </row>
    <row r="22" spans="1:13" ht="15.75" hidden="1" customHeight="1">
      <c r="A22" s="30">
        <v>7</v>
      </c>
      <c r="B22" s="79" t="s">
        <v>103</v>
      </c>
      <c r="C22" s="80" t="s">
        <v>54</v>
      </c>
      <c r="D22" s="79" t="s">
        <v>114</v>
      </c>
      <c r="E22" s="84">
        <v>12.6</v>
      </c>
      <c r="F22" s="82">
        <f>SUM(E22/100)</f>
        <v>0.126</v>
      </c>
      <c r="G22" s="82">
        <v>44.29</v>
      </c>
      <c r="H22" s="83">
        <f t="shared" si="0"/>
        <v>5.5805400000000002E-3</v>
      </c>
      <c r="I22" s="13">
        <v>0</v>
      </c>
      <c r="J22" s="23"/>
      <c r="K22" s="8"/>
      <c r="L22" s="8"/>
      <c r="M22" s="8"/>
    </row>
    <row r="23" spans="1:13" ht="15.75" customHeight="1">
      <c r="A23" s="30">
        <v>6</v>
      </c>
      <c r="B23" s="79" t="s">
        <v>104</v>
      </c>
      <c r="C23" s="80" t="s">
        <v>54</v>
      </c>
      <c r="D23" s="79" t="s">
        <v>105</v>
      </c>
      <c r="E23" s="81">
        <v>20</v>
      </c>
      <c r="F23" s="82">
        <f>E23*12/100</f>
        <v>2.4</v>
      </c>
      <c r="G23" s="82">
        <v>389.72</v>
      </c>
      <c r="H23" s="83">
        <f t="shared" si="0"/>
        <v>0.93532799999999994</v>
      </c>
      <c r="I23" s="13">
        <f>F23/12*G23</f>
        <v>77.944000000000003</v>
      </c>
      <c r="J23" s="23"/>
      <c r="K23" s="8"/>
      <c r="L23" s="8"/>
      <c r="M23" s="8"/>
    </row>
    <row r="24" spans="1:13" ht="15.75" hidden="1" customHeight="1">
      <c r="A24" s="30">
        <v>9</v>
      </c>
      <c r="B24" s="79" t="s">
        <v>106</v>
      </c>
      <c r="C24" s="80" t="s">
        <v>54</v>
      </c>
      <c r="D24" s="79" t="s">
        <v>114</v>
      </c>
      <c r="E24" s="81">
        <v>17</v>
      </c>
      <c r="F24" s="82">
        <f>SUM(E24/100)</f>
        <v>0.17</v>
      </c>
      <c r="G24" s="82">
        <v>520.79999999999995</v>
      </c>
      <c r="H24" s="83">
        <f t="shared" si="0"/>
        <v>8.8536000000000004E-2</v>
      </c>
      <c r="I24" s="13">
        <v>0</v>
      </c>
      <c r="J24" s="23"/>
      <c r="K24" s="8"/>
      <c r="L24" s="8"/>
      <c r="M24" s="8"/>
    </row>
    <row r="25" spans="1:13" ht="15.75" customHeight="1">
      <c r="A25" s="30">
        <v>7</v>
      </c>
      <c r="B25" s="79" t="s">
        <v>66</v>
      </c>
      <c r="C25" s="80" t="s">
        <v>33</v>
      </c>
      <c r="D25" s="79" t="s">
        <v>89</v>
      </c>
      <c r="E25" s="81">
        <v>0.1</v>
      </c>
      <c r="F25" s="82">
        <f>SUM(E25*365)</f>
        <v>36.5</v>
      </c>
      <c r="G25" s="82">
        <v>147.03</v>
      </c>
      <c r="H25" s="83">
        <f>SUM(F25*G25/1000)</f>
        <v>5.3665950000000002</v>
      </c>
      <c r="I25" s="13">
        <f>F25/12*G25</f>
        <v>447.21625</v>
      </c>
      <c r="J25" s="23"/>
      <c r="K25" s="8"/>
      <c r="L25" s="8"/>
      <c r="M25" s="8"/>
    </row>
    <row r="26" spans="1:13" ht="15.75" customHeight="1">
      <c r="A26" s="30">
        <v>8</v>
      </c>
      <c r="B26" s="89" t="s">
        <v>23</v>
      </c>
      <c r="C26" s="80" t="s">
        <v>24</v>
      </c>
      <c r="D26" s="79" t="s">
        <v>89</v>
      </c>
      <c r="E26" s="81">
        <v>3053.4</v>
      </c>
      <c r="F26" s="82">
        <f>SUM(E26*12)</f>
        <v>36640.800000000003</v>
      </c>
      <c r="G26" s="82">
        <v>4.55</v>
      </c>
      <c r="H26" s="83">
        <f>SUM(F26*G26/1000)</f>
        <v>166.71564000000001</v>
      </c>
      <c r="I26" s="13">
        <f>F26/12*G26</f>
        <v>13892.97</v>
      </c>
      <c r="J26" s="24"/>
    </row>
    <row r="27" spans="1:13" ht="15.75" customHeight="1">
      <c r="A27" s="180" t="s">
        <v>168</v>
      </c>
      <c r="B27" s="181"/>
      <c r="C27" s="181"/>
      <c r="D27" s="181"/>
      <c r="E27" s="181"/>
      <c r="F27" s="181"/>
      <c r="G27" s="181"/>
      <c r="H27" s="181"/>
      <c r="I27" s="182"/>
      <c r="J27" s="23"/>
      <c r="K27" s="8"/>
      <c r="L27" s="8"/>
      <c r="M27" s="8"/>
    </row>
    <row r="28" spans="1:13" ht="15.75" hidden="1" customHeight="1">
      <c r="A28" s="30"/>
      <c r="B28" s="107" t="s">
        <v>28</v>
      </c>
      <c r="C28" s="80"/>
      <c r="D28" s="79"/>
      <c r="E28" s="81"/>
      <c r="F28" s="82"/>
      <c r="G28" s="82"/>
      <c r="H28" s="86"/>
      <c r="I28" s="87"/>
      <c r="J28" s="23"/>
      <c r="K28" s="8"/>
      <c r="L28" s="8"/>
      <c r="M28" s="8"/>
    </row>
    <row r="29" spans="1:13" ht="31.5" hidden="1" customHeight="1">
      <c r="A29" s="30">
        <v>9</v>
      </c>
      <c r="B29" s="79" t="s">
        <v>115</v>
      </c>
      <c r="C29" s="80" t="s">
        <v>116</v>
      </c>
      <c r="D29" s="79" t="s">
        <v>139</v>
      </c>
      <c r="E29" s="82">
        <v>561.6</v>
      </c>
      <c r="F29" s="82">
        <f>SUM(E29*52/1000)</f>
        <v>29.203200000000002</v>
      </c>
      <c r="G29" s="82">
        <v>155.88999999999999</v>
      </c>
      <c r="H29" s="83">
        <f t="shared" ref="H29:H34" si="1">SUM(F29*G29/1000)</f>
        <v>4.5524868479999991</v>
      </c>
      <c r="I29" s="13">
        <f t="shared" ref="I29:I32" si="2">F29/6*G29</f>
        <v>758.74780799999996</v>
      </c>
      <c r="J29" s="23"/>
      <c r="K29" s="8"/>
      <c r="L29" s="8"/>
      <c r="M29" s="8"/>
    </row>
    <row r="30" spans="1:13" ht="31.5" hidden="1" customHeight="1">
      <c r="A30" s="30">
        <v>10</v>
      </c>
      <c r="B30" s="79" t="s">
        <v>149</v>
      </c>
      <c r="C30" s="80" t="s">
        <v>116</v>
      </c>
      <c r="D30" s="79" t="s">
        <v>140</v>
      </c>
      <c r="E30" s="82">
        <v>205.7</v>
      </c>
      <c r="F30" s="82">
        <f>SUM(E30*78/1000)</f>
        <v>16.044599999999999</v>
      </c>
      <c r="G30" s="82">
        <v>258.63</v>
      </c>
      <c r="H30" s="83">
        <f t="shared" si="1"/>
        <v>4.1496148979999994</v>
      </c>
      <c r="I30" s="13">
        <f t="shared" si="2"/>
        <v>691.60248299999989</v>
      </c>
      <c r="J30" s="23"/>
      <c r="K30" s="8"/>
      <c r="L30" s="8"/>
      <c r="M30" s="8"/>
    </row>
    <row r="31" spans="1:13" ht="15.75" hidden="1" customHeight="1">
      <c r="A31" s="30">
        <v>11</v>
      </c>
      <c r="B31" s="79" t="s">
        <v>27</v>
      </c>
      <c r="C31" s="80" t="s">
        <v>116</v>
      </c>
      <c r="D31" s="79" t="s">
        <v>55</v>
      </c>
      <c r="E31" s="82">
        <v>561.6</v>
      </c>
      <c r="F31" s="82">
        <f>SUM(E31/1000)</f>
        <v>0.56159999999999999</v>
      </c>
      <c r="G31" s="82">
        <v>3020.33</v>
      </c>
      <c r="H31" s="83">
        <f t="shared" si="1"/>
        <v>1.6962173279999999</v>
      </c>
      <c r="I31" s="13">
        <f>F31*G31</f>
        <v>1696.217328</v>
      </c>
      <c r="J31" s="23"/>
      <c r="K31" s="8"/>
      <c r="L31" s="8"/>
      <c r="M31" s="8"/>
    </row>
    <row r="32" spans="1:13" ht="15.75" hidden="1" customHeight="1">
      <c r="A32" s="30">
        <v>11</v>
      </c>
      <c r="B32" s="79" t="s">
        <v>117</v>
      </c>
      <c r="C32" s="80" t="s">
        <v>31</v>
      </c>
      <c r="D32" s="79" t="s">
        <v>65</v>
      </c>
      <c r="E32" s="88">
        <v>0.33333333333333331</v>
      </c>
      <c r="F32" s="82">
        <f>155/3</f>
        <v>51.666666666666664</v>
      </c>
      <c r="G32" s="82">
        <v>56.69</v>
      </c>
      <c r="H32" s="83">
        <f>SUM(G32*155/3/1000)</f>
        <v>2.9289833333333331</v>
      </c>
      <c r="I32" s="13">
        <f t="shared" si="2"/>
        <v>488.16388888888883</v>
      </c>
      <c r="J32" s="23"/>
      <c r="K32" s="8"/>
      <c r="L32" s="8"/>
      <c r="M32" s="8"/>
    </row>
    <row r="33" spans="1:14" ht="15.75" hidden="1" customHeight="1">
      <c r="A33" s="30"/>
      <c r="B33" s="79" t="s">
        <v>67</v>
      </c>
      <c r="C33" s="80" t="s">
        <v>33</v>
      </c>
      <c r="D33" s="79" t="s">
        <v>69</v>
      </c>
      <c r="E33" s="81"/>
      <c r="F33" s="82">
        <v>2</v>
      </c>
      <c r="G33" s="82">
        <v>191.32</v>
      </c>
      <c r="H33" s="83">
        <f t="shared" si="1"/>
        <v>0.38263999999999998</v>
      </c>
      <c r="I33" s="13">
        <v>0</v>
      </c>
      <c r="J33" s="23"/>
      <c r="K33" s="8"/>
      <c r="L33" s="8"/>
      <c r="M33" s="8"/>
    </row>
    <row r="34" spans="1:14" ht="15.75" hidden="1" customHeight="1">
      <c r="A34" s="30"/>
      <c r="B34" s="79" t="s">
        <v>68</v>
      </c>
      <c r="C34" s="80" t="s">
        <v>32</v>
      </c>
      <c r="D34" s="79" t="s">
        <v>69</v>
      </c>
      <c r="E34" s="81"/>
      <c r="F34" s="82">
        <v>1</v>
      </c>
      <c r="G34" s="82">
        <v>1136.33</v>
      </c>
      <c r="H34" s="83">
        <f t="shared" si="1"/>
        <v>1.1363299999999998</v>
      </c>
      <c r="I34" s="13">
        <v>0</v>
      </c>
      <c r="J34" s="23"/>
      <c r="K34" s="8"/>
    </row>
    <row r="35" spans="1:14" ht="15.75" customHeight="1">
      <c r="A35" s="30"/>
      <c r="B35" s="107" t="s">
        <v>5</v>
      </c>
      <c r="C35" s="80"/>
      <c r="D35" s="79"/>
      <c r="E35" s="81"/>
      <c r="F35" s="82"/>
      <c r="G35" s="82"/>
      <c r="H35" s="86" t="s">
        <v>142</v>
      </c>
      <c r="I35" s="87"/>
      <c r="J35" s="24"/>
    </row>
    <row r="36" spans="1:14" ht="15.75" customHeight="1">
      <c r="A36" s="30">
        <v>9</v>
      </c>
      <c r="B36" s="79" t="s">
        <v>26</v>
      </c>
      <c r="C36" s="80" t="s">
        <v>32</v>
      </c>
      <c r="D36" s="79"/>
      <c r="E36" s="81"/>
      <c r="F36" s="82">
        <v>3</v>
      </c>
      <c r="G36" s="82">
        <v>1527.22</v>
      </c>
      <c r="H36" s="83">
        <f t="shared" ref="H36:H38" si="3">SUM(F36*G36/1000)</f>
        <v>4.5816600000000003</v>
      </c>
      <c r="I36" s="13">
        <f t="shared" ref="I36:I41" si="4">F36/6*G36</f>
        <v>763.61</v>
      </c>
      <c r="J36" s="24"/>
    </row>
    <row r="37" spans="1:14" ht="15.75" customHeight="1">
      <c r="A37" s="30">
        <v>10</v>
      </c>
      <c r="B37" s="79" t="s">
        <v>70</v>
      </c>
      <c r="C37" s="80" t="s">
        <v>29</v>
      </c>
      <c r="D37" s="79" t="s">
        <v>134</v>
      </c>
      <c r="E37" s="82">
        <v>205.7</v>
      </c>
      <c r="F37" s="82">
        <f>SUM(E37*20/1000)</f>
        <v>4.1139999999999999</v>
      </c>
      <c r="G37" s="82">
        <v>2102.71</v>
      </c>
      <c r="H37" s="83">
        <f t="shared" si="3"/>
        <v>8.6505489400000002</v>
      </c>
      <c r="I37" s="13">
        <f t="shared" si="4"/>
        <v>1441.7581566666665</v>
      </c>
      <c r="J37" s="24"/>
    </row>
    <row r="38" spans="1:14" ht="15.75" customHeight="1">
      <c r="A38" s="30">
        <v>11</v>
      </c>
      <c r="B38" s="79" t="s">
        <v>71</v>
      </c>
      <c r="C38" s="80" t="s">
        <v>29</v>
      </c>
      <c r="D38" s="79" t="s">
        <v>135</v>
      </c>
      <c r="E38" s="81">
        <v>89.1</v>
      </c>
      <c r="F38" s="82">
        <f>SUM(E38*155/1000)</f>
        <v>13.810499999999999</v>
      </c>
      <c r="G38" s="82">
        <v>350.75</v>
      </c>
      <c r="H38" s="83">
        <f t="shared" si="3"/>
        <v>4.8440328749999999</v>
      </c>
      <c r="I38" s="13">
        <f t="shared" si="4"/>
        <v>807.3388124999999</v>
      </c>
      <c r="J38" s="24"/>
    </row>
    <row r="39" spans="1:14" ht="47.25" customHeight="1">
      <c r="A39" s="30">
        <v>12</v>
      </c>
      <c r="B39" s="79" t="s">
        <v>88</v>
      </c>
      <c r="C39" s="80" t="s">
        <v>116</v>
      </c>
      <c r="D39" s="79" t="s">
        <v>136</v>
      </c>
      <c r="E39" s="82">
        <v>48</v>
      </c>
      <c r="F39" s="82">
        <f>SUM(E39*50/1000)</f>
        <v>2.4</v>
      </c>
      <c r="G39" s="82">
        <v>5803.28</v>
      </c>
      <c r="H39" s="83">
        <f>SUM(F39*G39/1000)</f>
        <v>13.927871999999999</v>
      </c>
      <c r="I39" s="13">
        <f t="shared" si="4"/>
        <v>2321.3119999999999</v>
      </c>
      <c r="J39" s="24"/>
    </row>
    <row r="40" spans="1:14" ht="15.75" hidden="1" customHeight="1">
      <c r="A40" s="30">
        <v>13</v>
      </c>
      <c r="B40" s="79" t="s">
        <v>118</v>
      </c>
      <c r="C40" s="80" t="s">
        <v>116</v>
      </c>
      <c r="D40" s="79" t="s">
        <v>72</v>
      </c>
      <c r="E40" s="82">
        <v>89</v>
      </c>
      <c r="F40" s="82">
        <f>SUM(E40*45/1000)</f>
        <v>4.0049999999999999</v>
      </c>
      <c r="G40" s="82">
        <v>428.7</v>
      </c>
      <c r="H40" s="83">
        <f t="shared" ref="H40:H41" si="5">SUM(F40*G40/1000)</f>
        <v>1.7169435</v>
      </c>
      <c r="I40" s="13">
        <f t="shared" si="4"/>
        <v>286.15724999999998</v>
      </c>
      <c r="J40" s="24"/>
      <c r="L40" s="20"/>
      <c r="M40" s="21"/>
      <c r="N40" s="22"/>
    </row>
    <row r="41" spans="1:14" ht="15.75" customHeight="1">
      <c r="A41" s="108">
        <v>13</v>
      </c>
      <c r="B41" s="93" t="s">
        <v>73</v>
      </c>
      <c r="C41" s="94" t="s">
        <v>33</v>
      </c>
      <c r="D41" s="93"/>
      <c r="E41" s="90"/>
      <c r="F41" s="95">
        <v>0.9</v>
      </c>
      <c r="G41" s="95">
        <v>798</v>
      </c>
      <c r="H41" s="96">
        <f t="shared" si="5"/>
        <v>0.71820000000000006</v>
      </c>
      <c r="I41" s="109">
        <f t="shared" si="4"/>
        <v>119.69999999999999</v>
      </c>
      <c r="J41" s="24"/>
      <c r="L41" s="20"/>
      <c r="M41" s="21"/>
      <c r="N41" s="22"/>
    </row>
    <row r="42" spans="1:14" ht="15.75" customHeight="1">
      <c r="A42" s="186" t="s">
        <v>150</v>
      </c>
      <c r="B42" s="187"/>
      <c r="C42" s="187"/>
      <c r="D42" s="187"/>
      <c r="E42" s="187"/>
      <c r="F42" s="187"/>
      <c r="G42" s="187"/>
      <c r="H42" s="187"/>
      <c r="I42" s="188"/>
      <c r="J42" s="24"/>
      <c r="L42" s="20"/>
      <c r="M42" s="21"/>
      <c r="N42" s="22"/>
    </row>
    <row r="43" spans="1:14" ht="15.75" hidden="1" customHeight="1">
      <c r="A43" s="110"/>
      <c r="B43" s="111" t="s">
        <v>119</v>
      </c>
      <c r="C43" s="112" t="s">
        <v>116</v>
      </c>
      <c r="D43" s="111" t="s">
        <v>43</v>
      </c>
      <c r="E43" s="113">
        <v>1632.75</v>
      </c>
      <c r="F43" s="114">
        <f>SUM(E43*2/1000)</f>
        <v>3.2654999999999998</v>
      </c>
      <c r="G43" s="115">
        <v>809.74</v>
      </c>
      <c r="H43" s="116">
        <f t="shared" ref="H43:H52" si="6">SUM(F43*G43/1000)</f>
        <v>2.6442059699999998</v>
      </c>
      <c r="I43" s="115">
        <v>0</v>
      </c>
      <c r="J43" s="24"/>
      <c r="L43" s="20"/>
      <c r="M43" s="21"/>
      <c r="N43" s="22"/>
    </row>
    <row r="44" spans="1:14" ht="15.75" hidden="1" customHeight="1">
      <c r="A44" s="30"/>
      <c r="B44" s="79" t="s">
        <v>36</v>
      </c>
      <c r="C44" s="80" t="s">
        <v>116</v>
      </c>
      <c r="D44" s="79" t="s">
        <v>43</v>
      </c>
      <c r="E44" s="81">
        <v>53.75</v>
      </c>
      <c r="F44" s="82">
        <f>SUM(E44*2/1000)</f>
        <v>0.1075</v>
      </c>
      <c r="G44" s="13">
        <v>579.48</v>
      </c>
      <c r="H44" s="83">
        <f t="shared" si="6"/>
        <v>6.2294099999999998E-2</v>
      </c>
      <c r="I44" s="13">
        <v>0</v>
      </c>
      <c r="J44" s="24"/>
      <c r="L44" s="20"/>
      <c r="M44" s="21"/>
      <c r="N44" s="22"/>
    </row>
    <row r="45" spans="1:14" ht="15.75" hidden="1" customHeight="1">
      <c r="A45" s="30"/>
      <c r="B45" s="79" t="s">
        <v>37</v>
      </c>
      <c r="C45" s="80" t="s">
        <v>116</v>
      </c>
      <c r="D45" s="79" t="s">
        <v>43</v>
      </c>
      <c r="E45" s="81">
        <v>2285.6</v>
      </c>
      <c r="F45" s="82">
        <f>SUM(E45*2/1000)</f>
        <v>4.5712000000000002</v>
      </c>
      <c r="G45" s="13">
        <v>579.48</v>
      </c>
      <c r="H45" s="83">
        <f t="shared" si="6"/>
        <v>2.6489189760000005</v>
      </c>
      <c r="I45" s="13">
        <v>0</v>
      </c>
      <c r="J45" s="24"/>
      <c r="L45" s="20"/>
      <c r="M45" s="21"/>
      <c r="N45" s="22"/>
    </row>
    <row r="46" spans="1:14" ht="15.75" hidden="1" customHeight="1">
      <c r="A46" s="30"/>
      <c r="B46" s="79" t="s">
        <v>38</v>
      </c>
      <c r="C46" s="80" t="s">
        <v>116</v>
      </c>
      <c r="D46" s="79" t="s">
        <v>43</v>
      </c>
      <c r="E46" s="81">
        <v>1860</v>
      </c>
      <c r="F46" s="82">
        <f>SUM(E46*2/1000)</f>
        <v>3.72</v>
      </c>
      <c r="G46" s="13">
        <v>606.77</v>
      </c>
      <c r="H46" s="83">
        <f t="shared" si="6"/>
        <v>2.2571844000000003</v>
      </c>
      <c r="I46" s="13">
        <v>0</v>
      </c>
      <c r="J46" s="24"/>
      <c r="L46" s="20"/>
      <c r="M46" s="21"/>
      <c r="N46" s="22"/>
    </row>
    <row r="47" spans="1:14" ht="15.75" hidden="1" customHeight="1">
      <c r="A47" s="30"/>
      <c r="B47" s="79" t="s">
        <v>34</v>
      </c>
      <c r="C47" s="80" t="s">
        <v>35</v>
      </c>
      <c r="D47" s="79" t="s">
        <v>43</v>
      </c>
      <c r="E47" s="81">
        <v>120.49</v>
      </c>
      <c r="F47" s="82">
        <f>SUM(E47*2/100)</f>
        <v>2.4097999999999997</v>
      </c>
      <c r="G47" s="13">
        <v>72.81</v>
      </c>
      <c r="H47" s="83">
        <f t="shared" si="6"/>
        <v>0.17545753799999997</v>
      </c>
      <c r="I47" s="13">
        <v>0</v>
      </c>
      <c r="J47" s="24"/>
      <c r="L47" s="20"/>
      <c r="M47" s="21"/>
      <c r="N47" s="22"/>
    </row>
    <row r="48" spans="1:14" ht="15.75" customHeight="1">
      <c r="A48" s="30">
        <v>14</v>
      </c>
      <c r="B48" s="79" t="s">
        <v>58</v>
      </c>
      <c r="C48" s="80" t="s">
        <v>116</v>
      </c>
      <c r="D48" s="79" t="s">
        <v>153</v>
      </c>
      <c r="E48" s="81">
        <v>1728</v>
      </c>
      <c r="F48" s="82">
        <f>SUM(E48*5/1000)</f>
        <v>8.64</v>
      </c>
      <c r="G48" s="13">
        <v>1213.55</v>
      </c>
      <c r="H48" s="83">
        <f t="shared" si="6"/>
        <v>10.485072000000001</v>
      </c>
      <c r="I48" s="13">
        <f>F48/5*G48</f>
        <v>2097.0144</v>
      </c>
      <c r="J48" s="24"/>
      <c r="L48" s="20"/>
      <c r="M48" s="21"/>
      <c r="N48" s="22"/>
    </row>
    <row r="49" spans="1:22" ht="31.5" hidden="1" customHeight="1">
      <c r="A49" s="30"/>
      <c r="B49" s="79" t="s">
        <v>120</v>
      </c>
      <c r="C49" s="80" t="s">
        <v>116</v>
      </c>
      <c r="D49" s="79" t="s">
        <v>43</v>
      </c>
      <c r="E49" s="81">
        <v>1728</v>
      </c>
      <c r="F49" s="82">
        <f>SUM(E49*2/1000)</f>
        <v>3.456</v>
      </c>
      <c r="G49" s="13">
        <v>1213.55</v>
      </c>
      <c r="H49" s="83">
        <f t="shared" si="6"/>
        <v>4.1940287999999999</v>
      </c>
      <c r="I49" s="13">
        <v>0</v>
      </c>
      <c r="J49" s="24"/>
      <c r="L49" s="20"/>
      <c r="M49" s="21"/>
      <c r="N49" s="22"/>
    </row>
    <row r="50" spans="1:22" ht="31.5" hidden="1" customHeight="1">
      <c r="A50" s="30"/>
      <c r="B50" s="79" t="s">
        <v>143</v>
      </c>
      <c r="C50" s="80" t="s">
        <v>39</v>
      </c>
      <c r="D50" s="79" t="s">
        <v>43</v>
      </c>
      <c r="E50" s="81">
        <v>20</v>
      </c>
      <c r="F50" s="82">
        <f>SUM(E50*2/100)</f>
        <v>0.4</v>
      </c>
      <c r="G50" s="13">
        <v>2730.49</v>
      </c>
      <c r="H50" s="83">
        <f t="shared" si="6"/>
        <v>1.0921959999999999</v>
      </c>
      <c r="I50" s="13">
        <v>0</v>
      </c>
      <c r="J50" s="24"/>
      <c r="L50" s="20"/>
      <c r="M50" s="21"/>
      <c r="N50" s="22"/>
    </row>
    <row r="51" spans="1:22" ht="15.75" hidden="1" customHeight="1">
      <c r="A51" s="30"/>
      <c r="B51" s="79" t="s">
        <v>40</v>
      </c>
      <c r="C51" s="80" t="s">
        <v>41</v>
      </c>
      <c r="D51" s="79" t="s">
        <v>43</v>
      </c>
      <c r="E51" s="81">
        <v>1</v>
      </c>
      <c r="F51" s="82">
        <v>0.02</v>
      </c>
      <c r="G51" s="13">
        <v>5652.13</v>
      </c>
      <c r="H51" s="83">
        <f t="shared" si="6"/>
        <v>0.11304260000000001</v>
      </c>
      <c r="I51" s="13">
        <v>0</v>
      </c>
      <c r="J51" s="24"/>
      <c r="L51" s="20"/>
      <c r="M51" s="21"/>
      <c r="N51" s="22"/>
    </row>
    <row r="52" spans="1:22" ht="15.75" customHeight="1">
      <c r="A52" s="30">
        <v>15</v>
      </c>
      <c r="B52" s="79" t="s">
        <v>42</v>
      </c>
      <c r="C52" s="80" t="s">
        <v>97</v>
      </c>
      <c r="D52" s="79" t="s">
        <v>74</v>
      </c>
      <c r="E52" s="81">
        <v>128</v>
      </c>
      <c r="F52" s="82">
        <f>SUM(E52)*3</f>
        <v>384</v>
      </c>
      <c r="G52" s="13">
        <v>65.67</v>
      </c>
      <c r="H52" s="83">
        <f t="shared" si="6"/>
        <v>25.217279999999999</v>
      </c>
      <c r="I52" s="13">
        <f>E52*G52</f>
        <v>8405.76</v>
      </c>
      <c r="J52" s="24"/>
      <c r="L52" s="20"/>
      <c r="M52" s="21"/>
      <c r="N52" s="22"/>
    </row>
    <row r="53" spans="1:22" ht="15.75" customHeight="1">
      <c r="A53" s="180" t="s">
        <v>151</v>
      </c>
      <c r="B53" s="181"/>
      <c r="C53" s="181"/>
      <c r="D53" s="181"/>
      <c r="E53" s="181"/>
      <c r="F53" s="181"/>
      <c r="G53" s="181"/>
      <c r="H53" s="181"/>
      <c r="I53" s="182"/>
      <c r="J53" s="24"/>
      <c r="L53" s="20"/>
      <c r="M53" s="21"/>
      <c r="N53" s="22"/>
    </row>
    <row r="54" spans="1:22" ht="15.75" customHeight="1">
      <c r="A54" s="30"/>
      <c r="B54" s="107" t="s">
        <v>44</v>
      </c>
      <c r="C54" s="80"/>
      <c r="D54" s="79"/>
      <c r="E54" s="81"/>
      <c r="F54" s="82"/>
      <c r="G54" s="82"/>
      <c r="H54" s="86"/>
      <c r="I54" s="87"/>
      <c r="J54" s="24"/>
      <c r="L54" s="20"/>
      <c r="M54" s="21"/>
      <c r="N54" s="22"/>
    </row>
    <row r="55" spans="1:22" ht="31.5" customHeight="1">
      <c r="A55" s="30">
        <v>16</v>
      </c>
      <c r="B55" s="79" t="s">
        <v>121</v>
      </c>
      <c r="C55" s="80" t="s">
        <v>102</v>
      </c>
      <c r="D55" s="79" t="s">
        <v>122</v>
      </c>
      <c r="E55" s="81">
        <v>163.30000000000001</v>
      </c>
      <c r="F55" s="82">
        <f>SUM(E55*6/100)</f>
        <v>9.798</v>
      </c>
      <c r="G55" s="13">
        <v>1547.28</v>
      </c>
      <c r="H55" s="83">
        <f>SUM(F55*G55/1000)</f>
        <v>15.160249439999999</v>
      </c>
      <c r="I55" s="13">
        <f>F55/6*G55</f>
        <v>2526.7082399999999</v>
      </c>
      <c r="J55" s="24"/>
      <c r="L55" s="20"/>
      <c r="M55" s="21"/>
      <c r="N55" s="22"/>
    </row>
    <row r="56" spans="1:22" ht="15.75" customHeight="1">
      <c r="A56" s="30"/>
      <c r="B56" s="107" t="s">
        <v>45</v>
      </c>
      <c r="C56" s="80"/>
      <c r="D56" s="79"/>
      <c r="E56" s="81"/>
      <c r="F56" s="82"/>
      <c r="G56" s="82"/>
      <c r="H56" s="83" t="s">
        <v>142</v>
      </c>
      <c r="I56" s="87"/>
      <c r="J56" s="24"/>
      <c r="L56" s="20"/>
      <c r="M56" s="21"/>
      <c r="N56" s="22"/>
    </row>
    <row r="57" spans="1:22" ht="15.75" hidden="1" customHeight="1">
      <c r="A57" s="30"/>
      <c r="B57" s="79" t="s">
        <v>46</v>
      </c>
      <c r="C57" s="80" t="s">
        <v>102</v>
      </c>
      <c r="D57" s="79" t="s">
        <v>55</v>
      </c>
      <c r="E57" s="90">
        <v>1155.2</v>
      </c>
      <c r="F57" s="91">
        <v>11.6</v>
      </c>
      <c r="G57" s="13">
        <v>793.61</v>
      </c>
      <c r="H57" s="92">
        <v>9.1679999999999993</v>
      </c>
      <c r="I57" s="13">
        <v>0</v>
      </c>
      <c r="J57" s="24"/>
      <c r="L57" s="20"/>
      <c r="M57" s="21"/>
      <c r="N57" s="22"/>
    </row>
    <row r="58" spans="1:22" ht="15.75" customHeight="1">
      <c r="A58" s="30">
        <v>17</v>
      </c>
      <c r="B58" s="93" t="s">
        <v>98</v>
      </c>
      <c r="C58" s="94" t="s">
        <v>25</v>
      </c>
      <c r="D58" s="93" t="s">
        <v>30</v>
      </c>
      <c r="E58" s="90">
        <v>255.2</v>
      </c>
      <c r="F58" s="95">
        <v>3062.4</v>
      </c>
      <c r="G58" s="75">
        <v>2.6</v>
      </c>
      <c r="H58" s="96">
        <f>G58*F58/1000</f>
        <v>7.9622400000000004</v>
      </c>
      <c r="I58" s="13">
        <f>F58/12*G58</f>
        <v>663.5200000000001</v>
      </c>
      <c r="J58" s="24"/>
      <c r="L58" s="20"/>
      <c r="M58" s="21"/>
      <c r="N58" s="22"/>
    </row>
    <row r="59" spans="1:22" ht="15.75" customHeight="1">
      <c r="A59" s="30"/>
      <c r="B59" s="117" t="s">
        <v>47</v>
      </c>
      <c r="C59" s="94"/>
      <c r="D59" s="93"/>
      <c r="E59" s="90"/>
      <c r="F59" s="95"/>
      <c r="G59" s="95"/>
      <c r="H59" s="96" t="s">
        <v>142</v>
      </c>
      <c r="I59" s="87"/>
      <c r="J59" s="24"/>
      <c r="L59" s="20"/>
      <c r="M59" s="21"/>
      <c r="N59" s="22"/>
    </row>
    <row r="60" spans="1:22" ht="15.75" customHeight="1">
      <c r="A60" s="30">
        <v>18</v>
      </c>
      <c r="B60" s="14" t="s">
        <v>48</v>
      </c>
      <c r="C60" s="16" t="s">
        <v>97</v>
      </c>
      <c r="D60" s="14" t="s">
        <v>69</v>
      </c>
      <c r="E60" s="19">
        <v>5</v>
      </c>
      <c r="F60" s="82">
        <v>5</v>
      </c>
      <c r="G60" s="13">
        <v>222.4</v>
      </c>
      <c r="H60" s="97">
        <f t="shared" ref="H60:H67" si="7">SUM(F60*G60/1000)</f>
        <v>1.1120000000000001</v>
      </c>
      <c r="I60" s="13">
        <f>G60</f>
        <v>222.4</v>
      </c>
      <c r="J60" s="24"/>
      <c r="L60" s="20"/>
    </row>
    <row r="61" spans="1:22" ht="15.75" hidden="1" customHeight="1">
      <c r="A61" s="30"/>
      <c r="B61" s="14" t="s">
        <v>49</v>
      </c>
      <c r="C61" s="16" t="s">
        <v>97</v>
      </c>
      <c r="D61" s="14" t="s">
        <v>141</v>
      </c>
      <c r="E61" s="19">
        <v>4</v>
      </c>
      <c r="F61" s="82">
        <v>4</v>
      </c>
      <c r="G61" s="13">
        <v>76.25</v>
      </c>
      <c r="H61" s="97">
        <f t="shared" si="7"/>
        <v>0.30499999999999999</v>
      </c>
      <c r="I61" s="13">
        <v>0</v>
      </c>
      <c r="J61" s="24"/>
      <c r="L61" s="20"/>
    </row>
    <row r="62" spans="1:22" ht="15.75" hidden="1" customHeight="1">
      <c r="A62" s="30"/>
      <c r="B62" s="14" t="s">
        <v>50</v>
      </c>
      <c r="C62" s="16" t="s">
        <v>123</v>
      </c>
      <c r="D62" s="14" t="s">
        <v>55</v>
      </c>
      <c r="E62" s="81">
        <v>15552</v>
      </c>
      <c r="F62" s="13">
        <f>SUM(E62/100)</f>
        <v>155.52000000000001</v>
      </c>
      <c r="G62" s="13">
        <v>212.15</v>
      </c>
      <c r="H62" s="97">
        <f t="shared" si="7"/>
        <v>32.993568000000003</v>
      </c>
      <c r="I62" s="13">
        <v>0</v>
      </c>
    </row>
    <row r="63" spans="1:22" ht="15.75" hidden="1" customHeight="1">
      <c r="A63" s="30"/>
      <c r="B63" s="14" t="s">
        <v>51</v>
      </c>
      <c r="C63" s="16" t="s">
        <v>124</v>
      </c>
      <c r="D63" s="14"/>
      <c r="E63" s="81">
        <v>15552</v>
      </c>
      <c r="F63" s="13">
        <f>SUM(E63/1000)</f>
        <v>15.552</v>
      </c>
      <c r="G63" s="13">
        <v>165.21</v>
      </c>
      <c r="H63" s="97">
        <f t="shared" si="7"/>
        <v>2.5693459200000004</v>
      </c>
      <c r="I63" s="13">
        <v>0</v>
      </c>
    </row>
    <row r="64" spans="1:22" ht="15.75" hidden="1" customHeight="1">
      <c r="A64" s="30"/>
      <c r="B64" s="14" t="s">
        <v>52</v>
      </c>
      <c r="C64" s="16" t="s">
        <v>81</v>
      </c>
      <c r="D64" s="14" t="s">
        <v>55</v>
      </c>
      <c r="E64" s="81">
        <v>2432</v>
      </c>
      <c r="F64" s="13">
        <f>SUM(E64/100)</f>
        <v>24.32</v>
      </c>
      <c r="G64" s="13">
        <v>2074.63</v>
      </c>
      <c r="H64" s="97">
        <f t="shared" si="7"/>
        <v>50.455001600000003</v>
      </c>
      <c r="I64" s="13">
        <v>0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hidden="1" customHeight="1">
      <c r="A65" s="30"/>
      <c r="B65" s="98" t="s">
        <v>75</v>
      </c>
      <c r="C65" s="16" t="s">
        <v>33</v>
      </c>
      <c r="D65" s="14"/>
      <c r="E65" s="81">
        <v>34.5</v>
      </c>
      <c r="F65" s="13">
        <f>SUM(E65)</f>
        <v>34.5</v>
      </c>
      <c r="G65" s="13">
        <v>45.32</v>
      </c>
      <c r="H65" s="97">
        <f t="shared" si="7"/>
        <v>1.5635399999999999</v>
      </c>
      <c r="I65" s="13">
        <v>0</v>
      </c>
      <c r="J65" s="26"/>
      <c r="K65" s="26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31.5" hidden="1" customHeight="1">
      <c r="A66" s="30"/>
      <c r="B66" s="98" t="s">
        <v>76</v>
      </c>
      <c r="C66" s="16" t="s">
        <v>33</v>
      </c>
      <c r="D66" s="14"/>
      <c r="E66" s="81">
        <f>E65</f>
        <v>34.5</v>
      </c>
      <c r="F66" s="13">
        <f>SUM(E66)</f>
        <v>34.5</v>
      </c>
      <c r="G66" s="13">
        <v>42.28</v>
      </c>
      <c r="H66" s="97">
        <f t="shared" si="7"/>
        <v>1.4586600000000001</v>
      </c>
      <c r="I66" s="13">
        <v>0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30"/>
      <c r="B67" s="14" t="s">
        <v>59</v>
      </c>
      <c r="C67" s="16" t="s">
        <v>60</v>
      </c>
      <c r="D67" s="14" t="s">
        <v>55</v>
      </c>
      <c r="E67" s="19">
        <v>4</v>
      </c>
      <c r="F67" s="82">
        <f>SUM(E67)</f>
        <v>4</v>
      </c>
      <c r="G67" s="13">
        <v>49.88</v>
      </c>
      <c r="H67" s="97">
        <f t="shared" si="7"/>
        <v>0.19952</v>
      </c>
      <c r="I67" s="13">
        <v>0</v>
      </c>
      <c r="J67" s="5"/>
      <c r="K67" s="5"/>
      <c r="L67" s="5"/>
      <c r="M67" s="5"/>
      <c r="N67" s="5"/>
      <c r="O67" s="5"/>
      <c r="P67" s="5"/>
      <c r="Q67" s="5"/>
      <c r="R67" s="183"/>
      <c r="S67" s="183"/>
      <c r="T67" s="183"/>
      <c r="U67" s="183"/>
    </row>
    <row r="68" spans="1:21" ht="15.75" hidden="1" customHeight="1">
      <c r="A68" s="30"/>
      <c r="B68" s="67" t="s">
        <v>77</v>
      </c>
      <c r="C68" s="16"/>
      <c r="D68" s="14"/>
      <c r="E68" s="19"/>
      <c r="F68" s="13"/>
      <c r="G68" s="13"/>
      <c r="H68" s="97" t="s">
        <v>142</v>
      </c>
      <c r="I68" s="87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1" ht="15.75" hidden="1" customHeight="1">
      <c r="A69" s="30">
        <v>19</v>
      </c>
      <c r="B69" s="14" t="s">
        <v>78</v>
      </c>
      <c r="C69" s="16" t="s">
        <v>79</v>
      </c>
      <c r="D69" s="14"/>
      <c r="E69" s="19">
        <v>4</v>
      </c>
      <c r="F69" s="13">
        <v>0.4</v>
      </c>
      <c r="G69" s="13">
        <v>501.62</v>
      </c>
      <c r="H69" s="97">
        <f>SUM(F69*G69/1000)</f>
        <v>0.20064800000000002</v>
      </c>
      <c r="I69" s="13">
        <f>G69*0.2</f>
        <v>100.32400000000001</v>
      </c>
    </row>
    <row r="70" spans="1:21" ht="15.75" hidden="1" customHeight="1">
      <c r="A70" s="30"/>
      <c r="B70" s="14" t="s">
        <v>137</v>
      </c>
      <c r="C70" s="16" t="s">
        <v>97</v>
      </c>
      <c r="D70" s="14"/>
      <c r="E70" s="19">
        <v>1</v>
      </c>
      <c r="F70" s="13">
        <f>E70</f>
        <v>1</v>
      </c>
      <c r="G70" s="13">
        <v>852.99</v>
      </c>
      <c r="H70" s="97">
        <f>SUM(F70*G70/1000)</f>
        <v>0.85299000000000003</v>
      </c>
      <c r="I70" s="13">
        <v>0</v>
      </c>
    </row>
    <row r="71" spans="1:21" ht="15.75" hidden="1" customHeight="1">
      <c r="A71" s="30"/>
      <c r="B71" s="101" t="s">
        <v>80</v>
      </c>
      <c r="C71" s="16"/>
      <c r="D71" s="14"/>
      <c r="E71" s="19"/>
      <c r="F71" s="19"/>
      <c r="G71" s="19"/>
      <c r="H71" s="19"/>
      <c r="I71" s="87"/>
    </row>
    <row r="72" spans="1:21" ht="15.75" hidden="1" customHeight="1">
      <c r="A72" s="30"/>
      <c r="B72" s="53" t="s">
        <v>127</v>
      </c>
      <c r="C72" s="16" t="s">
        <v>81</v>
      </c>
      <c r="D72" s="14"/>
      <c r="E72" s="19"/>
      <c r="F72" s="13">
        <v>0.1</v>
      </c>
      <c r="G72" s="13">
        <v>2759.44</v>
      </c>
      <c r="H72" s="100">
        <f t="shared" ref="H72" si="8">SUM(F72*G72/1000)</f>
        <v>0.27594400000000002</v>
      </c>
      <c r="I72" s="13">
        <v>0</v>
      </c>
    </row>
    <row r="73" spans="1:21" ht="15.75" hidden="1" customHeight="1">
      <c r="A73" s="30"/>
      <c r="B73" s="67" t="s">
        <v>125</v>
      </c>
      <c r="C73" s="101"/>
      <c r="D73" s="32"/>
      <c r="E73" s="33"/>
      <c r="F73" s="102"/>
      <c r="G73" s="102"/>
      <c r="H73" s="103">
        <f>SUM(H55:H72)</f>
        <v>124.27670696000001</v>
      </c>
      <c r="I73" s="85"/>
    </row>
    <row r="74" spans="1:21" ht="15.75" hidden="1" customHeight="1">
      <c r="A74" s="108"/>
      <c r="B74" s="93" t="s">
        <v>126</v>
      </c>
      <c r="C74" s="118"/>
      <c r="D74" s="119"/>
      <c r="E74" s="104"/>
      <c r="F74" s="109">
        <f>232/10</f>
        <v>23.2</v>
      </c>
      <c r="G74" s="109">
        <v>11370</v>
      </c>
      <c r="H74" s="120">
        <f>G74*F74/1000</f>
        <v>263.78399999999999</v>
      </c>
      <c r="I74" s="109">
        <v>0</v>
      </c>
    </row>
    <row r="75" spans="1:21" ht="15.75" customHeight="1">
      <c r="A75" s="186" t="s">
        <v>152</v>
      </c>
      <c r="B75" s="187"/>
      <c r="C75" s="187"/>
      <c r="D75" s="187"/>
      <c r="E75" s="187"/>
      <c r="F75" s="187"/>
      <c r="G75" s="187"/>
      <c r="H75" s="187"/>
      <c r="I75" s="188"/>
    </row>
    <row r="76" spans="1:21" ht="15.75" customHeight="1">
      <c r="A76" s="110">
        <v>19</v>
      </c>
      <c r="B76" s="111" t="s">
        <v>128</v>
      </c>
      <c r="C76" s="121" t="s">
        <v>56</v>
      </c>
      <c r="D76" s="122" t="s">
        <v>57</v>
      </c>
      <c r="E76" s="115">
        <v>3053.4</v>
      </c>
      <c r="F76" s="115">
        <f>SUM(E76*12)</f>
        <v>36640.800000000003</v>
      </c>
      <c r="G76" s="115">
        <v>2.1</v>
      </c>
      <c r="H76" s="123">
        <f>SUM(F76*G76/1000)</f>
        <v>76.94568000000001</v>
      </c>
      <c r="I76" s="115">
        <f>F76/12*G76</f>
        <v>6412.14</v>
      </c>
    </row>
    <row r="77" spans="1:21" ht="31.5" customHeight="1">
      <c r="A77" s="30">
        <v>20</v>
      </c>
      <c r="B77" s="14" t="s">
        <v>82</v>
      </c>
      <c r="C77" s="16"/>
      <c r="D77" s="122" t="s">
        <v>57</v>
      </c>
      <c r="E77" s="81">
        <f>E76</f>
        <v>3053.4</v>
      </c>
      <c r="F77" s="13">
        <f>E77*12</f>
        <v>36640.800000000003</v>
      </c>
      <c r="G77" s="13">
        <v>1.63</v>
      </c>
      <c r="H77" s="100">
        <f>F77*G77/1000</f>
        <v>59.724504000000003</v>
      </c>
      <c r="I77" s="13">
        <f>F77/12*G77</f>
        <v>4977.0419999999995</v>
      </c>
    </row>
    <row r="78" spans="1:21" ht="15.75" customHeight="1">
      <c r="A78" s="30"/>
      <c r="B78" s="44" t="s">
        <v>85</v>
      </c>
      <c r="C78" s="101"/>
      <c r="D78" s="99"/>
      <c r="E78" s="102"/>
      <c r="F78" s="102"/>
      <c r="G78" s="102"/>
      <c r="H78" s="103">
        <f>SUM(H77)</f>
        <v>59.724504000000003</v>
      </c>
      <c r="I78" s="102">
        <f>I16+I17+I18+I20+I21+I23+I25+I26+I36+I37+I38+I39+I41+I48+I52+I55+I58+I60+I76+I77</f>
        <v>53677.786275166662</v>
      </c>
    </row>
    <row r="79" spans="1:21" ht="15.75" customHeight="1">
      <c r="A79" s="169" t="s">
        <v>62</v>
      </c>
      <c r="B79" s="170"/>
      <c r="C79" s="170"/>
      <c r="D79" s="170"/>
      <c r="E79" s="170"/>
      <c r="F79" s="170"/>
      <c r="G79" s="170"/>
      <c r="H79" s="170"/>
      <c r="I79" s="171"/>
    </row>
    <row r="80" spans="1:21" ht="15.75" customHeight="1">
      <c r="A80" s="30">
        <v>21</v>
      </c>
      <c r="B80" s="137" t="s">
        <v>169</v>
      </c>
      <c r="C80" s="30" t="s">
        <v>97</v>
      </c>
      <c r="D80" s="53"/>
      <c r="E80" s="13"/>
      <c r="F80" s="13">
        <v>1</v>
      </c>
      <c r="G80" s="13">
        <v>470</v>
      </c>
      <c r="H80" s="100">
        <f t="shared" ref="H80" si="9">G80*F80/1000</f>
        <v>0.47</v>
      </c>
      <c r="I80" s="13">
        <f>G80</f>
        <v>470</v>
      </c>
    </row>
    <row r="81" spans="1:9" ht="15.75" customHeight="1">
      <c r="A81" s="30">
        <v>22</v>
      </c>
      <c r="B81" s="58" t="s">
        <v>107</v>
      </c>
      <c r="C81" s="59" t="s">
        <v>97</v>
      </c>
      <c r="D81" s="53"/>
      <c r="E81" s="13"/>
      <c r="F81" s="13">
        <v>390</v>
      </c>
      <c r="G81" s="13">
        <v>53.42</v>
      </c>
      <c r="H81" s="100">
        <f>G81*F81/1000</f>
        <v>20.8338</v>
      </c>
      <c r="I81" s="13">
        <f>G81*65</f>
        <v>3472.3</v>
      </c>
    </row>
    <row r="82" spans="1:9" ht="15.75" customHeight="1">
      <c r="A82" s="30"/>
      <c r="B82" s="51" t="s">
        <v>53</v>
      </c>
      <c r="C82" s="47"/>
      <c r="D82" s="55"/>
      <c r="E82" s="47">
        <v>1</v>
      </c>
      <c r="F82" s="47"/>
      <c r="G82" s="47"/>
      <c r="H82" s="47"/>
      <c r="I82" s="33">
        <f>SUM(I80:I81)</f>
        <v>3942.3</v>
      </c>
    </row>
    <row r="83" spans="1:9" ht="15.75" customHeight="1">
      <c r="A83" s="30"/>
      <c r="B83" s="53" t="s">
        <v>83</v>
      </c>
      <c r="C83" s="15"/>
      <c r="D83" s="15"/>
      <c r="E83" s="48"/>
      <c r="F83" s="48"/>
      <c r="G83" s="49"/>
      <c r="H83" s="49"/>
      <c r="I83" s="18">
        <v>0</v>
      </c>
    </row>
    <row r="84" spans="1:9" ht="15.75" customHeight="1">
      <c r="A84" s="56"/>
      <c r="B84" s="52" t="s">
        <v>170</v>
      </c>
      <c r="C84" s="36"/>
      <c r="D84" s="36"/>
      <c r="E84" s="36"/>
      <c r="F84" s="36"/>
      <c r="G84" s="36"/>
      <c r="H84" s="36"/>
      <c r="I84" s="50">
        <f>I78+I82</f>
        <v>57620.086275166665</v>
      </c>
    </row>
    <row r="85" spans="1:9" ht="15.75">
      <c r="A85" s="184" t="s">
        <v>248</v>
      </c>
      <c r="B85" s="184"/>
      <c r="C85" s="184"/>
      <c r="D85" s="184"/>
      <c r="E85" s="184"/>
      <c r="F85" s="184"/>
      <c r="G85" s="184"/>
      <c r="H85" s="184"/>
      <c r="I85" s="184"/>
    </row>
    <row r="86" spans="1:9" ht="15.75">
      <c r="A86" s="62"/>
      <c r="B86" s="193" t="s">
        <v>249</v>
      </c>
      <c r="C86" s="193"/>
      <c r="D86" s="193"/>
      <c r="E86" s="193"/>
      <c r="F86" s="193"/>
      <c r="G86" s="193"/>
      <c r="H86" s="78"/>
      <c r="I86" s="3"/>
    </row>
    <row r="87" spans="1:9">
      <c r="A87" s="65"/>
      <c r="B87" s="190" t="s">
        <v>6</v>
      </c>
      <c r="C87" s="190"/>
      <c r="D87" s="190"/>
      <c r="E87" s="190"/>
      <c r="F87" s="190"/>
      <c r="G87" s="190"/>
      <c r="H87" s="25"/>
      <c r="I87" s="5"/>
    </row>
    <row r="88" spans="1:9" ht="15.75" customHeight="1">
      <c r="A88" s="10"/>
      <c r="B88" s="10"/>
      <c r="C88" s="10"/>
      <c r="D88" s="10"/>
      <c r="E88" s="10"/>
      <c r="F88" s="10"/>
      <c r="G88" s="10"/>
      <c r="H88" s="10"/>
      <c r="I88" s="10"/>
    </row>
    <row r="89" spans="1:9" ht="15.75" customHeight="1">
      <c r="A89" s="194" t="s">
        <v>7</v>
      </c>
      <c r="B89" s="194"/>
      <c r="C89" s="194"/>
      <c r="D89" s="194"/>
      <c r="E89" s="194"/>
      <c r="F89" s="194"/>
      <c r="G89" s="194"/>
      <c r="H89" s="194"/>
      <c r="I89" s="194"/>
    </row>
    <row r="90" spans="1:9" ht="15.75" customHeight="1">
      <c r="A90" s="194" t="s">
        <v>8</v>
      </c>
      <c r="B90" s="194"/>
      <c r="C90" s="194"/>
      <c r="D90" s="194"/>
      <c r="E90" s="194"/>
      <c r="F90" s="194"/>
      <c r="G90" s="194"/>
      <c r="H90" s="194"/>
      <c r="I90" s="194"/>
    </row>
    <row r="91" spans="1:9" ht="15.75" customHeight="1">
      <c r="A91" s="177" t="s">
        <v>63</v>
      </c>
      <c r="B91" s="177"/>
      <c r="C91" s="177"/>
      <c r="D91" s="177"/>
      <c r="E91" s="177"/>
      <c r="F91" s="177"/>
      <c r="G91" s="177"/>
      <c r="H91" s="177"/>
      <c r="I91" s="177"/>
    </row>
    <row r="92" spans="1:9" ht="7.5" customHeight="1">
      <c r="A92" s="11"/>
    </row>
    <row r="93" spans="1:9" ht="15.75" customHeight="1">
      <c r="A93" s="178" t="s">
        <v>9</v>
      </c>
      <c r="B93" s="178"/>
      <c r="C93" s="178"/>
      <c r="D93" s="178"/>
      <c r="E93" s="178"/>
      <c r="F93" s="178"/>
      <c r="G93" s="178"/>
      <c r="H93" s="178"/>
      <c r="I93" s="178"/>
    </row>
    <row r="94" spans="1:9" ht="15.75" customHeight="1">
      <c r="A94" s="4"/>
    </row>
    <row r="95" spans="1:9" ht="15.75" customHeight="1">
      <c r="B95" s="61" t="s">
        <v>10</v>
      </c>
      <c r="C95" s="189" t="s">
        <v>96</v>
      </c>
      <c r="D95" s="189"/>
      <c r="E95" s="189"/>
      <c r="F95" s="76"/>
      <c r="I95" s="64"/>
    </row>
    <row r="96" spans="1:9" ht="15.75" customHeight="1">
      <c r="A96" s="65"/>
      <c r="C96" s="190" t="s">
        <v>11</v>
      </c>
      <c r="D96" s="190"/>
      <c r="E96" s="190"/>
      <c r="F96" s="25"/>
      <c r="I96" s="63" t="s">
        <v>12</v>
      </c>
    </row>
    <row r="97" spans="1:9" ht="15.75" customHeight="1">
      <c r="A97" s="26"/>
      <c r="C97" s="12"/>
      <c r="D97" s="12"/>
      <c r="G97" s="12"/>
      <c r="H97" s="12"/>
    </row>
    <row r="98" spans="1:9" ht="15.75" customHeight="1">
      <c r="B98" s="61" t="s">
        <v>13</v>
      </c>
      <c r="C98" s="191"/>
      <c r="D98" s="191"/>
      <c r="E98" s="191"/>
      <c r="F98" s="77"/>
      <c r="I98" s="64"/>
    </row>
    <row r="99" spans="1:9" ht="15.75" customHeight="1">
      <c r="A99" s="65"/>
      <c r="C99" s="183" t="s">
        <v>11</v>
      </c>
      <c r="D99" s="183"/>
      <c r="E99" s="183"/>
      <c r="F99" s="65"/>
      <c r="I99" s="63" t="s">
        <v>12</v>
      </c>
    </row>
    <row r="100" spans="1:9" ht="15.75" customHeight="1">
      <c r="A100" s="4" t="s">
        <v>14</v>
      </c>
    </row>
    <row r="101" spans="1:9">
      <c r="A101" s="192" t="s">
        <v>15</v>
      </c>
      <c r="B101" s="192"/>
      <c r="C101" s="192"/>
      <c r="D101" s="192"/>
      <c r="E101" s="192"/>
      <c r="F101" s="192"/>
      <c r="G101" s="192"/>
      <c r="H101" s="192"/>
      <c r="I101" s="192"/>
    </row>
    <row r="102" spans="1:9" ht="45" customHeight="1">
      <c r="A102" s="185" t="s">
        <v>16</v>
      </c>
      <c r="B102" s="185"/>
      <c r="C102" s="185"/>
      <c r="D102" s="185"/>
      <c r="E102" s="185"/>
      <c r="F102" s="185"/>
      <c r="G102" s="185"/>
      <c r="H102" s="185"/>
      <c r="I102" s="185"/>
    </row>
    <row r="103" spans="1:9" ht="30" customHeight="1">
      <c r="A103" s="185" t="s">
        <v>17</v>
      </c>
      <c r="B103" s="185"/>
      <c r="C103" s="185"/>
      <c r="D103" s="185"/>
      <c r="E103" s="185"/>
      <c r="F103" s="185"/>
      <c r="G103" s="185"/>
      <c r="H103" s="185"/>
      <c r="I103" s="185"/>
    </row>
    <row r="104" spans="1:9" ht="30" customHeight="1">
      <c r="A104" s="185" t="s">
        <v>21</v>
      </c>
      <c r="B104" s="185"/>
      <c r="C104" s="185"/>
      <c r="D104" s="185"/>
      <c r="E104" s="185"/>
      <c r="F104" s="185"/>
      <c r="G104" s="185"/>
      <c r="H104" s="185"/>
      <c r="I104" s="185"/>
    </row>
    <row r="105" spans="1:9" ht="15" customHeight="1">
      <c r="A105" s="185" t="s">
        <v>20</v>
      </c>
      <c r="B105" s="185"/>
      <c r="C105" s="185"/>
      <c r="D105" s="185"/>
      <c r="E105" s="185"/>
      <c r="F105" s="185"/>
      <c r="G105" s="185"/>
      <c r="H105" s="185"/>
      <c r="I105" s="185"/>
    </row>
  </sheetData>
  <autoFilter ref="I12:I62"/>
  <mergeCells count="29">
    <mergeCell ref="A103:I103"/>
    <mergeCell ref="A104:I104"/>
    <mergeCell ref="A105:I105"/>
    <mergeCell ref="A42:I42"/>
    <mergeCell ref="A53:I53"/>
    <mergeCell ref="A75:I75"/>
    <mergeCell ref="C95:E95"/>
    <mergeCell ref="C96:E96"/>
    <mergeCell ref="C98:E98"/>
    <mergeCell ref="C99:E99"/>
    <mergeCell ref="A101:I101"/>
    <mergeCell ref="A102:I102"/>
    <mergeCell ref="B86:G86"/>
    <mergeCell ref="B87:G87"/>
    <mergeCell ref="A89:I89"/>
    <mergeCell ref="A90:I90"/>
    <mergeCell ref="A91:I91"/>
    <mergeCell ref="A93:I93"/>
    <mergeCell ref="A15:I15"/>
    <mergeCell ref="A27:I27"/>
    <mergeCell ref="R67:U67"/>
    <mergeCell ref="A85:I85"/>
    <mergeCell ref="A14:I14"/>
    <mergeCell ref="A79:I79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3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91</v>
      </c>
      <c r="I1" s="27"/>
      <c r="J1" s="1"/>
      <c r="K1" s="1"/>
      <c r="L1" s="1"/>
      <c r="M1" s="1"/>
    </row>
    <row r="2" spans="1:13" ht="15.75" customHeight="1">
      <c r="A2" s="29" t="s">
        <v>64</v>
      </c>
      <c r="J2" s="2"/>
      <c r="K2" s="2"/>
      <c r="L2" s="2"/>
      <c r="M2" s="2"/>
    </row>
    <row r="3" spans="1:13" ht="15.75" customHeight="1">
      <c r="A3" s="172" t="s">
        <v>164</v>
      </c>
      <c r="B3" s="172"/>
      <c r="C3" s="172"/>
      <c r="D3" s="172"/>
      <c r="E3" s="172"/>
      <c r="F3" s="172"/>
      <c r="G3" s="172"/>
      <c r="H3" s="172"/>
      <c r="I3" s="172"/>
      <c r="J3" s="3"/>
      <c r="K3" s="3"/>
      <c r="L3" s="3"/>
    </row>
    <row r="4" spans="1:13" ht="31.5" customHeight="1">
      <c r="A4" s="173" t="s">
        <v>129</v>
      </c>
      <c r="B4" s="173"/>
      <c r="C4" s="173"/>
      <c r="D4" s="173"/>
      <c r="E4" s="173"/>
      <c r="F4" s="173"/>
      <c r="G4" s="173"/>
      <c r="H4" s="173"/>
      <c r="I4" s="173"/>
    </row>
    <row r="5" spans="1:13" ht="15.75" customHeight="1">
      <c r="A5" s="172" t="s">
        <v>233</v>
      </c>
      <c r="B5" s="174"/>
      <c r="C5" s="174"/>
      <c r="D5" s="174"/>
      <c r="E5" s="174"/>
      <c r="F5" s="174"/>
      <c r="G5" s="174"/>
      <c r="H5" s="174"/>
      <c r="I5" s="174"/>
      <c r="J5" s="2"/>
      <c r="K5" s="2"/>
      <c r="L5" s="2"/>
      <c r="M5" s="2"/>
    </row>
    <row r="6" spans="1:13" ht="15.75" customHeight="1">
      <c r="A6" s="2"/>
      <c r="B6" s="73"/>
      <c r="C6" s="73"/>
      <c r="D6" s="73"/>
      <c r="E6" s="73"/>
      <c r="F6" s="73"/>
      <c r="G6" s="73"/>
      <c r="H6" s="73"/>
      <c r="I6" s="31">
        <v>43039</v>
      </c>
      <c r="J6" s="2"/>
      <c r="K6" s="2"/>
      <c r="L6" s="2"/>
      <c r="M6" s="2"/>
    </row>
    <row r="7" spans="1:13" ht="15.75" customHeight="1">
      <c r="B7" s="69"/>
      <c r="C7" s="69"/>
      <c r="D7" s="69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75" t="s">
        <v>204</v>
      </c>
      <c r="B8" s="175"/>
      <c r="C8" s="175"/>
      <c r="D8" s="175"/>
      <c r="E8" s="175"/>
      <c r="F8" s="175"/>
      <c r="G8" s="175"/>
      <c r="H8" s="175"/>
      <c r="I8" s="17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76" t="s">
        <v>247</v>
      </c>
      <c r="B10" s="176"/>
      <c r="C10" s="176"/>
      <c r="D10" s="176"/>
      <c r="E10" s="176"/>
      <c r="F10" s="176"/>
      <c r="G10" s="176"/>
      <c r="H10" s="176"/>
      <c r="I10" s="17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68" t="s">
        <v>61</v>
      </c>
      <c r="B14" s="168"/>
      <c r="C14" s="168"/>
      <c r="D14" s="168"/>
      <c r="E14" s="168"/>
      <c r="F14" s="168"/>
      <c r="G14" s="168"/>
      <c r="H14" s="168"/>
      <c r="I14" s="168"/>
      <c r="J14" s="8"/>
      <c r="K14" s="8"/>
      <c r="L14" s="8"/>
      <c r="M14" s="8"/>
    </row>
    <row r="15" spans="1:13" ht="15.75" customHeight="1">
      <c r="A15" s="179" t="s">
        <v>4</v>
      </c>
      <c r="B15" s="179"/>
      <c r="C15" s="179"/>
      <c r="D15" s="179"/>
      <c r="E15" s="179"/>
      <c r="F15" s="179"/>
      <c r="G15" s="179"/>
      <c r="H15" s="179"/>
      <c r="I15" s="179"/>
      <c r="J15" s="8"/>
      <c r="K15" s="8"/>
      <c r="L15" s="8"/>
      <c r="M15" s="8"/>
    </row>
    <row r="16" spans="1:13" ht="15.75" customHeight="1">
      <c r="A16" s="30">
        <v>1</v>
      </c>
      <c r="B16" s="79" t="s">
        <v>92</v>
      </c>
      <c r="C16" s="80" t="s">
        <v>102</v>
      </c>
      <c r="D16" s="79" t="s">
        <v>130</v>
      </c>
      <c r="E16" s="81">
        <v>92.5</v>
      </c>
      <c r="F16" s="82">
        <f>SUM(E16*156/100)</f>
        <v>144.30000000000001</v>
      </c>
      <c r="G16" s="82">
        <v>230</v>
      </c>
      <c r="H16" s="86">
        <f t="shared" ref="H16:H25" si="0">SUM(F16*G16/1000)</f>
        <v>33.189</v>
      </c>
      <c r="I16" s="13">
        <f>F16/12*G16</f>
        <v>2765.75</v>
      </c>
      <c r="J16" s="8"/>
      <c r="K16" s="8"/>
      <c r="L16" s="8"/>
      <c r="M16" s="8"/>
    </row>
    <row r="17" spans="1:13" ht="15.75" customHeight="1">
      <c r="A17" s="30">
        <v>2</v>
      </c>
      <c r="B17" s="79" t="s">
        <v>93</v>
      </c>
      <c r="C17" s="80" t="s">
        <v>102</v>
      </c>
      <c r="D17" s="79" t="s">
        <v>131</v>
      </c>
      <c r="E17" s="81">
        <v>288.8</v>
      </c>
      <c r="F17" s="82">
        <f>SUM(E17*104/100)</f>
        <v>300.35200000000003</v>
      </c>
      <c r="G17" s="82">
        <v>230</v>
      </c>
      <c r="H17" s="86">
        <f t="shared" si="0"/>
        <v>69.080960000000005</v>
      </c>
      <c r="I17" s="13">
        <f>F17/12*G17</f>
        <v>5756.7466666666678</v>
      </c>
      <c r="J17" s="23"/>
      <c r="K17" s="8"/>
      <c r="L17" s="8"/>
      <c r="M17" s="8"/>
    </row>
    <row r="18" spans="1:13" ht="15.75" customHeight="1">
      <c r="A18" s="30">
        <v>3</v>
      </c>
      <c r="B18" s="79" t="s">
        <v>94</v>
      </c>
      <c r="C18" s="80" t="s">
        <v>102</v>
      </c>
      <c r="D18" s="79" t="s">
        <v>167</v>
      </c>
      <c r="E18" s="81">
        <f>SUM(E16+E17)</f>
        <v>381.3</v>
      </c>
      <c r="F18" s="82">
        <f>SUM(E18*12/100)</f>
        <v>45.756</v>
      </c>
      <c r="G18" s="82">
        <v>661.67</v>
      </c>
      <c r="H18" s="86">
        <f t="shared" si="0"/>
        <v>30.275372519999998</v>
      </c>
      <c r="I18" s="13">
        <f>F18/12*G18</f>
        <v>2522.9477099999999</v>
      </c>
      <c r="J18" s="23"/>
      <c r="K18" s="8"/>
      <c r="L18" s="8"/>
      <c r="M18" s="8"/>
    </row>
    <row r="19" spans="1:13" ht="15.75" hidden="1" customHeight="1">
      <c r="A19" s="30">
        <v>4</v>
      </c>
      <c r="B19" s="79" t="s">
        <v>112</v>
      </c>
      <c r="C19" s="80" t="s">
        <v>113</v>
      </c>
      <c r="D19" s="79" t="s">
        <v>114</v>
      </c>
      <c r="E19" s="81">
        <v>19.2</v>
      </c>
      <c r="F19" s="82">
        <f>SUM(E19/10)</f>
        <v>1.92</v>
      </c>
      <c r="G19" s="82">
        <v>223.17</v>
      </c>
      <c r="H19" s="86">
        <f t="shared" si="0"/>
        <v>0.42848639999999993</v>
      </c>
      <c r="I19" s="13">
        <v>0</v>
      </c>
      <c r="J19" s="23"/>
      <c r="K19" s="8"/>
      <c r="L19" s="8"/>
      <c r="M19" s="8"/>
    </row>
    <row r="20" spans="1:13" ht="15.75" hidden="1" customHeight="1">
      <c r="A20" s="30">
        <v>4</v>
      </c>
      <c r="B20" s="79" t="s">
        <v>101</v>
      </c>
      <c r="C20" s="80" t="s">
        <v>102</v>
      </c>
      <c r="D20" s="79" t="s">
        <v>205</v>
      </c>
      <c r="E20" s="81">
        <v>27.3</v>
      </c>
      <c r="F20" s="82">
        <f>SUM(E20*2/100)</f>
        <v>0.54600000000000004</v>
      </c>
      <c r="G20" s="82">
        <v>285.76</v>
      </c>
      <c r="H20" s="86">
        <f t="shared" si="0"/>
        <v>0.15602495999999999</v>
      </c>
      <c r="I20" s="13">
        <f>F20/2*G20</f>
        <v>78.012479999999996</v>
      </c>
      <c r="J20" s="23"/>
      <c r="K20" s="8"/>
      <c r="L20" s="8"/>
      <c r="M20" s="8"/>
    </row>
    <row r="21" spans="1:13" ht="15.75" hidden="1" customHeight="1">
      <c r="A21" s="30">
        <v>5</v>
      </c>
      <c r="B21" s="79" t="s">
        <v>109</v>
      </c>
      <c r="C21" s="80" t="s">
        <v>102</v>
      </c>
      <c r="D21" s="79" t="s">
        <v>205</v>
      </c>
      <c r="E21" s="81">
        <v>9.08</v>
      </c>
      <c r="F21" s="82">
        <f>SUM(E21*2/100)</f>
        <v>0.18160000000000001</v>
      </c>
      <c r="G21" s="82">
        <v>283.44</v>
      </c>
      <c r="H21" s="86">
        <f>SUM(F21*G21/1000)</f>
        <v>5.1472704000000001E-2</v>
      </c>
      <c r="I21" s="13">
        <f>F21/2*G21</f>
        <v>25.736352</v>
      </c>
      <c r="J21" s="23"/>
      <c r="K21" s="8"/>
      <c r="L21" s="8"/>
      <c r="M21" s="8"/>
    </row>
    <row r="22" spans="1:13" ht="15.75" hidden="1" customHeight="1">
      <c r="A22" s="30">
        <v>7</v>
      </c>
      <c r="B22" s="79" t="s">
        <v>103</v>
      </c>
      <c r="C22" s="80" t="s">
        <v>54</v>
      </c>
      <c r="D22" s="79" t="s">
        <v>114</v>
      </c>
      <c r="E22" s="84">
        <v>30</v>
      </c>
      <c r="F22" s="82">
        <f>SUM(E22/100)</f>
        <v>0.3</v>
      </c>
      <c r="G22" s="82">
        <v>58.08</v>
      </c>
      <c r="H22" s="86">
        <f t="shared" si="0"/>
        <v>1.7423999999999999E-2</v>
      </c>
      <c r="I22" s="13">
        <v>0</v>
      </c>
      <c r="J22" s="23"/>
      <c r="K22" s="8"/>
      <c r="L22" s="8"/>
      <c r="M22" s="8"/>
    </row>
    <row r="23" spans="1:13" ht="15.75" hidden="1" customHeight="1">
      <c r="A23" s="30">
        <v>6</v>
      </c>
      <c r="B23" s="79" t="s">
        <v>104</v>
      </c>
      <c r="C23" s="80" t="s">
        <v>54</v>
      </c>
      <c r="D23" s="79" t="s">
        <v>114</v>
      </c>
      <c r="E23" s="81">
        <v>20</v>
      </c>
      <c r="F23" s="82">
        <f>SUM(E23/100)</f>
        <v>0.2</v>
      </c>
      <c r="G23" s="82">
        <v>511.12</v>
      </c>
      <c r="H23" s="86">
        <f t="shared" si="0"/>
        <v>0.10222400000000001</v>
      </c>
      <c r="I23" s="13">
        <v>0</v>
      </c>
      <c r="J23" s="23"/>
      <c r="K23" s="8"/>
      <c r="L23" s="8"/>
      <c r="M23" s="8"/>
    </row>
    <row r="24" spans="1:13" ht="15.75" hidden="1" customHeight="1">
      <c r="A24" s="30">
        <v>9</v>
      </c>
      <c r="B24" s="79" t="s">
        <v>106</v>
      </c>
      <c r="C24" s="80" t="s">
        <v>54</v>
      </c>
      <c r="D24" s="79" t="s">
        <v>114</v>
      </c>
      <c r="E24" s="81">
        <v>8.5</v>
      </c>
      <c r="F24" s="82">
        <f>SUM(E24/100)</f>
        <v>8.5000000000000006E-2</v>
      </c>
      <c r="G24" s="82">
        <v>683.05</v>
      </c>
      <c r="H24" s="86">
        <f t="shared" si="0"/>
        <v>5.805925E-2</v>
      </c>
      <c r="I24" s="13">
        <v>0</v>
      </c>
      <c r="J24" s="23"/>
      <c r="K24" s="8"/>
      <c r="L24" s="8"/>
      <c r="M24" s="8"/>
    </row>
    <row r="25" spans="1:13" ht="15.75" hidden="1" customHeight="1">
      <c r="A25" s="108">
        <v>7</v>
      </c>
      <c r="B25" s="93" t="s">
        <v>110</v>
      </c>
      <c r="C25" s="94" t="s">
        <v>54</v>
      </c>
      <c r="D25" s="93" t="s">
        <v>55</v>
      </c>
      <c r="E25" s="90">
        <v>20</v>
      </c>
      <c r="F25" s="95">
        <f>SUM(E25/100)</f>
        <v>0.2</v>
      </c>
      <c r="G25" s="95">
        <v>283.44</v>
      </c>
      <c r="H25" s="91">
        <f t="shared" si="0"/>
        <v>5.6688000000000002E-2</v>
      </c>
      <c r="I25" s="13">
        <v>0</v>
      </c>
      <c r="J25" s="23"/>
      <c r="K25" s="8"/>
      <c r="L25" s="8"/>
      <c r="M25" s="8"/>
    </row>
    <row r="26" spans="1:13" ht="15.75" customHeight="1">
      <c r="A26" s="30">
        <v>4</v>
      </c>
      <c r="B26" s="35" t="s">
        <v>66</v>
      </c>
      <c r="C26" s="45" t="s">
        <v>33</v>
      </c>
      <c r="D26" s="35" t="s">
        <v>206</v>
      </c>
      <c r="E26" s="141">
        <v>0.05</v>
      </c>
      <c r="F26" s="34">
        <f>SUM(E26*182)</f>
        <v>9.1</v>
      </c>
      <c r="G26" s="34">
        <v>264.85000000000002</v>
      </c>
      <c r="H26" s="142">
        <f t="shared" ref="H26:H27" si="1">SUM(F26*G26/1000)</f>
        <v>2.4101350000000004</v>
      </c>
      <c r="I26" s="13">
        <f>F26/12*G26</f>
        <v>200.84458333333333</v>
      </c>
      <c r="J26" s="24"/>
    </row>
    <row r="27" spans="1:13" ht="15.75" customHeight="1">
      <c r="A27" s="30">
        <v>5</v>
      </c>
      <c r="B27" s="143" t="s">
        <v>23</v>
      </c>
      <c r="C27" s="45" t="s">
        <v>24</v>
      </c>
      <c r="D27" s="35"/>
      <c r="E27" s="144">
        <v>3053.4</v>
      </c>
      <c r="F27" s="34">
        <f>SUM(E27*12)</f>
        <v>36640.800000000003</v>
      </c>
      <c r="G27" s="34">
        <v>4.09</v>
      </c>
      <c r="H27" s="142">
        <f t="shared" si="1"/>
        <v>149.860872</v>
      </c>
      <c r="I27" s="13">
        <f>F27/12*G27</f>
        <v>12488.405999999999</v>
      </c>
      <c r="J27" s="24"/>
    </row>
    <row r="28" spans="1:13" ht="15.75" customHeight="1">
      <c r="A28" s="179" t="s">
        <v>168</v>
      </c>
      <c r="B28" s="179"/>
      <c r="C28" s="179"/>
      <c r="D28" s="179"/>
      <c r="E28" s="179"/>
      <c r="F28" s="179"/>
      <c r="G28" s="179"/>
      <c r="H28" s="179"/>
      <c r="I28" s="179"/>
      <c r="J28" s="23"/>
      <c r="K28" s="8"/>
      <c r="L28" s="8"/>
      <c r="M28" s="8"/>
    </row>
    <row r="29" spans="1:13" ht="15.75" customHeight="1">
      <c r="A29" s="110"/>
      <c r="B29" s="124" t="s">
        <v>28</v>
      </c>
      <c r="C29" s="112"/>
      <c r="D29" s="111"/>
      <c r="E29" s="113"/>
      <c r="F29" s="114"/>
      <c r="G29" s="114"/>
      <c r="H29" s="125"/>
      <c r="I29" s="126"/>
      <c r="J29" s="23"/>
      <c r="K29" s="8"/>
      <c r="L29" s="8"/>
      <c r="M29" s="8"/>
    </row>
    <row r="30" spans="1:13" ht="15.75" customHeight="1">
      <c r="A30" s="30">
        <v>6</v>
      </c>
      <c r="B30" s="79" t="s">
        <v>115</v>
      </c>
      <c r="C30" s="80" t="s">
        <v>116</v>
      </c>
      <c r="D30" s="79" t="s">
        <v>132</v>
      </c>
      <c r="E30" s="82">
        <v>317.7</v>
      </c>
      <c r="F30" s="82">
        <f>SUM(E30*52/1000)</f>
        <v>16.520399999999999</v>
      </c>
      <c r="G30" s="82">
        <v>204.44</v>
      </c>
      <c r="H30" s="86">
        <f t="shared" ref="H30:H36" si="2">SUM(F30*G30/1000)</f>
        <v>3.3774305759999996</v>
      </c>
      <c r="I30" s="13">
        <f t="shared" ref="I30:I34" si="3">F30/6*G30</f>
        <v>562.90509599999996</v>
      </c>
      <c r="J30" s="23"/>
      <c r="K30" s="8"/>
      <c r="L30" s="8"/>
      <c r="M30" s="8"/>
    </row>
    <row r="31" spans="1:13" ht="31.5" customHeight="1">
      <c r="A31" s="30">
        <v>7</v>
      </c>
      <c r="B31" s="79" t="s">
        <v>149</v>
      </c>
      <c r="C31" s="80" t="s">
        <v>116</v>
      </c>
      <c r="D31" s="79" t="s">
        <v>133</v>
      </c>
      <c r="E31" s="82">
        <v>146.1</v>
      </c>
      <c r="F31" s="82">
        <f>SUM(E31*78/1000)</f>
        <v>11.395799999999999</v>
      </c>
      <c r="G31" s="82">
        <v>339.21</v>
      </c>
      <c r="H31" s="86">
        <f t="shared" si="2"/>
        <v>3.8655693179999995</v>
      </c>
      <c r="I31" s="13">
        <f t="shared" si="3"/>
        <v>644.26155299999994</v>
      </c>
      <c r="J31" s="23"/>
      <c r="K31" s="8"/>
      <c r="L31" s="8"/>
      <c r="M31" s="8"/>
    </row>
    <row r="32" spans="1:13" ht="15.75" hidden="1" customHeight="1">
      <c r="A32" s="30">
        <v>11</v>
      </c>
      <c r="B32" s="79" t="s">
        <v>27</v>
      </c>
      <c r="C32" s="80" t="s">
        <v>116</v>
      </c>
      <c r="D32" s="79" t="s">
        <v>55</v>
      </c>
      <c r="E32" s="82">
        <f>E30</f>
        <v>317.7</v>
      </c>
      <c r="F32" s="82">
        <f>SUM(E32/1000)</f>
        <v>0.31769999999999998</v>
      </c>
      <c r="G32" s="82">
        <v>3961.23</v>
      </c>
      <c r="H32" s="86">
        <f t="shared" si="2"/>
        <v>1.2584827709999999</v>
      </c>
      <c r="I32" s="13">
        <f>F32*G32</f>
        <v>1258.482771</v>
      </c>
      <c r="J32" s="23"/>
      <c r="K32" s="8"/>
      <c r="L32" s="8"/>
      <c r="M32" s="8"/>
    </row>
    <row r="33" spans="1:14" ht="15.75" customHeight="1">
      <c r="A33" s="30">
        <v>8</v>
      </c>
      <c r="B33" s="79" t="s">
        <v>207</v>
      </c>
      <c r="C33" s="80" t="s">
        <v>41</v>
      </c>
      <c r="D33" s="79" t="s">
        <v>65</v>
      </c>
      <c r="E33" s="82">
        <v>5</v>
      </c>
      <c r="F33" s="82">
        <f>E33*155/100</f>
        <v>7.75</v>
      </c>
      <c r="G33" s="82">
        <v>1707.63</v>
      </c>
      <c r="H33" s="86">
        <f t="shared" si="2"/>
        <v>13.234132500000001</v>
      </c>
      <c r="I33" s="13">
        <f t="shared" si="3"/>
        <v>2205.6887500000003</v>
      </c>
      <c r="J33" s="23"/>
      <c r="K33" s="8"/>
      <c r="L33" s="8"/>
      <c r="M33" s="8"/>
    </row>
    <row r="34" spans="1:14" ht="15.75" customHeight="1">
      <c r="A34" s="30">
        <v>9</v>
      </c>
      <c r="B34" s="79" t="s">
        <v>117</v>
      </c>
      <c r="C34" s="80" t="s">
        <v>31</v>
      </c>
      <c r="D34" s="79" t="s">
        <v>65</v>
      </c>
      <c r="E34" s="88">
        <f>1/6</f>
        <v>0.16666666666666666</v>
      </c>
      <c r="F34" s="82">
        <f>155/6</f>
        <v>25.833333333333332</v>
      </c>
      <c r="G34" s="82">
        <v>74.349999999999994</v>
      </c>
      <c r="H34" s="86">
        <f t="shared" si="2"/>
        <v>1.920708333333333</v>
      </c>
      <c r="I34" s="13">
        <f t="shared" si="3"/>
        <v>320.11805555555554</v>
      </c>
      <c r="J34" s="23"/>
      <c r="K34" s="8"/>
      <c r="L34" s="8"/>
      <c r="M34" s="8"/>
    </row>
    <row r="35" spans="1:14" ht="15.75" hidden="1" customHeight="1">
      <c r="A35" s="30"/>
      <c r="B35" s="35" t="s">
        <v>67</v>
      </c>
      <c r="C35" s="45" t="s">
        <v>33</v>
      </c>
      <c r="D35" s="35" t="s">
        <v>69</v>
      </c>
      <c r="E35" s="144"/>
      <c r="F35" s="34">
        <v>2</v>
      </c>
      <c r="G35" s="34">
        <v>250.92</v>
      </c>
      <c r="H35" s="142">
        <f t="shared" si="2"/>
        <v>0.50183999999999995</v>
      </c>
      <c r="I35" s="13">
        <v>0</v>
      </c>
      <c r="J35" s="23"/>
      <c r="K35" s="8"/>
    </row>
    <row r="36" spans="1:14" ht="15.75" hidden="1" customHeight="1">
      <c r="A36" s="30"/>
      <c r="B36" s="35" t="s">
        <v>68</v>
      </c>
      <c r="C36" s="45" t="s">
        <v>32</v>
      </c>
      <c r="D36" s="35" t="s">
        <v>69</v>
      </c>
      <c r="E36" s="144"/>
      <c r="F36" s="34">
        <v>1</v>
      </c>
      <c r="G36" s="34">
        <v>1490.31</v>
      </c>
      <c r="H36" s="142">
        <f t="shared" si="2"/>
        <v>1.49031</v>
      </c>
      <c r="I36" s="13"/>
      <c r="J36" s="23"/>
      <c r="K36" s="8"/>
    </row>
    <row r="37" spans="1:14" ht="15.75" hidden="1" customHeight="1">
      <c r="A37" s="30"/>
      <c r="B37" s="107" t="s">
        <v>5</v>
      </c>
      <c r="C37" s="80"/>
      <c r="D37" s="79"/>
      <c r="E37" s="81"/>
      <c r="F37" s="82"/>
      <c r="G37" s="82"/>
      <c r="H37" s="86" t="s">
        <v>142</v>
      </c>
      <c r="I37" s="87"/>
      <c r="J37" s="24"/>
    </row>
    <row r="38" spans="1:14" ht="15.75" hidden="1" customHeight="1">
      <c r="A38" s="30">
        <v>9</v>
      </c>
      <c r="B38" s="79" t="s">
        <v>26</v>
      </c>
      <c r="C38" s="80" t="s">
        <v>32</v>
      </c>
      <c r="D38" s="79"/>
      <c r="E38" s="81"/>
      <c r="F38" s="82">
        <v>3</v>
      </c>
      <c r="G38" s="82">
        <v>2003</v>
      </c>
      <c r="H38" s="86">
        <f t="shared" ref="H38:H44" si="4">SUM(F38*G38/1000)</f>
        <v>6.0090000000000003</v>
      </c>
      <c r="I38" s="13">
        <f t="shared" ref="I38:I44" si="5">F38/6*G38</f>
        <v>1001.5</v>
      </c>
      <c r="J38" s="24"/>
    </row>
    <row r="39" spans="1:14" ht="15.75" hidden="1" customHeight="1">
      <c r="A39" s="30">
        <v>10</v>
      </c>
      <c r="B39" s="79" t="s">
        <v>70</v>
      </c>
      <c r="C39" s="80" t="s">
        <v>29</v>
      </c>
      <c r="D39" s="79" t="s">
        <v>208</v>
      </c>
      <c r="E39" s="82">
        <v>160.6</v>
      </c>
      <c r="F39" s="82">
        <f>SUM(E39*18/1000)</f>
        <v>2.8907999999999996</v>
      </c>
      <c r="G39" s="82">
        <v>2757.78</v>
      </c>
      <c r="H39" s="86">
        <f t="shared" si="4"/>
        <v>7.972190423999999</v>
      </c>
      <c r="I39" s="13">
        <f t="shared" si="5"/>
        <v>1328.698404</v>
      </c>
      <c r="J39" s="24"/>
    </row>
    <row r="40" spans="1:14" ht="15.75" hidden="1" customHeight="1">
      <c r="A40" s="30">
        <v>11</v>
      </c>
      <c r="B40" s="79" t="s">
        <v>71</v>
      </c>
      <c r="C40" s="80" t="s">
        <v>29</v>
      </c>
      <c r="D40" s="79" t="s">
        <v>135</v>
      </c>
      <c r="E40" s="81">
        <v>89.1</v>
      </c>
      <c r="F40" s="82">
        <f>SUM(E40*155/1000)</f>
        <v>13.810499999999999</v>
      </c>
      <c r="G40" s="82">
        <v>460.02</v>
      </c>
      <c r="H40" s="86">
        <f t="shared" si="4"/>
        <v>6.3531062099999991</v>
      </c>
      <c r="I40" s="13">
        <f t="shared" si="5"/>
        <v>1058.8510349999999</v>
      </c>
      <c r="J40" s="24"/>
    </row>
    <row r="41" spans="1:14" ht="15.75" hidden="1" customHeight="1">
      <c r="A41" s="30">
        <v>12</v>
      </c>
      <c r="B41" s="79" t="s">
        <v>209</v>
      </c>
      <c r="C41" s="80" t="s">
        <v>210</v>
      </c>
      <c r="D41" s="79" t="s">
        <v>69</v>
      </c>
      <c r="E41" s="81"/>
      <c r="F41" s="82">
        <v>39</v>
      </c>
      <c r="G41" s="82">
        <v>301.70999999999998</v>
      </c>
      <c r="H41" s="86">
        <f t="shared" si="4"/>
        <v>11.766689999999999</v>
      </c>
      <c r="I41" s="13">
        <v>0</v>
      </c>
      <c r="J41" s="24"/>
    </row>
    <row r="42" spans="1:14" ht="47.25" hidden="1" customHeight="1">
      <c r="A42" s="30">
        <v>13</v>
      </c>
      <c r="B42" s="79" t="s">
        <v>88</v>
      </c>
      <c r="C42" s="80" t="s">
        <v>116</v>
      </c>
      <c r="D42" s="79" t="s">
        <v>211</v>
      </c>
      <c r="E42" s="82">
        <v>46.5</v>
      </c>
      <c r="F42" s="82">
        <f>SUM(E42*35/1000)</f>
        <v>1.6274999999999999</v>
      </c>
      <c r="G42" s="82">
        <v>7611.16</v>
      </c>
      <c r="H42" s="86">
        <f t="shared" si="4"/>
        <v>12.3871629</v>
      </c>
      <c r="I42" s="13">
        <f t="shared" si="5"/>
        <v>2064.5271499999999</v>
      </c>
      <c r="J42" s="24"/>
      <c r="L42" s="20"/>
      <c r="M42" s="21"/>
      <c r="N42" s="22"/>
    </row>
    <row r="43" spans="1:14" ht="15.75" hidden="1" customHeight="1">
      <c r="A43" s="108">
        <v>14</v>
      </c>
      <c r="B43" s="79" t="s">
        <v>118</v>
      </c>
      <c r="C43" s="80" t="s">
        <v>116</v>
      </c>
      <c r="D43" s="79" t="s">
        <v>72</v>
      </c>
      <c r="E43" s="82">
        <v>89.1</v>
      </c>
      <c r="F43" s="82">
        <f>SUM(E43*45/1000)</f>
        <v>4.0094999999999992</v>
      </c>
      <c r="G43" s="82">
        <v>562.25</v>
      </c>
      <c r="H43" s="86">
        <f t="shared" si="4"/>
        <v>2.2543413749999996</v>
      </c>
      <c r="I43" s="13">
        <f t="shared" si="5"/>
        <v>375.72356249999996</v>
      </c>
      <c r="J43" s="24"/>
      <c r="L43" s="20"/>
      <c r="M43" s="21"/>
      <c r="N43" s="22"/>
    </row>
    <row r="44" spans="1:14" ht="15.75" hidden="1" customHeight="1">
      <c r="A44" s="145"/>
      <c r="B44" s="79" t="s">
        <v>73</v>
      </c>
      <c r="C44" s="80" t="s">
        <v>33</v>
      </c>
      <c r="D44" s="79"/>
      <c r="E44" s="81"/>
      <c r="F44" s="82">
        <v>0.9</v>
      </c>
      <c r="G44" s="82">
        <v>974.83</v>
      </c>
      <c r="H44" s="86">
        <f t="shared" si="4"/>
        <v>0.8773470000000001</v>
      </c>
      <c r="I44" s="13">
        <f t="shared" si="5"/>
        <v>146.22450000000001</v>
      </c>
      <c r="J44" s="24"/>
      <c r="L44" s="20"/>
      <c r="M44" s="21"/>
      <c r="N44" s="22"/>
    </row>
    <row r="45" spans="1:14" ht="15.75" hidden="1" customHeight="1">
      <c r="A45" s="186" t="s">
        <v>150</v>
      </c>
      <c r="B45" s="187"/>
      <c r="C45" s="187"/>
      <c r="D45" s="187"/>
      <c r="E45" s="187"/>
      <c r="F45" s="187"/>
      <c r="G45" s="187"/>
      <c r="H45" s="187"/>
      <c r="I45" s="188"/>
      <c r="J45" s="24"/>
      <c r="L45" s="20"/>
      <c r="M45" s="21"/>
      <c r="N45" s="22"/>
    </row>
    <row r="46" spans="1:14" ht="15.75" hidden="1" customHeight="1">
      <c r="A46" s="110">
        <v>12</v>
      </c>
      <c r="B46" s="35" t="s">
        <v>119</v>
      </c>
      <c r="C46" s="45" t="s">
        <v>116</v>
      </c>
      <c r="D46" s="35" t="s">
        <v>43</v>
      </c>
      <c r="E46" s="144">
        <v>1632.75</v>
      </c>
      <c r="F46" s="34">
        <f>SUM(E46*2/1000)</f>
        <v>3.2654999999999998</v>
      </c>
      <c r="G46" s="37">
        <v>1062</v>
      </c>
      <c r="H46" s="142">
        <f t="shared" ref="H46:H55" si="6">SUM(F46*G46/1000)</f>
        <v>3.4679609999999998</v>
      </c>
      <c r="I46" s="13">
        <f>F46/2*G46</f>
        <v>1733.9804999999999</v>
      </c>
      <c r="J46" s="24"/>
      <c r="L46" s="20"/>
      <c r="M46" s="21"/>
      <c r="N46" s="22"/>
    </row>
    <row r="47" spans="1:14" ht="15.75" hidden="1" customHeight="1">
      <c r="A47" s="30">
        <v>13</v>
      </c>
      <c r="B47" s="35" t="s">
        <v>36</v>
      </c>
      <c r="C47" s="45" t="s">
        <v>116</v>
      </c>
      <c r="D47" s="35" t="s">
        <v>43</v>
      </c>
      <c r="E47" s="144">
        <v>53.75</v>
      </c>
      <c r="F47" s="34">
        <f>SUM(E47*2/1000)</f>
        <v>0.1075</v>
      </c>
      <c r="G47" s="37">
        <v>759.98</v>
      </c>
      <c r="H47" s="142">
        <f t="shared" si="6"/>
        <v>8.1697850000000002E-2</v>
      </c>
      <c r="I47" s="13">
        <f t="shared" ref="I47:I54" si="7">F47/2*G47</f>
        <v>40.848925000000001</v>
      </c>
      <c r="J47" s="24"/>
      <c r="L47" s="20"/>
      <c r="M47" s="21"/>
      <c r="N47" s="22"/>
    </row>
    <row r="48" spans="1:14" ht="15.75" hidden="1" customHeight="1">
      <c r="A48" s="30">
        <v>14</v>
      </c>
      <c r="B48" s="35" t="s">
        <v>37</v>
      </c>
      <c r="C48" s="45" t="s">
        <v>116</v>
      </c>
      <c r="D48" s="35" t="s">
        <v>43</v>
      </c>
      <c r="E48" s="144">
        <v>2285.6</v>
      </c>
      <c r="F48" s="34">
        <f>SUM(E48*2/1000)</f>
        <v>4.5712000000000002</v>
      </c>
      <c r="G48" s="37">
        <v>759.98</v>
      </c>
      <c r="H48" s="142">
        <f t="shared" si="6"/>
        <v>3.4740205760000005</v>
      </c>
      <c r="I48" s="13">
        <f t="shared" si="7"/>
        <v>1737.0102880000002</v>
      </c>
      <c r="J48" s="24"/>
      <c r="L48" s="20"/>
      <c r="M48" s="21"/>
      <c r="N48" s="22"/>
    </row>
    <row r="49" spans="1:14" ht="15.75" hidden="1" customHeight="1">
      <c r="A49" s="30">
        <v>15</v>
      </c>
      <c r="B49" s="35" t="s">
        <v>38</v>
      </c>
      <c r="C49" s="45" t="s">
        <v>116</v>
      </c>
      <c r="D49" s="35" t="s">
        <v>43</v>
      </c>
      <c r="E49" s="144">
        <v>1860</v>
      </c>
      <c r="F49" s="34">
        <f>SUM(E49*2/1000)</f>
        <v>3.72</v>
      </c>
      <c r="G49" s="37">
        <v>795.82</v>
      </c>
      <c r="H49" s="142">
        <f t="shared" si="6"/>
        <v>2.9604504</v>
      </c>
      <c r="I49" s="13">
        <f t="shared" si="7"/>
        <v>1480.2252000000001</v>
      </c>
      <c r="J49" s="24"/>
      <c r="L49" s="20"/>
      <c r="M49" s="21"/>
      <c r="N49" s="22"/>
    </row>
    <row r="50" spans="1:14" ht="15.75" hidden="1" customHeight="1">
      <c r="A50" s="30">
        <v>16</v>
      </c>
      <c r="B50" s="35" t="s">
        <v>34</v>
      </c>
      <c r="C50" s="45" t="s">
        <v>35</v>
      </c>
      <c r="D50" s="35" t="s">
        <v>43</v>
      </c>
      <c r="E50" s="144">
        <v>120.5</v>
      </c>
      <c r="F50" s="34">
        <f>SUM(E50*2/100)</f>
        <v>2.41</v>
      </c>
      <c r="G50" s="37">
        <v>95.49</v>
      </c>
      <c r="H50" s="142">
        <f t="shared" si="6"/>
        <v>0.2301309</v>
      </c>
      <c r="I50" s="13">
        <f t="shared" si="7"/>
        <v>115.06545</v>
      </c>
      <c r="J50" s="24"/>
      <c r="L50" s="20"/>
      <c r="M50" s="21"/>
      <c r="N50" s="22"/>
    </row>
    <row r="51" spans="1:14" ht="15.75" hidden="1" customHeight="1">
      <c r="A51" s="30">
        <v>17</v>
      </c>
      <c r="B51" s="35" t="s">
        <v>58</v>
      </c>
      <c r="C51" s="45" t="s">
        <v>116</v>
      </c>
      <c r="D51" s="35" t="s">
        <v>153</v>
      </c>
      <c r="E51" s="144">
        <v>3053.4</v>
      </c>
      <c r="F51" s="34">
        <f>SUM(E51*5/1000)</f>
        <v>15.266999999999999</v>
      </c>
      <c r="G51" s="37">
        <v>1591.6</v>
      </c>
      <c r="H51" s="142">
        <f t="shared" si="6"/>
        <v>24.298957199999997</v>
      </c>
      <c r="I51" s="13">
        <f>F51/5*G51</f>
        <v>4859.79144</v>
      </c>
      <c r="J51" s="24"/>
      <c r="L51" s="20"/>
      <c r="M51" s="21"/>
      <c r="N51" s="22"/>
    </row>
    <row r="52" spans="1:14" ht="31.5" hidden="1" customHeight="1">
      <c r="A52" s="30"/>
      <c r="B52" s="35" t="s">
        <v>120</v>
      </c>
      <c r="C52" s="45" t="s">
        <v>116</v>
      </c>
      <c r="D52" s="35" t="s">
        <v>43</v>
      </c>
      <c r="E52" s="144">
        <f>E51</f>
        <v>3053.4</v>
      </c>
      <c r="F52" s="34">
        <f>SUM(E52*2/1000)</f>
        <v>6.1067999999999998</v>
      </c>
      <c r="G52" s="37">
        <v>1591.6</v>
      </c>
      <c r="H52" s="142">
        <f t="shared" si="6"/>
        <v>9.7195828800000008</v>
      </c>
      <c r="I52" s="13">
        <f t="shared" si="7"/>
        <v>4859.79144</v>
      </c>
      <c r="J52" s="24"/>
      <c r="L52" s="20"/>
      <c r="M52" s="21"/>
      <c r="N52" s="22"/>
    </row>
    <row r="53" spans="1:14" ht="31.5" hidden="1" customHeight="1">
      <c r="A53" s="30"/>
      <c r="B53" s="35" t="s">
        <v>143</v>
      </c>
      <c r="C53" s="45" t="s">
        <v>39</v>
      </c>
      <c r="D53" s="35" t="s">
        <v>43</v>
      </c>
      <c r="E53" s="144">
        <v>20</v>
      </c>
      <c r="F53" s="34">
        <f>SUM(E53*2/100)</f>
        <v>0.4</v>
      </c>
      <c r="G53" s="37">
        <v>3581.13</v>
      </c>
      <c r="H53" s="142">
        <f t="shared" si="6"/>
        <v>1.4324520000000003</v>
      </c>
      <c r="I53" s="13">
        <f t="shared" si="7"/>
        <v>716.22600000000011</v>
      </c>
      <c r="J53" s="24"/>
      <c r="L53" s="20"/>
      <c r="M53" s="21"/>
      <c r="N53" s="22"/>
    </row>
    <row r="54" spans="1:14" ht="15.75" hidden="1" customHeight="1">
      <c r="A54" s="30"/>
      <c r="B54" s="35" t="s">
        <v>40</v>
      </c>
      <c r="C54" s="45" t="s">
        <v>41</v>
      </c>
      <c r="D54" s="35" t="s">
        <v>43</v>
      </c>
      <c r="E54" s="144">
        <v>1</v>
      </c>
      <c r="F54" s="34">
        <v>0.02</v>
      </c>
      <c r="G54" s="37">
        <v>7412.92</v>
      </c>
      <c r="H54" s="142">
        <f t="shared" si="6"/>
        <v>0.14825839999999998</v>
      </c>
      <c r="I54" s="13">
        <f t="shared" si="7"/>
        <v>74.129199999999997</v>
      </c>
      <c r="J54" s="24"/>
      <c r="L54" s="20"/>
      <c r="M54" s="21"/>
      <c r="N54" s="22"/>
    </row>
    <row r="55" spans="1:14" ht="15.75" hidden="1" customHeight="1">
      <c r="A55" s="30">
        <v>18</v>
      </c>
      <c r="B55" s="35" t="s">
        <v>42</v>
      </c>
      <c r="C55" s="45" t="s">
        <v>97</v>
      </c>
      <c r="D55" s="35" t="s">
        <v>74</v>
      </c>
      <c r="E55" s="144">
        <v>128</v>
      </c>
      <c r="F55" s="34">
        <f>SUM(E55)*3</f>
        <v>384</v>
      </c>
      <c r="G55" s="38">
        <v>86.15</v>
      </c>
      <c r="H55" s="142">
        <f t="shared" si="6"/>
        <v>33.081600000000009</v>
      </c>
      <c r="I55" s="13">
        <f>E55*G55</f>
        <v>11027.2</v>
      </c>
      <c r="J55" s="24"/>
      <c r="L55" s="20"/>
      <c r="M55" s="21"/>
      <c r="N55" s="22"/>
    </row>
    <row r="56" spans="1:14" ht="15.75" customHeight="1">
      <c r="A56" s="180" t="s">
        <v>156</v>
      </c>
      <c r="B56" s="181"/>
      <c r="C56" s="181"/>
      <c r="D56" s="181"/>
      <c r="E56" s="181"/>
      <c r="F56" s="181"/>
      <c r="G56" s="181"/>
      <c r="H56" s="181"/>
      <c r="I56" s="182"/>
      <c r="J56" s="24"/>
      <c r="L56" s="20"/>
      <c r="M56" s="21"/>
      <c r="N56" s="22"/>
    </row>
    <row r="57" spans="1:14" ht="15.75" hidden="1" customHeight="1">
      <c r="A57" s="30"/>
      <c r="B57" s="107" t="s">
        <v>44</v>
      </c>
      <c r="C57" s="80"/>
      <c r="D57" s="79"/>
      <c r="E57" s="81"/>
      <c r="F57" s="82"/>
      <c r="G57" s="82"/>
      <c r="H57" s="86"/>
      <c r="I57" s="87"/>
      <c r="J57" s="24"/>
      <c r="L57" s="20"/>
      <c r="M57" s="21"/>
      <c r="N57" s="22"/>
    </row>
    <row r="58" spans="1:14" ht="31.5" hidden="1" customHeight="1">
      <c r="A58" s="30">
        <v>17</v>
      </c>
      <c r="B58" s="79" t="s">
        <v>121</v>
      </c>
      <c r="C58" s="80" t="s">
        <v>102</v>
      </c>
      <c r="D58" s="79" t="s">
        <v>122</v>
      </c>
      <c r="E58" s="81">
        <v>92.7</v>
      </c>
      <c r="F58" s="82">
        <f>SUM(E58*6/100)</f>
        <v>5.5620000000000003</v>
      </c>
      <c r="G58" s="13">
        <v>2431.1799999999998</v>
      </c>
      <c r="H58" s="86">
        <f>SUM(F58*G58/1000)</f>
        <v>13.522223159999999</v>
      </c>
      <c r="I58" s="13">
        <f>F58/6*G58</f>
        <v>2253.7038600000001</v>
      </c>
      <c r="J58" s="24"/>
      <c r="L58" s="20"/>
      <c r="M58" s="21"/>
      <c r="N58" s="22"/>
    </row>
    <row r="59" spans="1:14" ht="15.75" hidden="1" customHeight="1">
      <c r="A59" s="30">
        <v>19</v>
      </c>
      <c r="B59" s="79" t="s">
        <v>144</v>
      </c>
      <c r="C59" s="80" t="s">
        <v>145</v>
      </c>
      <c r="D59" s="14" t="s">
        <v>69</v>
      </c>
      <c r="E59" s="81"/>
      <c r="F59" s="82">
        <v>2</v>
      </c>
      <c r="G59" s="75">
        <v>1582.05</v>
      </c>
      <c r="H59" s="86">
        <f>SUM(F59*G59/1000)</f>
        <v>3.1640999999999999</v>
      </c>
      <c r="I59" s="13">
        <f>G59*2</f>
        <v>3164.1</v>
      </c>
      <c r="J59" s="24"/>
      <c r="L59" s="20"/>
      <c r="M59" s="21"/>
      <c r="N59" s="22"/>
    </row>
    <row r="60" spans="1:14" ht="15.75" customHeight="1">
      <c r="A60" s="30"/>
      <c r="B60" s="107" t="s">
        <v>45</v>
      </c>
      <c r="C60" s="80"/>
      <c r="D60" s="79"/>
      <c r="E60" s="81"/>
      <c r="F60" s="82"/>
      <c r="G60" s="82"/>
      <c r="H60" s="83" t="s">
        <v>142</v>
      </c>
      <c r="I60" s="87"/>
      <c r="J60" s="24"/>
      <c r="L60" s="20"/>
      <c r="M60" s="21"/>
      <c r="N60" s="22"/>
    </row>
    <row r="61" spans="1:14" ht="15.75" hidden="1" customHeight="1">
      <c r="A61" s="30"/>
      <c r="B61" s="35" t="s">
        <v>46</v>
      </c>
      <c r="C61" s="45" t="s">
        <v>102</v>
      </c>
      <c r="D61" s="35" t="s">
        <v>55</v>
      </c>
      <c r="E61" s="146">
        <v>145</v>
      </c>
      <c r="F61" s="34">
        <f>SUM(E61/100)</f>
        <v>1.45</v>
      </c>
      <c r="G61" s="37">
        <v>1040.8399999999999</v>
      </c>
      <c r="H61" s="147">
        <v>9.1679999999999993</v>
      </c>
      <c r="I61" s="13">
        <v>0</v>
      </c>
      <c r="J61" s="24"/>
      <c r="L61" s="20"/>
      <c r="M61" s="21"/>
      <c r="N61" s="22"/>
    </row>
    <row r="62" spans="1:14" ht="15.75" customHeight="1">
      <c r="A62" s="30">
        <v>10</v>
      </c>
      <c r="B62" s="148" t="s">
        <v>98</v>
      </c>
      <c r="C62" s="149" t="s">
        <v>25</v>
      </c>
      <c r="D62" s="148" t="s">
        <v>30</v>
      </c>
      <c r="E62" s="146">
        <v>255.2</v>
      </c>
      <c r="F62" s="34">
        <f>SUM(E62*12)</f>
        <v>3062.3999999999996</v>
      </c>
      <c r="G62" s="150">
        <v>2.8</v>
      </c>
      <c r="H62" s="151">
        <f>G62*F62/1000</f>
        <v>8.5747199999999992</v>
      </c>
      <c r="I62" s="13">
        <f>F62/12*G62</f>
        <v>714.55999999999983</v>
      </c>
      <c r="J62" s="24"/>
      <c r="L62" s="20"/>
      <c r="M62" s="21"/>
      <c r="N62" s="22"/>
    </row>
    <row r="63" spans="1:14" ht="15.75" customHeight="1">
      <c r="A63" s="30"/>
      <c r="B63" s="117" t="s">
        <v>47</v>
      </c>
      <c r="C63" s="94"/>
      <c r="D63" s="93"/>
      <c r="E63" s="90"/>
      <c r="F63" s="95"/>
      <c r="G63" s="95"/>
      <c r="H63" s="96" t="s">
        <v>142</v>
      </c>
      <c r="I63" s="87"/>
      <c r="J63" s="24"/>
      <c r="L63" s="20"/>
      <c r="M63" s="21"/>
      <c r="N63" s="22"/>
    </row>
    <row r="64" spans="1:14" ht="15.75" customHeight="1">
      <c r="A64" s="30">
        <v>11</v>
      </c>
      <c r="B64" s="57" t="s">
        <v>48</v>
      </c>
      <c r="C64" s="41" t="s">
        <v>97</v>
      </c>
      <c r="D64" s="40" t="s">
        <v>69</v>
      </c>
      <c r="E64" s="18">
        <v>6</v>
      </c>
      <c r="F64" s="34">
        <f>SUM(E64)</f>
        <v>6</v>
      </c>
      <c r="G64" s="37">
        <v>291.68</v>
      </c>
      <c r="H64" s="134">
        <f t="shared" ref="H64:H72" si="8">SUM(F64*G64/1000)</f>
        <v>1.7500799999999999</v>
      </c>
      <c r="I64" s="13">
        <f>G64</f>
        <v>291.68</v>
      </c>
      <c r="J64" s="24"/>
      <c r="L64" s="20"/>
    </row>
    <row r="65" spans="1:22" ht="15.75" hidden="1" customHeight="1">
      <c r="A65" s="30"/>
      <c r="B65" s="57" t="s">
        <v>49</v>
      </c>
      <c r="C65" s="41" t="s">
        <v>97</v>
      </c>
      <c r="D65" s="40" t="s">
        <v>69</v>
      </c>
      <c r="E65" s="18">
        <v>4</v>
      </c>
      <c r="F65" s="34">
        <f>SUM(E65)</f>
        <v>4</v>
      </c>
      <c r="G65" s="37">
        <v>100.01</v>
      </c>
      <c r="H65" s="134">
        <f t="shared" si="8"/>
        <v>0.40004000000000001</v>
      </c>
      <c r="I65" s="13">
        <v>0</v>
      </c>
      <c r="J65" s="24"/>
      <c r="L65" s="20"/>
    </row>
    <row r="66" spans="1:22" ht="15.75" hidden="1" customHeight="1">
      <c r="A66" s="30"/>
      <c r="B66" s="57" t="s">
        <v>50</v>
      </c>
      <c r="C66" s="43" t="s">
        <v>123</v>
      </c>
      <c r="D66" s="40" t="s">
        <v>55</v>
      </c>
      <c r="E66" s="144">
        <v>15552</v>
      </c>
      <c r="F66" s="38">
        <f>SUM(E66/100)</f>
        <v>155.52000000000001</v>
      </c>
      <c r="G66" s="37">
        <v>278.24</v>
      </c>
      <c r="H66" s="134">
        <f t="shared" si="8"/>
        <v>43.271884800000009</v>
      </c>
      <c r="I66" s="13">
        <v>0</v>
      </c>
    </row>
    <row r="67" spans="1:22" ht="15.75" hidden="1" customHeight="1">
      <c r="A67" s="30"/>
      <c r="B67" s="57" t="s">
        <v>51</v>
      </c>
      <c r="C67" s="41" t="s">
        <v>124</v>
      </c>
      <c r="D67" s="40"/>
      <c r="E67" s="144">
        <v>15552</v>
      </c>
      <c r="F67" s="37">
        <f>SUM(E67/1000)</f>
        <v>15.552</v>
      </c>
      <c r="G67" s="37">
        <v>216.68</v>
      </c>
      <c r="H67" s="134">
        <f t="shared" si="8"/>
        <v>3.3698073600000003</v>
      </c>
      <c r="I67" s="13">
        <v>0</v>
      </c>
    </row>
    <row r="68" spans="1:22" ht="15.75" hidden="1" customHeight="1">
      <c r="A68" s="30"/>
      <c r="B68" s="57" t="s">
        <v>52</v>
      </c>
      <c r="C68" s="41" t="s">
        <v>81</v>
      </c>
      <c r="D68" s="40" t="s">
        <v>55</v>
      </c>
      <c r="E68" s="144">
        <v>2432</v>
      </c>
      <c r="F68" s="37">
        <f>SUM(E68/100)</f>
        <v>24.32</v>
      </c>
      <c r="G68" s="37">
        <v>2720.94</v>
      </c>
      <c r="H68" s="134">
        <f t="shared" si="8"/>
        <v>66.173260800000008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15.75" hidden="1" customHeight="1">
      <c r="A69" s="30"/>
      <c r="B69" s="54" t="s">
        <v>75</v>
      </c>
      <c r="C69" s="41" t="s">
        <v>33</v>
      </c>
      <c r="D69" s="40"/>
      <c r="E69" s="144">
        <v>14.8</v>
      </c>
      <c r="F69" s="37">
        <f>SUM(E69)</f>
        <v>14.8</v>
      </c>
      <c r="G69" s="37">
        <v>42.61</v>
      </c>
      <c r="H69" s="134">
        <f t="shared" si="8"/>
        <v>0.63062800000000008</v>
      </c>
      <c r="I69" s="13">
        <v>0</v>
      </c>
      <c r="J69" s="26"/>
      <c r="K69" s="26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31.5" hidden="1" customHeight="1">
      <c r="A70" s="30"/>
      <c r="B70" s="54" t="s">
        <v>76</v>
      </c>
      <c r="C70" s="41" t="s">
        <v>33</v>
      </c>
      <c r="D70" s="40"/>
      <c r="E70" s="144">
        <f>E69</f>
        <v>14.8</v>
      </c>
      <c r="F70" s="37">
        <f>SUM(E70)</f>
        <v>14.8</v>
      </c>
      <c r="G70" s="37">
        <v>46.04</v>
      </c>
      <c r="H70" s="134">
        <f t="shared" si="8"/>
        <v>0.681392</v>
      </c>
      <c r="I70" s="13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15.75" hidden="1" customHeight="1">
      <c r="A71" s="30">
        <v>22</v>
      </c>
      <c r="B71" s="40" t="s">
        <v>59</v>
      </c>
      <c r="C71" s="41" t="s">
        <v>60</v>
      </c>
      <c r="D71" s="40" t="s">
        <v>55</v>
      </c>
      <c r="E71" s="18">
        <v>5</v>
      </c>
      <c r="F71" s="34">
        <f>SUM(E71)</f>
        <v>5</v>
      </c>
      <c r="G71" s="37">
        <v>65.42</v>
      </c>
      <c r="H71" s="134">
        <f t="shared" si="8"/>
        <v>0.3271</v>
      </c>
      <c r="I71" s="13">
        <f>G71*4</f>
        <v>261.68</v>
      </c>
      <c r="J71" s="5"/>
      <c r="K71" s="5"/>
      <c r="L71" s="5"/>
      <c r="M71" s="5"/>
      <c r="N71" s="5"/>
      <c r="O71" s="5"/>
      <c r="P71" s="5"/>
      <c r="Q71" s="5"/>
      <c r="R71" s="183"/>
      <c r="S71" s="183"/>
      <c r="T71" s="183"/>
      <c r="U71" s="183"/>
    </row>
    <row r="72" spans="1:22" ht="15.75" customHeight="1">
      <c r="A72" s="30">
        <v>12</v>
      </c>
      <c r="B72" s="40" t="s">
        <v>212</v>
      </c>
      <c r="C72" s="46" t="s">
        <v>213</v>
      </c>
      <c r="D72" s="40" t="s">
        <v>69</v>
      </c>
      <c r="E72" s="18">
        <f>E51</f>
        <v>3053.4</v>
      </c>
      <c r="F72" s="34">
        <f>SUM(E72*12)</f>
        <v>36640.800000000003</v>
      </c>
      <c r="G72" s="37">
        <v>2.2799999999999998</v>
      </c>
      <c r="H72" s="134">
        <f t="shared" si="8"/>
        <v>83.541024000000007</v>
      </c>
      <c r="I72" s="13">
        <f>F72/12*G72</f>
        <v>6961.7519999999995</v>
      </c>
      <c r="J72" s="5"/>
      <c r="K72" s="5"/>
      <c r="L72" s="5"/>
      <c r="M72" s="5"/>
      <c r="N72" s="5"/>
      <c r="O72" s="5"/>
      <c r="P72" s="5"/>
      <c r="Q72" s="5"/>
      <c r="R72" s="68"/>
      <c r="S72" s="68"/>
      <c r="T72" s="68"/>
      <c r="U72" s="68"/>
    </row>
    <row r="73" spans="1:22" ht="15.75" customHeight="1">
      <c r="A73" s="30"/>
      <c r="B73" s="74" t="s">
        <v>77</v>
      </c>
      <c r="C73" s="16"/>
      <c r="D73" s="14"/>
      <c r="E73" s="19"/>
      <c r="F73" s="13"/>
      <c r="G73" s="13"/>
      <c r="H73" s="97" t="s">
        <v>142</v>
      </c>
      <c r="I73" s="87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4" spans="1:22" ht="15.75" hidden="1" customHeight="1">
      <c r="A74" s="30">
        <v>19</v>
      </c>
      <c r="B74" s="40" t="s">
        <v>214</v>
      </c>
      <c r="C74" s="41" t="s">
        <v>215</v>
      </c>
      <c r="D74" s="40" t="s">
        <v>69</v>
      </c>
      <c r="E74" s="18">
        <v>1</v>
      </c>
      <c r="F74" s="37">
        <f>E74</f>
        <v>1</v>
      </c>
      <c r="G74" s="37">
        <v>1029.1199999999999</v>
      </c>
      <c r="H74" s="133">
        <f t="shared" ref="H74:H75" si="9">SUM(F74*G74/1000)</f>
        <v>1.0291199999999998</v>
      </c>
      <c r="I74" s="13">
        <v>0</v>
      </c>
    </row>
    <row r="75" spans="1:22" ht="15.75" hidden="1" customHeight="1">
      <c r="A75" s="30"/>
      <c r="B75" s="40" t="s">
        <v>216</v>
      </c>
      <c r="C75" s="41" t="s">
        <v>217</v>
      </c>
      <c r="D75" s="152"/>
      <c r="E75" s="18">
        <v>1</v>
      </c>
      <c r="F75" s="37">
        <v>1</v>
      </c>
      <c r="G75" s="37">
        <v>735</v>
      </c>
      <c r="H75" s="133">
        <f t="shared" si="9"/>
        <v>0.73499999999999999</v>
      </c>
      <c r="I75" s="13">
        <v>0</v>
      </c>
    </row>
    <row r="76" spans="1:22" ht="15.75" hidden="1" customHeight="1">
      <c r="A76" s="30"/>
      <c r="B76" s="40" t="s">
        <v>78</v>
      </c>
      <c r="C76" s="41" t="s">
        <v>79</v>
      </c>
      <c r="D76" s="40" t="s">
        <v>69</v>
      </c>
      <c r="E76" s="18">
        <v>5</v>
      </c>
      <c r="F76" s="34">
        <f>SUM(E76/10)</f>
        <v>0.5</v>
      </c>
      <c r="G76" s="37">
        <v>657.87</v>
      </c>
      <c r="H76" s="133">
        <f>SUM(F76*G76/1000)</f>
        <v>0.32893499999999998</v>
      </c>
      <c r="I76" s="13">
        <v>0</v>
      </c>
    </row>
    <row r="77" spans="1:22" ht="15.75" hidden="1" customHeight="1">
      <c r="A77" s="30"/>
      <c r="B77" s="40" t="s">
        <v>137</v>
      </c>
      <c r="C77" s="41" t="s">
        <v>97</v>
      </c>
      <c r="D77" s="40" t="s">
        <v>69</v>
      </c>
      <c r="E77" s="18">
        <v>1</v>
      </c>
      <c r="F77" s="37">
        <f>E77</f>
        <v>1</v>
      </c>
      <c r="G77" s="37">
        <v>1118.72</v>
      </c>
      <c r="H77" s="133">
        <f>SUM(F77*G77/1000)</f>
        <v>1.1187199999999999</v>
      </c>
      <c r="I77" s="13">
        <v>0</v>
      </c>
    </row>
    <row r="78" spans="1:22" ht="15.75" customHeight="1">
      <c r="A78" s="30">
        <v>13</v>
      </c>
      <c r="B78" s="135" t="s">
        <v>218</v>
      </c>
      <c r="C78" s="136" t="s">
        <v>97</v>
      </c>
      <c r="D78" s="40" t="s">
        <v>69</v>
      </c>
      <c r="E78" s="18">
        <v>2</v>
      </c>
      <c r="F78" s="34">
        <f>E78*12</f>
        <v>24</v>
      </c>
      <c r="G78" s="37">
        <v>53.42</v>
      </c>
      <c r="H78" s="133">
        <f t="shared" ref="H78:H79" si="10">SUM(F78*G78/1000)</f>
        <v>1.2820799999999999</v>
      </c>
      <c r="I78" s="13">
        <f>G78*2</f>
        <v>106.84</v>
      </c>
    </row>
    <row r="79" spans="1:22" ht="31.5" customHeight="1">
      <c r="A79" s="30">
        <v>14</v>
      </c>
      <c r="B79" s="135" t="s">
        <v>219</v>
      </c>
      <c r="C79" s="136" t="s">
        <v>97</v>
      </c>
      <c r="D79" s="40" t="s">
        <v>30</v>
      </c>
      <c r="E79" s="18">
        <v>1</v>
      </c>
      <c r="F79" s="34">
        <f>E79*12</f>
        <v>12</v>
      </c>
      <c r="G79" s="37">
        <v>1194</v>
      </c>
      <c r="H79" s="133">
        <f t="shared" si="10"/>
        <v>14.327999999999999</v>
      </c>
      <c r="I79" s="13">
        <f>G79</f>
        <v>1194</v>
      </c>
    </row>
    <row r="80" spans="1:22" ht="15.75" hidden="1" customHeight="1">
      <c r="A80" s="30"/>
      <c r="B80" s="101" t="s">
        <v>80</v>
      </c>
      <c r="C80" s="16"/>
      <c r="D80" s="14"/>
      <c r="E80" s="19"/>
      <c r="F80" s="19"/>
      <c r="G80" s="19"/>
      <c r="H80" s="19"/>
      <c r="I80" s="87"/>
    </row>
    <row r="81" spans="1:9" ht="15.75" hidden="1" customHeight="1">
      <c r="A81" s="30"/>
      <c r="B81" s="42" t="s">
        <v>127</v>
      </c>
      <c r="C81" s="43" t="s">
        <v>81</v>
      </c>
      <c r="D81" s="57"/>
      <c r="E81" s="60"/>
      <c r="F81" s="38">
        <v>0.3</v>
      </c>
      <c r="G81" s="38">
        <v>3619.09</v>
      </c>
      <c r="H81" s="134">
        <f t="shared" ref="H81" si="11">SUM(F81*G81/1000)</f>
        <v>1.0857270000000001</v>
      </c>
      <c r="I81" s="13">
        <v>0</v>
      </c>
    </row>
    <row r="82" spans="1:9" ht="15.75" hidden="1" customHeight="1">
      <c r="A82" s="30"/>
      <c r="B82" s="74" t="s">
        <v>125</v>
      </c>
      <c r="C82" s="101"/>
      <c r="D82" s="32"/>
      <c r="E82" s="33"/>
      <c r="F82" s="102"/>
      <c r="G82" s="102"/>
      <c r="H82" s="103">
        <f>SUM(H58:H81)</f>
        <v>254.48184212000004</v>
      </c>
      <c r="I82" s="85"/>
    </row>
    <row r="83" spans="1:9" ht="15.75" hidden="1" customHeight="1">
      <c r="A83" s="108"/>
      <c r="B83" s="35" t="s">
        <v>126</v>
      </c>
      <c r="C83" s="153"/>
      <c r="D83" s="154"/>
      <c r="E83" s="155"/>
      <c r="F83" s="39">
        <f>232/10</f>
        <v>23.2</v>
      </c>
      <c r="G83" s="39">
        <v>12361.2</v>
      </c>
      <c r="H83" s="134">
        <f>G83*F83/1000</f>
        <v>286.77984000000004</v>
      </c>
      <c r="I83" s="109">
        <v>0</v>
      </c>
    </row>
    <row r="84" spans="1:9" ht="15.75" customHeight="1">
      <c r="A84" s="186" t="s">
        <v>157</v>
      </c>
      <c r="B84" s="187"/>
      <c r="C84" s="187"/>
      <c r="D84" s="187"/>
      <c r="E84" s="187"/>
      <c r="F84" s="187"/>
      <c r="G84" s="187"/>
      <c r="H84" s="187"/>
      <c r="I84" s="188"/>
    </row>
    <row r="85" spans="1:9" ht="15.75" customHeight="1">
      <c r="A85" s="110">
        <v>15</v>
      </c>
      <c r="B85" s="35" t="s">
        <v>128</v>
      </c>
      <c r="C85" s="41" t="s">
        <v>56</v>
      </c>
      <c r="D85" s="122" t="s">
        <v>57</v>
      </c>
      <c r="E85" s="37">
        <v>3053.4</v>
      </c>
      <c r="F85" s="37">
        <f>SUM(E85*12)</f>
        <v>36640.800000000003</v>
      </c>
      <c r="G85" s="37">
        <v>3.1</v>
      </c>
      <c r="H85" s="134">
        <f>SUM(F85*G85/1000)</f>
        <v>113.58648000000001</v>
      </c>
      <c r="I85" s="115">
        <f>F85/12*G85</f>
        <v>9465.5400000000009</v>
      </c>
    </row>
    <row r="86" spans="1:9" ht="31.5" customHeight="1">
      <c r="A86" s="30">
        <v>16</v>
      </c>
      <c r="B86" s="40" t="s">
        <v>82</v>
      </c>
      <c r="C86" s="41"/>
      <c r="D86" s="122" t="s">
        <v>57</v>
      </c>
      <c r="E86" s="144">
        <v>3053.4</v>
      </c>
      <c r="F86" s="37">
        <f>E86*12</f>
        <v>36640.800000000003</v>
      </c>
      <c r="G86" s="37">
        <v>3.5</v>
      </c>
      <c r="H86" s="134">
        <f>F86*G86/1000</f>
        <v>128.24280000000002</v>
      </c>
      <c r="I86" s="13">
        <f>F86/12*G86</f>
        <v>10686.9</v>
      </c>
    </row>
    <row r="87" spans="1:9" ht="15.75" customHeight="1">
      <c r="A87" s="30"/>
      <c r="B87" s="44" t="s">
        <v>85</v>
      </c>
      <c r="C87" s="101"/>
      <c r="D87" s="99"/>
      <c r="E87" s="102"/>
      <c r="F87" s="102"/>
      <c r="G87" s="102"/>
      <c r="H87" s="103">
        <f>SUM(H86)</f>
        <v>128.24280000000002</v>
      </c>
      <c r="I87" s="102">
        <f>I16+I17+I18+I26+I27+I30+I31+I33+I34+I62+I64+I72+I78+I79+I85+I86</f>
        <v>56888.940414555553</v>
      </c>
    </row>
    <row r="88" spans="1:9" ht="15.75" customHeight="1">
      <c r="A88" s="169" t="s">
        <v>62</v>
      </c>
      <c r="B88" s="170"/>
      <c r="C88" s="170"/>
      <c r="D88" s="170"/>
      <c r="E88" s="170"/>
      <c r="F88" s="170"/>
      <c r="G88" s="170"/>
      <c r="H88" s="170"/>
      <c r="I88" s="171"/>
    </row>
    <row r="89" spans="1:9" ht="15.75" customHeight="1">
      <c r="A89" s="30">
        <v>17</v>
      </c>
      <c r="B89" s="135" t="s">
        <v>107</v>
      </c>
      <c r="C89" s="136" t="s">
        <v>97</v>
      </c>
      <c r="D89" s="53"/>
      <c r="E89" s="37"/>
      <c r="F89" s="37">
        <v>128</v>
      </c>
      <c r="G89" s="37">
        <v>53.42</v>
      </c>
      <c r="H89" s="134">
        <f t="shared" ref="H89" si="12">F89*G89/1000</f>
        <v>6.8377600000000003</v>
      </c>
      <c r="I89" s="13">
        <f>G89*64</f>
        <v>3418.88</v>
      </c>
    </row>
    <row r="90" spans="1:9" ht="15.75" customHeight="1">
      <c r="A90" s="30"/>
      <c r="B90" s="51" t="s">
        <v>53</v>
      </c>
      <c r="C90" s="47"/>
      <c r="D90" s="55"/>
      <c r="E90" s="47">
        <v>1</v>
      </c>
      <c r="F90" s="47"/>
      <c r="G90" s="47"/>
      <c r="H90" s="47"/>
      <c r="I90" s="33">
        <f>SUM(I89:I89)</f>
        <v>3418.88</v>
      </c>
    </row>
    <row r="91" spans="1:9" ht="15.75" customHeight="1">
      <c r="A91" s="30"/>
      <c r="B91" s="53" t="s">
        <v>83</v>
      </c>
      <c r="C91" s="15"/>
      <c r="D91" s="15"/>
      <c r="E91" s="48"/>
      <c r="F91" s="48"/>
      <c r="G91" s="49"/>
      <c r="H91" s="49"/>
      <c r="I91" s="18">
        <v>0</v>
      </c>
    </row>
    <row r="92" spans="1:9" ht="15.75" customHeight="1">
      <c r="A92" s="56"/>
      <c r="B92" s="52" t="s">
        <v>170</v>
      </c>
      <c r="C92" s="36"/>
      <c r="D92" s="36"/>
      <c r="E92" s="36"/>
      <c r="F92" s="36"/>
      <c r="G92" s="36"/>
      <c r="H92" s="36"/>
      <c r="I92" s="50">
        <f>I87+I90</f>
        <v>60307.82041455555</v>
      </c>
    </row>
    <row r="93" spans="1:9" ht="15.75">
      <c r="A93" s="184" t="s">
        <v>234</v>
      </c>
      <c r="B93" s="184"/>
      <c r="C93" s="184"/>
      <c r="D93" s="184"/>
      <c r="E93" s="184"/>
      <c r="F93" s="184"/>
      <c r="G93" s="184"/>
      <c r="H93" s="184"/>
      <c r="I93" s="184"/>
    </row>
    <row r="94" spans="1:9" ht="15.75">
      <c r="A94" s="70"/>
      <c r="B94" s="193" t="s">
        <v>235</v>
      </c>
      <c r="C94" s="193"/>
      <c r="D94" s="193"/>
      <c r="E94" s="193"/>
      <c r="F94" s="193"/>
      <c r="G94" s="193"/>
      <c r="H94" s="78"/>
      <c r="I94" s="3"/>
    </row>
    <row r="95" spans="1:9">
      <c r="A95" s="68"/>
      <c r="B95" s="190" t="s">
        <v>6</v>
      </c>
      <c r="C95" s="190"/>
      <c r="D95" s="190"/>
      <c r="E95" s="190"/>
      <c r="F95" s="190"/>
      <c r="G95" s="190"/>
      <c r="H95" s="25"/>
      <c r="I95" s="5"/>
    </row>
    <row r="96" spans="1:9" ht="15.75" customHeight="1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 customHeight="1">
      <c r="A97" s="194" t="s">
        <v>7</v>
      </c>
      <c r="B97" s="194"/>
      <c r="C97" s="194"/>
      <c r="D97" s="194"/>
      <c r="E97" s="194"/>
      <c r="F97" s="194"/>
      <c r="G97" s="194"/>
      <c r="H97" s="194"/>
      <c r="I97" s="194"/>
    </row>
    <row r="98" spans="1:9" ht="15.75" customHeight="1">
      <c r="A98" s="194" t="s">
        <v>8</v>
      </c>
      <c r="B98" s="194"/>
      <c r="C98" s="194"/>
      <c r="D98" s="194"/>
      <c r="E98" s="194"/>
      <c r="F98" s="194"/>
      <c r="G98" s="194"/>
      <c r="H98" s="194"/>
      <c r="I98" s="194"/>
    </row>
    <row r="99" spans="1:9" ht="15.75" customHeight="1">
      <c r="A99" s="177" t="s">
        <v>63</v>
      </c>
      <c r="B99" s="177"/>
      <c r="C99" s="177"/>
      <c r="D99" s="177"/>
      <c r="E99" s="177"/>
      <c r="F99" s="177"/>
      <c r="G99" s="177"/>
      <c r="H99" s="177"/>
      <c r="I99" s="177"/>
    </row>
    <row r="100" spans="1:9" ht="15.75" customHeight="1">
      <c r="A100" s="11"/>
    </row>
    <row r="101" spans="1:9" ht="15.75" customHeight="1">
      <c r="A101" s="178" t="s">
        <v>9</v>
      </c>
      <c r="B101" s="178"/>
      <c r="C101" s="178"/>
      <c r="D101" s="178"/>
      <c r="E101" s="178"/>
      <c r="F101" s="178"/>
      <c r="G101" s="178"/>
      <c r="H101" s="178"/>
      <c r="I101" s="178"/>
    </row>
    <row r="102" spans="1:9" ht="15.75" customHeight="1">
      <c r="A102" s="4"/>
    </row>
    <row r="103" spans="1:9" ht="15.75" customHeight="1">
      <c r="B103" s="69" t="s">
        <v>10</v>
      </c>
      <c r="C103" s="189" t="s">
        <v>96</v>
      </c>
      <c r="D103" s="189"/>
      <c r="E103" s="189"/>
      <c r="F103" s="76"/>
      <c r="I103" s="72"/>
    </row>
    <row r="104" spans="1:9" ht="15.75" customHeight="1">
      <c r="A104" s="68"/>
      <c r="C104" s="190" t="s">
        <v>11</v>
      </c>
      <c r="D104" s="190"/>
      <c r="E104" s="190"/>
      <c r="F104" s="25"/>
      <c r="I104" s="71" t="s">
        <v>12</v>
      </c>
    </row>
    <row r="105" spans="1:9" ht="15.75" customHeight="1">
      <c r="A105" s="26"/>
      <c r="C105" s="12"/>
      <c r="D105" s="12"/>
      <c r="G105" s="12"/>
      <c r="H105" s="12"/>
    </row>
    <row r="106" spans="1:9" ht="15.75" customHeight="1">
      <c r="B106" s="69" t="s">
        <v>13</v>
      </c>
      <c r="C106" s="191"/>
      <c r="D106" s="191"/>
      <c r="E106" s="191"/>
      <c r="F106" s="77"/>
      <c r="I106" s="72"/>
    </row>
    <row r="107" spans="1:9" ht="15.75" customHeight="1">
      <c r="A107" s="68"/>
      <c r="C107" s="183" t="s">
        <v>11</v>
      </c>
      <c r="D107" s="183"/>
      <c r="E107" s="183"/>
      <c r="F107" s="68"/>
      <c r="I107" s="71" t="s">
        <v>12</v>
      </c>
    </row>
    <row r="108" spans="1:9" ht="15.75" customHeight="1">
      <c r="A108" s="4" t="s">
        <v>14</v>
      </c>
    </row>
    <row r="109" spans="1:9">
      <c r="A109" s="192" t="s">
        <v>15</v>
      </c>
      <c r="B109" s="192"/>
      <c r="C109" s="192"/>
      <c r="D109" s="192"/>
      <c r="E109" s="192"/>
      <c r="F109" s="192"/>
      <c r="G109" s="192"/>
      <c r="H109" s="192"/>
      <c r="I109" s="192"/>
    </row>
    <row r="110" spans="1:9" ht="45" customHeight="1">
      <c r="A110" s="185" t="s">
        <v>16</v>
      </c>
      <c r="B110" s="185"/>
      <c r="C110" s="185"/>
      <c r="D110" s="185"/>
      <c r="E110" s="185"/>
      <c r="F110" s="185"/>
      <c r="G110" s="185"/>
      <c r="H110" s="185"/>
      <c r="I110" s="185"/>
    </row>
    <row r="111" spans="1:9" ht="30" customHeight="1">
      <c r="A111" s="185" t="s">
        <v>17</v>
      </c>
      <c r="B111" s="185"/>
      <c r="C111" s="185"/>
      <c r="D111" s="185"/>
      <c r="E111" s="185"/>
      <c r="F111" s="185"/>
      <c r="G111" s="185"/>
      <c r="H111" s="185"/>
      <c r="I111" s="185"/>
    </row>
    <row r="112" spans="1:9" ht="30" customHeight="1">
      <c r="A112" s="185" t="s">
        <v>21</v>
      </c>
      <c r="B112" s="185"/>
      <c r="C112" s="185"/>
      <c r="D112" s="185"/>
      <c r="E112" s="185"/>
      <c r="F112" s="185"/>
      <c r="G112" s="185"/>
      <c r="H112" s="185"/>
      <c r="I112" s="185"/>
    </row>
    <row r="113" spans="1:9" ht="15" customHeight="1">
      <c r="A113" s="185" t="s">
        <v>20</v>
      </c>
      <c r="B113" s="185"/>
      <c r="C113" s="185"/>
      <c r="D113" s="185"/>
      <c r="E113" s="185"/>
      <c r="F113" s="185"/>
      <c r="G113" s="185"/>
      <c r="H113" s="185"/>
      <c r="I113" s="185"/>
    </row>
  </sheetData>
  <autoFilter ref="I12:I66"/>
  <mergeCells count="29">
    <mergeCell ref="A14:I14"/>
    <mergeCell ref="A15:I15"/>
    <mergeCell ref="A28:I28"/>
    <mergeCell ref="A45:I45"/>
    <mergeCell ref="A56:I56"/>
    <mergeCell ref="A3:I3"/>
    <mergeCell ref="A4:I4"/>
    <mergeCell ref="A5:I5"/>
    <mergeCell ref="A8:I8"/>
    <mergeCell ref="A10:I10"/>
    <mergeCell ref="R71:U71"/>
    <mergeCell ref="C107:E107"/>
    <mergeCell ref="A88:I88"/>
    <mergeCell ref="A93:I93"/>
    <mergeCell ref="B94:G94"/>
    <mergeCell ref="B95:G95"/>
    <mergeCell ref="A97:I97"/>
    <mergeCell ref="A98:I98"/>
    <mergeCell ref="A99:I99"/>
    <mergeCell ref="A101:I101"/>
    <mergeCell ref="C103:E103"/>
    <mergeCell ref="C104:E104"/>
    <mergeCell ref="C106:E106"/>
    <mergeCell ref="A84:I84"/>
    <mergeCell ref="A109:I109"/>
    <mergeCell ref="A110:I110"/>
    <mergeCell ref="A111:I111"/>
    <mergeCell ref="A112:I112"/>
    <mergeCell ref="A113:I113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9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91</v>
      </c>
      <c r="I1" s="27"/>
      <c r="J1" s="1"/>
      <c r="K1" s="1"/>
      <c r="L1" s="1"/>
      <c r="M1" s="1"/>
    </row>
    <row r="2" spans="1:13" ht="15.75" customHeight="1">
      <c r="A2" s="29" t="s">
        <v>64</v>
      </c>
      <c r="J2" s="2"/>
      <c r="K2" s="2"/>
      <c r="L2" s="2"/>
      <c r="M2" s="2"/>
    </row>
    <row r="3" spans="1:13" ht="15.75" customHeight="1">
      <c r="A3" s="172" t="s">
        <v>236</v>
      </c>
      <c r="B3" s="172"/>
      <c r="C3" s="172"/>
      <c r="D3" s="172"/>
      <c r="E3" s="172"/>
      <c r="F3" s="172"/>
      <c r="G3" s="172"/>
      <c r="H3" s="172"/>
      <c r="I3" s="172"/>
      <c r="J3" s="3"/>
      <c r="K3" s="3"/>
      <c r="L3" s="3"/>
    </row>
    <row r="4" spans="1:13" ht="31.5" customHeight="1">
      <c r="A4" s="173" t="s">
        <v>129</v>
      </c>
      <c r="B4" s="173"/>
      <c r="C4" s="173"/>
      <c r="D4" s="173"/>
      <c r="E4" s="173"/>
      <c r="F4" s="173"/>
      <c r="G4" s="173"/>
      <c r="H4" s="173"/>
      <c r="I4" s="173"/>
    </row>
    <row r="5" spans="1:13" ht="15.75" customHeight="1">
      <c r="A5" s="172" t="s">
        <v>237</v>
      </c>
      <c r="B5" s="174"/>
      <c r="C5" s="174"/>
      <c r="D5" s="174"/>
      <c r="E5" s="174"/>
      <c r="F5" s="174"/>
      <c r="G5" s="174"/>
      <c r="H5" s="174"/>
      <c r="I5" s="174"/>
      <c r="J5" s="2"/>
      <c r="K5" s="2"/>
      <c r="L5" s="2"/>
      <c r="M5" s="2"/>
    </row>
    <row r="6" spans="1:13" ht="15.75" customHeight="1">
      <c r="A6" s="2"/>
      <c r="B6" s="131"/>
      <c r="C6" s="131"/>
      <c r="D6" s="131"/>
      <c r="E6" s="131"/>
      <c r="F6" s="131"/>
      <c r="G6" s="131"/>
      <c r="H6" s="131"/>
      <c r="I6" s="31">
        <v>43069</v>
      </c>
      <c r="J6" s="2"/>
      <c r="K6" s="2"/>
      <c r="L6" s="2"/>
      <c r="M6" s="2"/>
    </row>
    <row r="7" spans="1:13" ht="15.75" customHeight="1">
      <c r="B7" s="130"/>
      <c r="C7" s="130"/>
      <c r="D7" s="13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75" t="s">
        <v>204</v>
      </c>
      <c r="B8" s="175"/>
      <c r="C8" s="175"/>
      <c r="D8" s="175"/>
      <c r="E8" s="175"/>
      <c r="F8" s="175"/>
      <c r="G8" s="175"/>
      <c r="H8" s="175"/>
      <c r="I8" s="17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76" t="s">
        <v>247</v>
      </c>
      <c r="B10" s="176"/>
      <c r="C10" s="176"/>
      <c r="D10" s="176"/>
      <c r="E10" s="176"/>
      <c r="F10" s="176"/>
      <c r="G10" s="176"/>
      <c r="H10" s="176"/>
      <c r="I10" s="17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68" t="s">
        <v>61</v>
      </c>
      <c r="B14" s="168"/>
      <c r="C14" s="168"/>
      <c r="D14" s="168"/>
      <c r="E14" s="168"/>
      <c r="F14" s="168"/>
      <c r="G14" s="168"/>
      <c r="H14" s="168"/>
      <c r="I14" s="168"/>
      <c r="J14" s="8"/>
      <c r="K14" s="8"/>
      <c r="L14" s="8"/>
      <c r="M14" s="8"/>
    </row>
    <row r="15" spans="1:13" ht="15.75" customHeight="1">
      <c r="A15" s="179" t="s">
        <v>4</v>
      </c>
      <c r="B15" s="179"/>
      <c r="C15" s="179"/>
      <c r="D15" s="179"/>
      <c r="E15" s="179"/>
      <c r="F15" s="179"/>
      <c r="G15" s="179"/>
      <c r="H15" s="179"/>
      <c r="I15" s="179"/>
      <c r="J15" s="8"/>
      <c r="K15" s="8"/>
      <c r="L15" s="8"/>
      <c r="M15" s="8"/>
    </row>
    <row r="16" spans="1:13" ht="15.75" customHeight="1">
      <c r="A16" s="30">
        <v>1</v>
      </c>
      <c r="B16" s="79" t="s">
        <v>92</v>
      </c>
      <c r="C16" s="80" t="s">
        <v>102</v>
      </c>
      <c r="D16" s="79" t="s">
        <v>130</v>
      </c>
      <c r="E16" s="81">
        <v>92.5</v>
      </c>
      <c r="F16" s="82">
        <f>SUM(E16*156/100)</f>
        <v>144.30000000000001</v>
      </c>
      <c r="G16" s="82">
        <v>230</v>
      </c>
      <c r="H16" s="86">
        <f t="shared" ref="H16:H25" si="0">SUM(F16*G16/1000)</f>
        <v>33.189</v>
      </c>
      <c r="I16" s="13">
        <f>F16/12*G16</f>
        <v>2765.75</v>
      </c>
      <c r="J16" s="8"/>
      <c r="K16" s="8"/>
      <c r="L16" s="8"/>
      <c r="M16" s="8"/>
    </row>
    <row r="17" spans="1:13" ht="15.75" customHeight="1">
      <c r="A17" s="30">
        <v>2</v>
      </c>
      <c r="B17" s="79" t="s">
        <v>93</v>
      </c>
      <c r="C17" s="80" t="s">
        <v>102</v>
      </c>
      <c r="D17" s="79" t="s">
        <v>131</v>
      </c>
      <c r="E17" s="81">
        <v>288.8</v>
      </c>
      <c r="F17" s="82">
        <f>SUM(E17*104/100)</f>
        <v>300.35200000000003</v>
      </c>
      <c r="G17" s="82">
        <v>230</v>
      </c>
      <c r="H17" s="86">
        <f t="shared" si="0"/>
        <v>69.080960000000005</v>
      </c>
      <c r="I17" s="13">
        <f>F17/12*G17</f>
        <v>5756.7466666666678</v>
      </c>
      <c r="J17" s="23"/>
      <c r="K17" s="8"/>
      <c r="L17" s="8"/>
      <c r="M17" s="8"/>
    </row>
    <row r="18" spans="1:13" ht="15.75" customHeight="1">
      <c r="A18" s="30">
        <v>3</v>
      </c>
      <c r="B18" s="79" t="s">
        <v>94</v>
      </c>
      <c r="C18" s="80" t="s">
        <v>102</v>
      </c>
      <c r="D18" s="79" t="s">
        <v>167</v>
      </c>
      <c r="E18" s="81">
        <f>SUM(E16+E17)</f>
        <v>381.3</v>
      </c>
      <c r="F18" s="82">
        <f>SUM(E18*12/100)</f>
        <v>45.756</v>
      </c>
      <c r="G18" s="82">
        <v>661.67</v>
      </c>
      <c r="H18" s="86">
        <f t="shared" si="0"/>
        <v>30.275372519999998</v>
      </c>
      <c r="I18" s="13">
        <f>F18/12*G18</f>
        <v>2522.9477099999999</v>
      </c>
      <c r="J18" s="23"/>
      <c r="K18" s="8"/>
      <c r="L18" s="8"/>
      <c r="M18" s="8"/>
    </row>
    <row r="19" spans="1:13" ht="15.75" hidden="1" customHeight="1">
      <c r="A19" s="30">
        <v>4</v>
      </c>
      <c r="B19" s="79" t="s">
        <v>112</v>
      </c>
      <c r="C19" s="80" t="s">
        <v>113</v>
      </c>
      <c r="D19" s="79" t="s">
        <v>114</v>
      </c>
      <c r="E19" s="81">
        <v>19.2</v>
      </c>
      <c r="F19" s="82">
        <f>SUM(E19/10)</f>
        <v>1.92</v>
      </c>
      <c r="G19" s="82">
        <v>223.17</v>
      </c>
      <c r="H19" s="86">
        <f t="shared" si="0"/>
        <v>0.42848639999999993</v>
      </c>
      <c r="I19" s="13">
        <v>0</v>
      </c>
      <c r="J19" s="23"/>
      <c r="K19" s="8"/>
      <c r="L19" s="8"/>
      <c r="M19" s="8"/>
    </row>
    <row r="20" spans="1:13" ht="15.75" hidden="1" customHeight="1">
      <c r="A20" s="30">
        <v>4</v>
      </c>
      <c r="B20" s="79" t="s">
        <v>101</v>
      </c>
      <c r="C20" s="80" t="s">
        <v>102</v>
      </c>
      <c r="D20" s="79" t="s">
        <v>205</v>
      </c>
      <c r="E20" s="81">
        <v>27.3</v>
      </c>
      <c r="F20" s="82">
        <f>SUM(E20*2/100)</f>
        <v>0.54600000000000004</v>
      </c>
      <c r="G20" s="82">
        <v>285.76</v>
      </c>
      <c r="H20" s="86">
        <f t="shared" si="0"/>
        <v>0.15602495999999999</v>
      </c>
      <c r="I20" s="13">
        <f>F20/2*G20</f>
        <v>78.012479999999996</v>
      </c>
      <c r="J20" s="23"/>
      <c r="K20" s="8"/>
      <c r="L20" s="8"/>
      <c r="M20" s="8"/>
    </row>
    <row r="21" spans="1:13" ht="15.75" hidden="1" customHeight="1">
      <c r="A21" s="30">
        <v>5</v>
      </c>
      <c r="B21" s="79" t="s">
        <v>109</v>
      </c>
      <c r="C21" s="80" t="s">
        <v>102</v>
      </c>
      <c r="D21" s="79" t="s">
        <v>205</v>
      </c>
      <c r="E21" s="81">
        <v>9.08</v>
      </c>
      <c r="F21" s="82">
        <f>SUM(E21*2/100)</f>
        <v>0.18160000000000001</v>
      </c>
      <c r="G21" s="82">
        <v>283.44</v>
      </c>
      <c r="H21" s="86">
        <f>SUM(F21*G21/1000)</f>
        <v>5.1472704000000001E-2</v>
      </c>
      <c r="I21" s="13">
        <f>F21/2*G21</f>
        <v>25.736352</v>
      </c>
      <c r="J21" s="23"/>
      <c r="K21" s="8"/>
      <c r="L21" s="8"/>
      <c r="M21" s="8"/>
    </row>
    <row r="22" spans="1:13" ht="15.75" hidden="1" customHeight="1">
      <c r="A22" s="30">
        <v>7</v>
      </c>
      <c r="B22" s="79" t="s">
        <v>103</v>
      </c>
      <c r="C22" s="80" t="s">
        <v>54</v>
      </c>
      <c r="D22" s="79" t="s">
        <v>114</v>
      </c>
      <c r="E22" s="84">
        <v>30</v>
      </c>
      <c r="F22" s="82">
        <f>SUM(E22/100)</f>
        <v>0.3</v>
      </c>
      <c r="G22" s="82">
        <v>58.08</v>
      </c>
      <c r="H22" s="86">
        <f t="shared" si="0"/>
        <v>1.7423999999999999E-2</v>
      </c>
      <c r="I22" s="13">
        <v>0</v>
      </c>
      <c r="J22" s="23"/>
      <c r="K22" s="8"/>
      <c r="L22" s="8"/>
      <c r="M22" s="8"/>
    </row>
    <row r="23" spans="1:13" ht="15.75" hidden="1" customHeight="1">
      <c r="A23" s="30">
        <v>6</v>
      </c>
      <c r="B23" s="79" t="s">
        <v>104</v>
      </c>
      <c r="C23" s="80" t="s">
        <v>54</v>
      </c>
      <c r="D23" s="79" t="s">
        <v>114</v>
      </c>
      <c r="E23" s="81">
        <v>20</v>
      </c>
      <c r="F23" s="82">
        <f>SUM(E23/100)</f>
        <v>0.2</v>
      </c>
      <c r="G23" s="82">
        <v>511.12</v>
      </c>
      <c r="H23" s="86">
        <f t="shared" si="0"/>
        <v>0.10222400000000001</v>
      </c>
      <c r="I23" s="13">
        <v>0</v>
      </c>
      <c r="J23" s="23"/>
      <c r="K23" s="8"/>
      <c r="L23" s="8"/>
      <c r="M23" s="8"/>
    </row>
    <row r="24" spans="1:13" ht="15.75" hidden="1" customHeight="1">
      <c r="A24" s="30">
        <v>9</v>
      </c>
      <c r="B24" s="79" t="s">
        <v>106</v>
      </c>
      <c r="C24" s="80" t="s">
        <v>54</v>
      </c>
      <c r="D24" s="79" t="s">
        <v>114</v>
      </c>
      <c r="E24" s="81">
        <v>8.5</v>
      </c>
      <c r="F24" s="82">
        <f>SUM(E24/100)</f>
        <v>8.5000000000000006E-2</v>
      </c>
      <c r="G24" s="82">
        <v>683.05</v>
      </c>
      <c r="H24" s="86">
        <f t="shared" si="0"/>
        <v>5.805925E-2</v>
      </c>
      <c r="I24" s="13">
        <v>0</v>
      </c>
      <c r="J24" s="23"/>
      <c r="K24" s="8"/>
      <c r="L24" s="8"/>
      <c r="M24" s="8"/>
    </row>
    <row r="25" spans="1:13" ht="15.75" hidden="1" customHeight="1">
      <c r="A25" s="108">
        <v>7</v>
      </c>
      <c r="B25" s="93" t="s">
        <v>110</v>
      </c>
      <c r="C25" s="94" t="s">
        <v>54</v>
      </c>
      <c r="D25" s="93" t="s">
        <v>55</v>
      </c>
      <c r="E25" s="90">
        <v>20</v>
      </c>
      <c r="F25" s="95">
        <f>SUM(E25/100)</f>
        <v>0.2</v>
      </c>
      <c r="G25" s="95">
        <v>283.44</v>
      </c>
      <c r="H25" s="91">
        <f t="shared" si="0"/>
        <v>5.6688000000000002E-2</v>
      </c>
      <c r="I25" s="13">
        <v>0</v>
      </c>
      <c r="J25" s="23"/>
      <c r="K25" s="8"/>
      <c r="L25" s="8"/>
      <c r="M25" s="8"/>
    </row>
    <row r="26" spans="1:13" ht="15.75" customHeight="1">
      <c r="A26" s="30">
        <v>4</v>
      </c>
      <c r="B26" s="35" t="s">
        <v>66</v>
      </c>
      <c r="C26" s="45" t="s">
        <v>33</v>
      </c>
      <c r="D26" s="35" t="s">
        <v>206</v>
      </c>
      <c r="E26" s="141">
        <v>0.05</v>
      </c>
      <c r="F26" s="34">
        <f>SUM(E26*182)</f>
        <v>9.1</v>
      </c>
      <c r="G26" s="34">
        <v>264.85000000000002</v>
      </c>
      <c r="H26" s="142">
        <f t="shared" ref="H26:H27" si="1">SUM(F26*G26/1000)</f>
        <v>2.4101350000000004</v>
      </c>
      <c r="I26" s="13">
        <f>F26/12*G26</f>
        <v>200.84458333333333</v>
      </c>
      <c r="J26" s="24"/>
    </row>
    <row r="27" spans="1:13" ht="15.75" customHeight="1">
      <c r="A27" s="30">
        <v>5</v>
      </c>
      <c r="B27" s="143" t="s">
        <v>23</v>
      </c>
      <c r="C27" s="45" t="s">
        <v>24</v>
      </c>
      <c r="D27" s="35"/>
      <c r="E27" s="144">
        <v>3053.4</v>
      </c>
      <c r="F27" s="34">
        <f>SUM(E27*12)</f>
        <v>36640.800000000003</v>
      </c>
      <c r="G27" s="34">
        <v>4.09</v>
      </c>
      <c r="H27" s="142">
        <f t="shared" si="1"/>
        <v>149.860872</v>
      </c>
      <c r="I27" s="13">
        <f>F27/12*G27</f>
        <v>12488.405999999999</v>
      </c>
      <c r="J27" s="24"/>
    </row>
    <row r="28" spans="1:13" ht="15.75" customHeight="1">
      <c r="A28" s="179" t="s">
        <v>168</v>
      </c>
      <c r="B28" s="179"/>
      <c r="C28" s="179"/>
      <c r="D28" s="179"/>
      <c r="E28" s="179"/>
      <c r="F28" s="179"/>
      <c r="G28" s="179"/>
      <c r="H28" s="179"/>
      <c r="I28" s="179"/>
      <c r="J28" s="23"/>
      <c r="K28" s="8"/>
      <c r="L28" s="8"/>
      <c r="M28" s="8"/>
    </row>
    <row r="29" spans="1:13" ht="15.75" hidden="1" customHeight="1">
      <c r="A29" s="110"/>
      <c r="B29" s="124" t="s">
        <v>28</v>
      </c>
      <c r="C29" s="112"/>
      <c r="D29" s="111"/>
      <c r="E29" s="113"/>
      <c r="F29" s="114"/>
      <c r="G29" s="114"/>
      <c r="H29" s="125"/>
      <c r="I29" s="126"/>
      <c r="J29" s="23"/>
      <c r="K29" s="8"/>
      <c r="L29" s="8"/>
      <c r="M29" s="8"/>
    </row>
    <row r="30" spans="1:13" ht="15.75" hidden="1" customHeight="1">
      <c r="A30" s="30">
        <v>6</v>
      </c>
      <c r="B30" s="79" t="s">
        <v>115</v>
      </c>
      <c r="C30" s="80" t="s">
        <v>116</v>
      </c>
      <c r="D30" s="79" t="s">
        <v>132</v>
      </c>
      <c r="E30" s="82">
        <v>317.7</v>
      </c>
      <c r="F30" s="82">
        <f>SUM(E30*52/1000)</f>
        <v>16.520399999999999</v>
      </c>
      <c r="G30" s="82">
        <v>204.44</v>
      </c>
      <c r="H30" s="86">
        <f t="shared" ref="H30:H36" si="2">SUM(F30*G30/1000)</f>
        <v>3.3774305759999996</v>
      </c>
      <c r="I30" s="13">
        <f t="shared" ref="I30:I34" si="3">F30/6*G30</f>
        <v>562.90509599999996</v>
      </c>
      <c r="J30" s="23"/>
      <c r="K30" s="8"/>
      <c r="L30" s="8"/>
      <c r="M30" s="8"/>
    </row>
    <row r="31" spans="1:13" ht="31.5" hidden="1" customHeight="1">
      <c r="A31" s="30">
        <v>7</v>
      </c>
      <c r="B31" s="79" t="s">
        <v>149</v>
      </c>
      <c r="C31" s="80" t="s">
        <v>116</v>
      </c>
      <c r="D31" s="79" t="s">
        <v>133</v>
      </c>
      <c r="E31" s="82">
        <v>146.1</v>
      </c>
      <c r="F31" s="82">
        <f>SUM(E31*78/1000)</f>
        <v>11.395799999999999</v>
      </c>
      <c r="G31" s="82">
        <v>339.21</v>
      </c>
      <c r="H31" s="86">
        <f t="shared" si="2"/>
        <v>3.8655693179999995</v>
      </c>
      <c r="I31" s="13">
        <f t="shared" si="3"/>
        <v>644.26155299999994</v>
      </c>
      <c r="J31" s="23"/>
      <c r="K31" s="8"/>
      <c r="L31" s="8"/>
      <c r="M31" s="8"/>
    </row>
    <row r="32" spans="1:13" ht="15.75" hidden="1" customHeight="1">
      <c r="A32" s="30">
        <v>11</v>
      </c>
      <c r="B32" s="79" t="s">
        <v>27</v>
      </c>
      <c r="C32" s="80" t="s">
        <v>116</v>
      </c>
      <c r="D32" s="79" t="s">
        <v>55</v>
      </c>
      <c r="E32" s="82">
        <f>E30</f>
        <v>317.7</v>
      </c>
      <c r="F32" s="82">
        <f>SUM(E32/1000)</f>
        <v>0.31769999999999998</v>
      </c>
      <c r="G32" s="82">
        <v>3961.23</v>
      </c>
      <c r="H32" s="86">
        <f t="shared" si="2"/>
        <v>1.2584827709999999</v>
      </c>
      <c r="I32" s="13">
        <f>F32*G32</f>
        <v>1258.482771</v>
      </c>
      <c r="J32" s="23"/>
      <c r="K32" s="8"/>
      <c r="L32" s="8"/>
      <c r="M32" s="8"/>
    </row>
    <row r="33" spans="1:14" ht="15.75" hidden="1" customHeight="1">
      <c r="A33" s="30">
        <v>8</v>
      </c>
      <c r="B33" s="79" t="s">
        <v>207</v>
      </c>
      <c r="C33" s="80" t="s">
        <v>41</v>
      </c>
      <c r="D33" s="79" t="s">
        <v>65</v>
      </c>
      <c r="E33" s="82">
        <v>5</v>
      </c>
      <c r="F33" s="82">
        <f>E33*155/100</f>
        <v>7.75</v>
      </c>
      <c r="G33" s="82">
        <v>1707.63</v>
      </c>
      <c r="H33" s="86">
        <f t="shared" si="2"/>
        <v>13.234132500000001</v>
      </c>
      <c r="I33" s="13">
        <f t="shared" si="3"/>
        <v>2205.6887500000003</v>
      </c>
      <c r="J33" s="23"/>
      <c r="K33" s="8"/>
      <c r="L33" s="8"/>
      <c r="M33" s="8"/>
    </row>
    <row r="34" spans="1:14" ht="15.75" hidden="1" customHeight="1">
      <c r="A34" s="30">
        <v>9</v>
      </c>
      <c r="B34" s="79" t="s">
        <v>117</v>
      </c>
      <c r="C34" s="80" t="s">
        <v>31</v>
      </c>
      <c r="D34" s="79" t="s">
        <v>65</v>
      </c>
      <c r="E34" s="88">
        <f>1/6</f>
        <v>0.16666666666666666</v>
      </c>
      <c r="F34" s="82">
        <f>155/6</f>
        <v>25.833333333333332</v>
      </c>
      <c r="G34" s="82">
        <v>74.349999999999994</v>
      </c>
      <c r="H34" s="86">
        <f t="shared" si="2"/>
        <v>1.920708333333333</v>
      </c>
      <c r="I34" s="13">
        <f t="shared" si="3"/>
        <v>320.11805555555554</v>
      </c>
      <c r="J34" s="23"/>
      <c r="K34" s="8"/>
      <c r="L34" s="8"/>
      <c r="M34" s="8"/>
    </row>
    <row r="35" spans="1:14" ht="15.75" hidden="1" customHeight="1">
      <c r="A35" s="30"/>
      <c r="B35" s="35" t="s">
        <v>67</v>
      </c>
      <c r="C35" s="45" t="s">
        <v>33</v>
      </c>
      <c r="D35" s="35" t="s">
        <v>69</v>
      </c>
      <c r="E35" s="144"/>
      <c r="F35" s="34">
        <v>2</v>
      </c>
      <c r="G35" s="34">
        <v>250.92</v>
      </c>
      <c r="H35" s="142">
        <f t="shared" si="2"/>
        <v>0.50183999999999995</v>
      </c>
      <c r="I35" s="13">
        <v>0</v>
      </c>
      <c r="J35" s="23"/>
      <c r="K35" s="8"/>
    </row>
    <row r="36" spans="1:14" ht="15.75" hidden="1" customHeight="1">
      <c r="A36" s="30"/>
      <c r="B36" s="35" t="s">
        <v>68</v>
      </c>
      <c r="C36" s="45" t="s">
        <v>32</v>
      </c>
      <c r="D36" s="35" t="s">
        <v>69</v>
      </c>
      <c r="E36" s="144"/>
      <c r="F36" s="34">
        <v>1</v>
      </c>
      <c r="G36" s="34">
        <v>1490.31</v>
      </c>
      <c r="H36" s="142">
        <f t="shared" si="2"/>
        <v>1.49031</v>
      </c>
      <c r="I36" s="13"/>
      <c r="J36" s="23"/>
      <c r="K36" s="8"/>
    </row>
    <row r="37" spans="1:14" ht="15.75" customHeight="1">
      <c r="A37" s="30"/>
      <c r="B37" s="107" t="s">
        <v>5</v>
      </c>
      <c r="C37" s="80"/>
      <c r="D37" s="79"/>
      <c r="E37" s="81"/>
      <c r="F37" s="82"/>
      <c r="G37" s="82"/>
      <c r="H37" s="86" t="s">
        <v>142</v>
      </c>
      <c r="I37" s="87"/>
      <c r="J37" s="24"/>
    </row>
    <row r="38" spans="1:14" ht="15.75" customHeight="1">
      <c r="A38" s="30">
        <v>9</v>
      </c>
      <c r="B38" s="79" t="s">
        <v>26</v>
      </c>
      <c r="C38" s="80" t="s">
        <v>32</v>
      </c>
      <c r="D38" s="79"/>
      <c r="E38" s="81"/>
      <c r="F38" s="82">
        <v>3</v>
      </c>
      <c r="G38" s="82">
        <v>2003</v>
      </c>
      <c r="H38" s="86">
        <f t="shared" ref="H38:H44" si="4">SUM(F38*G38/1000)</f>
        <v>6.0090000000000003</v>
      </c>
      <c r="I38" s="13">
        <f t="shared" ref="I38:I44" si="5">F38/6*G38</f>
        <v>1001.5</v>
      </c>
      <c r="J38" s="24"/>
    </row>
    <row r="39" spans="1:14" ht="15.75" customHeight="1">
      <c r="A39" s="30">
        <v>10</v>
      </c>
      <c r="B39" s="79" t="s">
        <v>70</v>
      </c>
      <c r="C39" s="80" t="s">
        <v>29</v>
      </c>
      <c r="D39" s="79" t="s">
        <v>208</v>
      </c>
      <c r="E39" s="82">
        <v>160.6</v>
      </c>
      <c r="F39" s="82">
        <f>SUM(E39*18/1000)</f>
        <v>2.8907999999999996</v>
      </c>
      <c r="G39" s="82">
        <v>2757.78</v>
      </c>
      <c r="H39" s="86">
        <f t="shared" si="4"/>
        <v>7.972190423999999</v>
      </c>
      <c r="I39" s="13">
        <f t="shared" si="5"/>
        <v>1328.698404</v>
      </c>
      <c r="J39" s="24"/>
    </row>
    <row r="40" spans="1:14" ht="15.75" customHeight="1">
      <c r="A40" s="30">
        <v>11</v>
      </c>
      <c r="B40" s="79" t="s">
        <v>71</v>
      </c>
      <c r="C40" s="80" t="s">
        <v>29</v>
      </c>
      <c r="D40" s="79" t="s">
        <v>135</v>
      </c>
      <c r="E40" s="81">
        <v>89.1</v>
      </c>
      <c r="F40" s="82">
        <f>SUM(E40*155/1000)</f>
        <v>13.810499999999999</v>
      </c>
      <c r="G40" s="82">
        <v>460.02</v>
      </c>
      <c r="H40" s="86">
        <f t="shared" si="4"/>
        <v>6.3531062099999991</v>
      </c>
      <c r="I40" s="13">
        <f t="shared" si="5"/>
        <v>1058.8510349999999</v>
      </c>
      <c r="J40" s="24"/>
    </row>
    <row r="41" spans="1:14" ht="15.75" hidden="1" customHeight="1">
      <c r="A41" s="30">
        <v>12</v>
      </c>
      <c r="B41" s="79" t="s">
        <v>209</v>
      </c>
      <c r="C41" s="80" t="s">
        <v>210</v>
      </c>
      <c r="D41" s="79" t="s">
        <v>69</v>
      </c>
      <c r="E41" s="81"/>
      <c r="F41" s="82">
        <v>39</v>
      </c>
      <c r="G41" s="82">
        <v>301.70999999999998</v>
      </c>
      <c r="H41" s="86">
        <f t="shared" si="4"/>
        <v>11.766689999999999</v>
      </c>
      <c r="I41" s="13">
        <v>0</v>
      </c>
      <c r="J41" s="24"/>
    </row>
    <row r="42" spans="1:14" ht="47.25" customHeight="1">
      <c r="A42" s="30">
        <v>12</v>
      </c>
      <c r="B42" s="79" t="s">
        <v>88</v>
      </c>
      <c r="C42" s="80" t="s">
        <v>116</v>
      </c>
      <c r="D42" s="79" t="s">
        <v>211</v>
      </c>
      <c r="E42" s="82">
        <v>46.5</v>
      </c>
      <c r="F42" s="82">
        <f>SUM(E42*35/1000)</f>
        <v>1.6274999999999999</v>
      </c>
      <c r="G42" s="82">
        <v>7611.16</v>
      </c>
      <c r="H42" s="86">
        <f t="shared" si="4"/>
        <v>12.3871629</v>
      </c>
      <c r="I42" s="13">
        <f t="shared" si="5"/>
        <v>2064.5271499999999</v>
      </c>
      <c r="J42" s="24"/>
      <c r="L42" s="20"/>
      <c r="M42" s="21"/>
      <c r="N42" s="22"/>
    </row>
    <row r="43" spans="1:14" ht="15.75" hidden="1" customHeight="1">
      <c r="A43" s="108">
        <v>13</v>
      </c>
      <c r="B43" s="93" t="s">
        <v>118</v>
      </c>
      <c r="C43" s="94" t="s">
        <v>116</v>
      </c>
      <c r="D43" s="93" t="s">
        <v>72</v>
      </c>
      <c r="E43" s="95">
        <v>89.1</v>
      </c>
      <c r="F43" s="95">
        <f>SUM(E43*45/1000)</f>
        <v>4.0094999999999992</v>
      </c>
      <c r="G43" s="95">
        <v>562.25</v>
      </c>
      <c r="H43" s="91">
        <f t="shared" si="4"/>
        <v>2.2543413749999996</v>
      </c>
      <c r="I43" s="109">
        <f t="shared" si="5"/>
        <v>375.72356249999996</v>
      </c>
      <c r="J43" s="24"/>
      <c r="L43" s="20"/>
      <c r="M43" s="21"/>
      <c r="N43" s="22"/>
    </row>
    <row r="44" spans="1:14" ht="15.75" customHeight="1">
      <c r="A44" s="30">
        <v>13</v>
      </c>
      <c r="B44" s="14" t="s">
        <v>73</v>
      </c>
      <c r="C44" s="16" t="s">
        <v>33</v>
      </c>
      <c r="D44" s="14"/>
      <c r="E44" s="19"/>
      <c r="F44" s="13">
        <v>0.9</v>
      </c>
      <c r="G44" s="13">
        <v>974.83</v>
      </c>
      <c r="H44" s="13">
        <f t="shared" si="4"/>
        <v>0.8773470000000001</v>
      </c>
      <c r="I44" s="13">
        <f t="shared" si="5"/>
        <v>146.22450000000001</v>
      </c>
      <c r="J44" s="24"/>
      <c r="L44" s="20"/>
      <c r="M44" s="21"/>
      <c r="N44" s="22"/>
    </row>
    <row r="45" spans="1:14" ht="15.75" hidden="1" customHeight="1">
      <c r="A45" s="186" t="s">
        <v>150</v>
      </c>
      <c r="B45" s="187"/>
      <c r="C45" s="187"/>
      <c r="D45" s="187"/>
      <c r="E45" s="187"/>
      <c r="F45" s="187"/>
      <c r="G45" s="187"/>
      <c r="H45" s="187"/>
      <c r="I45" s="188"/>
      <c r="J45" s="24"/>
      <c r="L45" s="20"/>
      <c r="M45" s="21"/>
      <c r="N45" s="22"/>
    </row>
    <row r="46" spans="1:14" ht="15.75" hidden="1" customHeight="1">
      <c r="A46" s="156">
        <v>12</v>
      </c>
      <c r="B46" s="158" t="s">
        <v>119</v>
      </c>
      <c r="C46" s="159" t="s">
        <v>116</v>
      </c>
      <c r="D46" s="158" t="s">
        <v>43</v>
      </c>
      <c r="E46" s="160">
        <v>1632.75</v>
      </c>
      <c r="F46" s="161">
        <f>SUM(E46*2/1000)</f>
        <v>3.2654999999999998</v>
      </c>
      <c r="G46" s="161">
        <v>1062</v>
      </c>
      <c r="H46" s="161">
        <f t="shared" ref="H46:H55" si="6">SUM(F46*G46/1000)</f>
        <v>3.4679609999999998</v>
      </c>
      <c r="I46" s="157">
        <f>F46/2*G46</f>
        <v>1733.9804999999999</v>
      </c>
      <c r="J46" s="24"/>
      <c r="L46" s="20"/>
      <c r="M46" s="21"/>
      <c r="N46" s="22"/>
    </row>
    <row r="47" spans="1:14" ht="15.75" hidden="1" customHeight="1">
      <c r="A47" s="156">
        <v>13</v>
      </c>
      <c r="B47" s="158" t="s">
        <v>36</v>
      </c>
      <c r="C47" s="159" t="s">
        <v>116</v>
      </c>
      <c r="D47" s="158" t="s">
        <v>43</v>
      </c>
      <c r="E47" s="160">
        <v>53.75</v>
      </c>
      <c r="F47" s="161">
        <f>SUM(E47*2/1000)</f>
        <v>0.1075</v>
      </c>
      <c r="G47" s="161">
        <v>759.98</v>
      </c>
      <c r="H47" s="161">
        <f t="shared" si="6"/>
        <v>8.1697850000000002E-2</v>
      </c>
      <c r="I47" s="157">
        <f t="shared" ref="I47:I54" si="7">F47/2*G47</f>
        <v>40.848925000000001</v>
      </c>
      <c r="J47" s="24"/>
      <c r="L47" s="20"/>
      <c r="M47" s="21"/>
      <c r="N47" s="22"/>
    </row>
    <row r="48" spans="1:14" ht="15.75" hidden="1" customHeight="1">
      <c r="A48" s="156">
        <v>14</v>
      </c>
      <c r="B48" s="158" t="s">
        <v>37</v>
      </c>
      <c r="C48" s="159" t="s">
        <v>116</v>
      </c>
      <c r="D48" s="158" t="s">
        <v>43</v>
      </c>
      <c r="E48" s="160">
        <v>2285.6</v>
      </c>
      <c r="F48" s="161">
        <f>SUM(E48*2/1000)</f>
        <v>4.5712000000000002</v>
      </c>
      <c r="G48" s="161">
        <v>759.98</v>
      </c>
      <c r="H48" s="161">
        <f t="shared" si="6"/>
        <v>3.4740205760000005</v>
      </c>
      <c r="I48" s="157">
        <f t="shared" si="7"/>
        <v>1737.0102880000002</v>
      </c>
      <c r="J48" s="24"/>
      <c r="L48" s="20"/>
      <c r="M48" s="21"/>
      <c r="N48" s="22"/>
    </row>
    <row r="49" spans="1:14" ht="15.75" hidden="1" customHeight="1">
      <c r="A49" s="156">
        <v>15</v>
      </c>
      <c r="B49" s="158" t="s">
        <v>38</v>
      </c>
      <c r="C49" s="159" t="s">
        <v>116</v>
      </c>
      <c r="D49" s="158" t="s">
        <v>43</v>
      </c>
      <c r="E49" s="160">
        <v>1860</v>
      </c>
      <c r="F49" s="161">
        <f>SUM(E49*2/1000)</f>
        <v>3.72</v>
      </c>
      <c r="G49" s="161">
        <v>795.82</v>
      </c>
      <c r="H49" s="161">
        <f t="shared" si="6"/>
        <v>2.9604504</v>
      </c>
      <c r="I49" s="157">
        <f t="shared" si="7"/>
        <v>1480.2252000000001</v>
      </c>
      <c r="J49" s="24"/>
      <c r="L49" s="20"/>
      <c r="M49" s="21"/>
      <c r="N49" s="22"/>
    </row>
    <row r="50" spans="1:14" ht="15.75" hidden="1" customHeight="1">
      <c r="A50" s="156">
        <v>16</v>
      </c>
      <c r="B50" s="158" t="s">
        <v>34</v>
      </c>
      <c r="C50" s="159" t="s">
        <v>35</v>
      </c>
      <c r="D50" s="158" t="s">
        <v>43</v>
      </c>
      <c r="E50" s="160">
        <v>120.5</v>
      </c>
      <c r="F50" s="161">
        <f>SUM(E50*2/100)</f>
        <v>2.41</v>
      </c>
      <c r="G50" s="161">
        <v>95.49</v>
      </c>
      <c r="H50" s="161">
        <f t="shared" si="6"/>
        <v>0.2301309</v>
      </c>
      <c r="I50" s="157">
        <f t="shared" si="7"/>
        <v>115.06545</v>
      </c>
      <c r="J50" s="24"/>
      <c r="L50" s="20"/>
      <c r="M50" s="21"/>
      <c r="N50" s="22"/>
    </row>
    <row r="51" spans="1:14" ht="15.75" hidden="1" customHeight="1">
      <c r="A51" s="156">
        <v>17</v>
      </c>
      <c r="B51" s="158" t="s">
        <v>58</v>
      </c>
      <c r="C51" s="159" t="s">
        <v>116</v>
      </c>
      <c r="D51" s="158" t="s">
        <v>153</v>
      </c>
      <c r="E51" s="160">
        <v>3053.4</v>
      </c>
      <c r="F51" s="161">
        <f>SUM(E51*5/1000)</f>
        <v>15.266999999999999</v>
      </c>
      <c r="G51" s="161">
        <v>1591.6</v>
      </c>
      <c r="H51" s="161">
        <f t="shared" si="6"/>
        <v>24.298957199999997</v>
      </c>
      <c r="I51" s="157">
        <f>F51/5*G51</f>
        <v>4859.79144</v>
      </c>
      <c r="J51" s="24"/>
      <c r="L51" s="20"/>
      <c r="M51" s="21"/>
      <c r="N51" s="22"/>
    </row>
    <row r="52" spans="1:14" ht="31.5" hidden="1" customHeight="1">
      <c r="A52" s="156"/>
      <c r="B52" s="158" t="s">
        <v>120</v>
      </c>
      <c r="C52" s="159" t="s">
        <v>116</v>
      </c>
      <c r="D52" s="158" t="s">
        <v>43</v>
      </c>
      <c r="E52" s="160">
        <f>E51</f>
        <v>3053.4</v>
      </c>
      <c r="F52" s="161">
        <f>SUM(E52*2/1000)</f>
        <v>6.1067999999999998</v>
      </c>
      <c r="G52" s="161">
        <v>1591.6</v>
      </c>
      <c r="H52" s="161">
        <f t="shared" si="6"/>
        <v>9.7195828800000008</v>
      </c>
      <c r="I52" s="157">
        <f t="shared" si="7"/>
        <v>4859.79144</v>
      </c>
      <c r="J52" s="24"/>
      <c r="L52" s="20"/>
      <c r="M52" s="21"/>
      <c r="N52" s="22"/>
    </row>
    <row r="53" spans="1:14" ht="31.5" hidden="1" customHeight="1">
      <c r="A53" s="156"/>
      <c r="B53" s="158" t="s">
        <v>143</v>
      </c>
      <c r="C53" s="159" t="s">
        <v>39</v>
      </c>
      <c r="D53" s="158" t="s">
        <v>43</v>
      </c>
      <c r="E53" s="160">
        <v>20</v>
      </c>
      <c r="F53" s="161">
        <f>SUM(E53*2/100)</f>
        <v>0.4</v>
      </c>
      <c r="G53" s="161">
        <v>3581.13</v>
      </c>
      <c r="H53" s="161">
        <f t="shared" si="6"/>
        <v>1.4324520000000003</v>
      </c>
      <c r="I53" s="157">
        <f t="shared" si="7"/>
        <v>716.22600000000011</v>
      </c>
      <c r="J53" s="24"/>
      <c r="L53" s="20"/>
      <c r="M53" s="21"/>
      <c r="N53" s="22"/>
    </row>
    <row r="54" spans="1:14" ht="15.75" hidden="1" customHeight="1">
      <c r="A54" s="156"/>
      <c r="B54" s="158" t="s">
        <v>40</v>
      </c>
      <c r="C54" s="159" t="s">
        <v>41</v>
      </c>
      <c r="D54" s="158" t="s">
        <v>43</v>
      </c>
      <c r="E54" s="160">
        <v>1</v>
      </c>
      <c r="F54" s="161">
        <v>0.02</v>
      </c>
      <c r="G54" s="161">
        <v>7412.92</v>
      </c>
      <c r="H54" s="161">
        <f t="shared" si="6"/>
        <v>0.14825839999999998</v>
      </c>
      <c r="I54" s="157">
        <f t="shared" si="7"/>
        <v>74.129199999999997</v>
      </c>
      <c r="J54" s="24"/>
      <c r="L54" s="20"/>
      <c r="M54" s="21"/>
      <c r="N54" s="22"/>
    </row>
    <row r="55" spans="1:14" ht="15.75" hidden="1" customHeight="1">
      <c r="A55" s="156">
        <v>18</v>
      </c>
      <c r="B55" s="158" t="s">
        <v>42</v>
      </c>
      <c r="C55" s="159" t="s">
        <v>97</v>
      </c>
      <c r="D55" s="158" t="s">
        <v>74</v>
      </c>
      <c r="E55" s="160">
        <v>128</v>
      </c>
      <c r="F55" s="161">
        <f>SUM(E55)*3</f>
        <v>384</v>
      </c>
      <c r="G55" s="162">
        <v>86.15</v>
      </c>
      <c r="H55" s="161">
        <f t="shared" si="6"/>
        <v>33.081600000000009</v>
      </c>
      <c r="I55" s="157">
        <f>E55*G55</f>
        <v>11027.2</v>
      </c>
      <c r="J55" s="24"/>
      <c r="L55" s="20"/>
      <c r="M55" s="21"/>
      <c r="N55" s="22"/>
    </row>
    <row r="56" spans="1:14" ht="15.75" customHeight="1">
      <c r="A56" s="186" t="s">
        <v>156</v>
      </c>
      <c r="B56" s="187"/>
      <c r="C56" s="187"/>
      <c r="D56" s="187"/>
      <c r="E56" s="187"/>
      <c r="F56" s="187"/>
      <c r="G56" s="187"/>
      <c r="H56" s="187"/>
      <c r="I56" s="188"/>
      <c r="J56" s="24"/>
      <c r="L56" s="20"/>
      <c r="M56" s="21"/>
      <c r="N56" s="22"/>
    </row>
    <row r="57" spans="1:14" ht="15.75" customHeight="1">
      <c r="A57" s="110"/>
      <c r="B57" s="124" t="s">
        <v>44</v>
      </c>
      <c r="C57" s="112"/>
      <c r="D57" s="111"/>
      <c r="E57" s="113"/>
      <c r="F57" s="114"/>
      <c r="G57" s="114"/>
      <c r="H57" s="125"/>
      <c r="I57" s="126"/>
      <c r="J57" s="24"/>
      <c r="L57" s="20"/>
      <c r="M57" s="21"/>
      <c r="N57" s="22"/>
    </row>
    <row r="58" spans="1:14" ht="31.5" customHeight="1">
      <c r="A58" s="30">
        <v>14</v>
      </c>
      <c r="B58" s="79" t="s">
        <v>121</v>
      </c>
      <c r="C58" s="80" t="s">
        <v>102</v>
      </c>
      <c r="D58" s="79" t="s">
        <v>122</v>
      </c>
      <c r="E58" s="81">
        <v>92.7</v>
      </c>
      <c r="F58" s="82">
        <f>SUM(E58*6/100)</f>
        <v>5.5620000000000003</v>
      </c>
      <c r="G58" s="13">
        <v>2431.1799999999998</v>
      </c>
      <c r="H58" s="86">
        <f>SUM(F58*G58/1000)</f>
        <v>13.522223159999999</v>
      </c>
      <c r="I58" s="13">
        <f>F58/6*G58</f>
        <v>2253.7038600000001</v>
      </c>
      <c r="J58" s="24"/>
      <c r="L58" s="20"/>
      <c r="M58" s="21"/>
      <c r="N58" s="22"/>
    </row>
    <row r="59" spans="1:14" ht="15.75" hidden="1" customHeight="1">
      <c r="A59" s="30"/>
      <c r="B59" s="79" t="s">
        <v>144</v>
      </c>
      <c r="C59" s="80" t="s">
        <v>145</v>
      </c>
      <c r="D59" s="14" t="s">
        <v>69</v>
      </c>
      <c r="E59" s="81"/>
      <c r="F59" s="82">
        <v>2</v>
      </c>
      <c r="G59" s="75">
        <v>1582.05</v>
      </c>
      <c r="H59" s="86">
        <f>SUM(F59*G59/1000)</f>
        <v>3.1640999999999999</v>
      </c>
      <c r="I59" s="13">
        <f>G59*2</f>
        <v>3164.1</v>
      </c>
      <c r="J59" s="24"/>
      <c r="L59" s="20"/>
      <c r="M59" s="21"/>
      <c r="N59" s="22"/>
    </row>
    <row r="60" spans="1:14" ht="15.75" customHeight="1">
      <c r="A60" s="30"/>
      <c r="B60" s="107" t="s">
        <v>45</v>
      </c>
      <c r="C60" s="80"/>
      <c r="D60" s="79"/>
      <c r="E60" s="81"/>
      <c r="F60" s="82"/>
      <c r="G60" s="82"/>
      <c r="H60" s="83" t="s">
        <v>142</v>
      </c>
      <c r="I60" s="87"/>
      <c r="J60" s="24"/>
      <c r="L60" s="20"/>
      <c r="M60" s="21"/>
      <c r="N60" s="22"/>
    </row>
    <row r="61" spans="1:14" ht="15.75" hidden="1" customHeight="1">
      <c r="A61" s="30"/>
      <c r="B61" s="35" t="s">
        <v>46</v>
      </c>
      <c r="C61" s="45" t="s">
        <v>102</v>
      </c>
      <c r="D61" s="35" t="s">
        <v>55</v>
      </c>
      <c r="E61" s="146">
        <v>145</v>
      </c>
      <c r="F61" s="34">
        <f>SUM(E61/100)</f>
        <v>1.45</v>
      </c>
      <c r="G61" s="37">
        <v>1040.8399999999999</v>
      </c>
      <c r="H61" s="147">
        <v>9.1679999999999993</v>
      </c>
      <c r="I61" s="13">
        <v>0</v>
      </c>
      <c r="J61" s="24"/>
      <c r="L61" s="20"/>
      <c r="M61" s="21"/>
      <c r="N61" s="22"/>
    </row>
    <row r="62" spans="1:14" ht="15.75" customHeight="1">
      <c r="A62" s="30">
        <v>15</v>
      </c>
      <c r="B62" s="148" t="s">
        <v>98</v>
      </c>
      <c r="C62" s="149" t="s">
        <v>25</v>
      </c>
      <c r="D62" s="148" t="s">
        <v>30</v>
      </c>
      <c r="E62" s="146">
        <v>255.2</v>
      </c>
      <c r="F62" s="34">
        <f>SUM(E62*12)</f>
        <v>3062.3999999999996</v>
      </c>
      <c r="G62" s="150">
        <v>2.8</v>
      </c>
      <c r="H62" s="151">
        <f>G62*F62/1000</f>
        <v>8.5747199999999992</v>
      </c>
      <c r="I62" s="13">
        <f>F62/12*G62</f>
        <v>714.55999999999983</v>
      </c>
      <c r="J62" s="24"/>
      <c r="L62" s="20"/>
      <c r="M62" s="21"/>
      <c r="N62" s="22"/>
    </row>
    <row r="63" spans="1:14" ht="15.75" customHeight="1">
      <c r="A63" s="30"/>
      <c r="B63" s="117" t="s">
        <v>47</v>
      </c>
      <c r="C63" s="94"/>
      <c r="D63" s="93"/>
      <c r="E63" s="90"/>
      <c r="F63" s="95"/>
      <c r="G63" s="95"/>
      <c r="H63" s="96" t="s">
        <v>142</v>
      </c>
      <c r="I63" s="87"/>
      <c r="J63" s="24"/>
      <c r="L63" s="20"/>
      <c r="M63" s="21"/>
      <c r="N63" s="22"/>
    </row>
    <row r="64" spans="1:14" ht="15.75" customHeight="1">
      <c r="A64" s="30">
        <v>16</v>
      </c>
      <c r="B64" s="57" t="s">
        <v>48</v>
      </c>
      <c r="C64" s="41" t="s">
        <v>97</v>
      </c>
      <c r="D64" s="40" t="s">
        <v>69</v>
      </c>
      <c r="E64" s="18">
        <v>6</v>
      </c>
      <c r="F64" s="34">
        <f>SUM(E64)</f>
        <v>6</v>
      </c>
      <c r="G64" s="37">
        <v>291.68</v>
      </c>
      <c r="H64" s="134">
        <f t="shared" ref="H64:H72" si="8">SUM(F64*G64/1000)</f>
        <v>1.7500799999999999</v>
      </c>
      <c r="I64" s="13">
        <f>G64*5</f>
        <v>1458.4</v>
      </c>
      <c r="J64" s="24"/>
      <c r="L64" s="20"/>
    </row>
    <row r="65" spans="1:22" ht="15.75" hidden="1" customHeight="1">
      <c r="A65" s="30"/>
      <c r="B65" s="57" t="s">
        <v>49</v>
      </c>
      <c r="C65" s="41" t="s">
        <v>97</v>
      </c>
      <c r="D65" s="40" t="s">
        <v>69</v>
      </c>
      <c r="E65" s="18">
        <v>4</v>
      </c>
      <c r="F65" s="34">
        <f>SUM(E65)</f>
        <v>4</v>
      </c>
      <c r="G65" s="37">
        <v>100.01</v>
      </c>
      <c r="H65" s="134">
        <f t="shared" si="8"/>
        <v>0.40004000000000001</v>
      </c>
      <c r="I65" s="13">
        <v>0</v>
      </c>
      <c r="J65" s="24"/>
      <c r="L65" s="20"/>
    </row>
    <row r="66" spans="1:22" ht="15.75" hidden="1" customHeight="1">
      <c r="A66" s="30"/>
      <c r="B66" s="57" t="s">
        <v>50</v>
      </c>
      <c r="C66" s="43" t="s">
        <v>123</v>
      </c>
      <c r="D66" s="40" t="s">
        <v>55</v>
      </c>
      <c r="E66" s="144">
        <v>15552</v>
      </c>
      <c r="F66" s="38">
        <f>SUM(E66/100)</f>
        <v>155.52000000000001</v>
      </c>
      <c r="G66" s="37">
        <v>278.24</v>
      </c>
      <c r="H66" s="134">
        <f t="shared" si="8"/>
        <v>43.271884800000009</v>
      </c>
      <c r="I66" s="13">
        <v>0</v>
      </c>
    </row>
    <row r="67" spans="1:22" ht="15.75" hidden="1" customHeight="1">
      <c r="A67" s="30"/>
      <c r="B67" s="57" t="s">
        <v>51</v>
      </c>
      <c r="C67" s="41" t="s">
        <v>124</v>
      </c>
      <c r="D67" s="40"/>
      <c r="E67" s="144">
        <v>15552</v>
      </c>
      <c r="F67" s="37">
        <f>SUM(E67/1000)</f>
        <v>15.552</v>
      </c>
      <c r="G67" s="37">
        <v>216.68</v>
      </c>
      <c r="H67" s="134">
        <f t="shared" si="8"/>
        <v>3.3698073600000003</v>
      </c>
      <c r="I67" s="13">
        <v>0</v>
      </c>
    </row>
    <row r="68" spans="1:22" ht="15.75" hidden="1" customHeight="1">
      <c r="A68" s="30"/>
      <c r="B68" s="57" t="s">
        <v>52</v>
      </c>
      <c r="C68" s="41" t="s">
        <v>81</v>
      </c>
      <c r="D68" s="40" t="s">
        <v>55</v>
      </c>
      <c r="E68" s="144">
        <v>2432</v>
      </c>
      <c r="F68" s="37">
        <f>SUM(E68/100)</f>
        <v>24.32</v>
      </c>
      <c r="G68" s="37">
        <v>2720.94</v>
      </c>
      <c r="H68" s="134">
        <f t="shared" si="8"/>
        <v>66.173260800000008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15.75" hidden="1" customHeight="1">
      <c r="A69" s="30"/>
      <c r="B69" s="54" t="s">
        <v>75</v>
      </c>
      <c r="C69" s="41" t="s">
        <v>33</v>
      </c>
      <c r="D69" s="40"/>
      <c r="E69" s="144">
        <v>14.8</v>
      </c>
      <c r="F69" s="37">
        <f>SUM(E69)</f>
        <v>14.8</v>
      </c>
      <c r="G69" s="37">
        <v>42.61</v>
      </c>
      <c r="H69" s="134">
        <f t="shared" si="8"/>
        <v>0.63062800000000008</v>
      </c>
      <c r="I69" s="13">
        <v>0</v>
      </c>
      <c r="J69" s="26"/>
      <c r="K69" s="26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31.5" hidden="1" customHeight="1">
      <c r="A70" s="30"/>
      <c r="B70" s="54" t="s">
        <v>76</v>
      </c>
      <c r="C70" s="41" t="s">
        <v>33</v>
      </c>
      <c r="D70" s="40"/>
      <c r="E70" s="144">
        <f>E69</f>
        <v>14.8</v>
      </c>
      <c r="F70" s="37">
        <f>SUM(E70)</f>
        <v>14.8</v>
      </c>
      <c r="G70" s="37">
        <v>46.04</v>
      </c>
      <c r="H70" s="134">
        <f t="shared" si="8"/>
        <v>0.681392</v>
      </c>
      <c r="I70" s="13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15.75" hidden="1" customHeight="1">
      <c r="A71" s="30">
        <v>22</v>
      </c>
      <c r="B71" s="40" t="s">
        <v>59</v>
      </c>
      <c r="C71" s="41" t="s">
        <v>60</v>
      </c>
      <c r="D71" s="40" t="s">
        <v>55</v>
      </c>
      <c r="E71" s="18">
        <v>5</v>
      </c>
      <c r="F71" s="34">
        <f>SUM(E71)</f>
        <v>5</v>
      </c>
      <c r="G71" s="37">
        <v>65.42</v>
      </c>
      <c r="H71" s="134">
        <f t="shared" si="8"/>
        <v>0.3271</v>
      </c>
      <c r="I71" s="13">
        <f>G71*4</f>
        <v>261.68</v>
      </c>
      <c r="J71" s="5"/>
      <c r="K71" s="5"/>
      <c r="L71" s="5"/>
      <c r="M71" s="5"/>
      <c r="N71" s="5"/>
      <c r="O71" s="5"/>
      <c r="P71" s="5"/>
      <c r="Q71" s="5"/>
      <c r="R71" s="183"/>
      <c r="S71" s="183"/>
      <c r="T71" s="183"/>
      <c r="U71" s="183"/>
    </row>
    <row r="72" spans="1:22" ht="15.75" customHeight="1">
      <c r="A72" s="30">
        <v>17</v>
      </c>
      <c r="B72" s="40" t="s">
        <v>212</v>
      </c>
      <c r="C72" s="46" t="s">
        <v>213</v>
      </c>
      <c r="D72" s="40" t="s">
        <v>69</v>
      </c>
      <c r="E72" s="18">
        <f>E51</f>
        <v>3053.4</v>
      </c>
      <c r="F72" s="34">
        <f>SUM(E72*12)</f>
        <v>36640.800000000003</v>
      </c>
      <c r="G72" s="37">
        <v>2.2799999999999998</v>
      </c>
      <c r="H72" s="134">
        <f t="shared" si="8"/>
        <v>83.541024000000007</v>
      </c>
      <c r="I72" s="13">
        <f>F72/12*G72</f>
        <v>6961.7519999999995</v>
      </c>
      <c r="J72" s="5"/>
      <c r="K72" s="5"/>
      <c r="L72" s="5"/>
      <c r="M72" s="5"/>
      <c r="N72" s="5"/>
      <c r="O72" s="5"/>
      <c r="P72" s="5"/>
      <c r="Q72" s="5"/>
      <c r="R72" s="129"/>
      <c r="S72" s="129"/>
      <c r="T72" s="129"/>
      <c r="U72" s="129"/>
    </row>
    <row r="73" spans="1:22" ht="15.75" customHeight="1">
      <c r="A73" s="30"/>
      <c r="B73" s="132" t="s">
        <v>77</v>
      </c>
      <c r="C73" s="16"/>
      <c r="D73" s="14"/>
      <c r="E73" s="19"/>
      <c r="F73" s="13"/>
      <c r="G73" s="13"/>
      <c r="H73" s="97" t="s">
        <v>142</v>
      </c>
      <c r="I73" s="87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4" spans="1:22" ht="15.75" hidden="1" customHeight="1">
      <c r="A74" s="30">
        <v>19</v>
      </c>
      <c r="B74" s="40" t="s">
        <v>214</v>
      </c>
      <c r="C74" s="41" t="s">
        <v>215</v>
      </c>
      <c r="D74" s="40" t="s">
        <v>69</v>
      </c>
      <c r="E74" s="18">
        <v>1</v>
      </c>
      <c r="F74" s="37">
        <f>E74</f>
        <v>1</v>
      </c>
      <c r="G74" s="37">
        <v>1029.1199999999999</v>
      </c>
      <c r="H74" s="133">
        <f t="shared" ref="H74:H75" si="9">SUM(F74*G74/1000)</f>
        <v>1.0291199999999998</v>
      </c>
      <c r="I74" s="13">
        <v>0</v>
      </c>
    </row>
    <row r="75" spans="1:22" ht="15.75" hidden="1" customHeight="1">
      <c r="A75" s="30"/>
      <c r="B75" s="40" t="s">
        <v>216</v>
      </c>
      <c r="C75" s="41" t="s">
        <v>217</v>
      </c>
      <c r="D75" s="152"/>
      <c r="E75" s="18">
        <v>1</v>
      </c>
      <c r="F75" s="37">
        <v>1</v>
      </c>
      <c r="G75" s="37">
        <v>735</v>
      </c>
      <c r="H75" s="133">
        <f t="shared" si="9"/>
        <v>0.73499999999999999</v>
      </c>
      <c r="I75" s="13">
        <v>0</v>
      </c>
    </row>
    <row r="76" spans="1:22" ht="15.75" hidden="1" customHeight="1">
      <c r="A76" s="30"/>
      <c r="B76" s="40" t="s">
        <v>78</v>
      </c>
      <c r="C76" s="41" t="s">
        <v>79</v>
      </c>
      <c r="D76" s="40" t="s">
        <v>69</v>
      </c>
      <c r="E76" s="18">
        <v>5</v>
      </c>
      <c r="F76" s="34">
        <f>SUM(E76/10)</f>
        <v>0.5</v>
      </c>
      <c r="G76" s="37">
        <v>657.87</v>
      </c>
      <c r="H76" s="133">
        <f>SUM(F76*G76/1000)</f>
        <v>0.32893499999999998</v>
      </c>
      <c r="I76" s="13">
        <v>0</v>
      </c>
    </row>
    <row r="77" spans="1:22" ht="15.75" hidden="1" customHeight="1">
      <c r="A77" s="30"/>
      <c r="B77" s="40" t="s">
        <v>137</v>
      </c>
      <c r="C77" s="41" t="s">
        <v>97</v>
      </c>
      <c r="D77" s="40" t="s">
        <v>69</v>
      </c>
      <c r="E77" s="18">
        <v>1</v>
      </c>
      <c r="F77" s="37">
        <f>E77</f>
        <v>1</v>
      </c>
      <c r="G77" s="37">
        <v>1118.72</v>
      </c>
      <c r="H77" s="133">
        <f>SUM(F77*G77/1000)</f>
        <v>1.1187199999999999</v>
      </c>
      <c r="I77" s="13">
        <v>0</v>
      </c>
    </row>
    <row r="78" spans="1:22" ht="15.75" customHeight="1">
      <c r="A78" s="30">
        <v>18</v>
      </c>
      <c r="B78" s="135" t="s">
        <v>218</v>
      </c>
      <c r="C78" s="136" t="s">
        <v>97</v>
      </c>
      <c r="D78" s="40" t="s">
        <v>69</v>
      </c>
      <c r="E78" s="18">
        <v>2</v>
      </c>
      <c r="F78" s="34">
        <f>E78*12</f>
        <v>24</v>
      </c>
      <c r="G78" s="37">
        <v>53.42</v>
      </c>
      <c r="H78" s="133">
        <f t="shared" ref="H78:H79" si="10">SUM(F78*G78/1000)</f>
        <v>1.2820799999999999</v>
      </c>
      <c r="I78" s="13">
        <f>G78*2</f>
        <v>106.84</v>
      </c>
    </row>
    <row r="79" spans="1:22" ht="31.5" customHeight="1">
      <c r="A79" s="30">
        <v>19</v>
      </c>
      <c r="B79" s="135" t="s">
        <v>219</v>
      </c>
      <c r="C79" s="136" t="s">
        <v>97</v>
      </c>
      <c r="D79" s="40" t="s">
        <v>30</v>
      </c>
      <c r="E79" s="18">
        <v>1</v>
      </c>
      <c r="F79" s="34">
        <f>E79*12</f>
        <v>12</v>
      </c>
      <c r="G79" s="37">
        <v>1194</v>
      </c>
      <c r="H79" s="133">
        <f t="shared" si="10"/>
        <v>14.327999999999999</v>
      </c>
      <c r="I79" s="13">
        <f>G79</f>
        <v>1194</v>
      </c>
    </row>
    <row r="80" spans="1:22" ht="15.75" hidden="1" customHeight="1">
      <c r="A80" s="30"/>
      <c r="B80" s="101" t="s">
        <v>80</v>
      </c>
      <c r="C80" s="16"/>
      <c r="D80" s="14"/>
      <c r="E80" s="19"/>
      <c r="F80" s="19"/>
      <c r="G80" s="19"/>
      <c r="H80" s="19"/>
      <c r="I80" s="87"/>
    </row>
    <row r="81" spans="1:9" ht="15.75" hidden="1" customHeight="1">
      <c r="A81" s="30"/>
      <c r="B81" s="42" t="s">
        <v>127</v>
      </c>
      <c r="C81" s="43" t="s">
        <v>81</v>
      </c>
      <c r="D81" s="57"/>
      <c r="E81" s="60"/>
      <c r="F81" s="38">
        <v>0.3</v>
      </c>
      <c r="G81" s="38">
        <v>3619.09</v>
      </c>
      <c r="H81" s="134">
        <f t="shared" ref="H81" si="11">SUM(F81*G81/1000)</f>
        <v>1.0857270000000001</v>
      </c>
      <c r="I81" s="13">
        <v>0</v>
      </c>
    </row>
    <row r="82" spans="1:9" ht="15.75" hidden="1" customHeight="1">
      <c r="A82" s="30"/>
      <c r="B82" s="132" t="s">
        <v>125</v>
      </c>
      <c r="C82" s="101"/>
      <c r="D82" s="32"/>
      <c r="E82" s="33"/>
      <c r="F82" s="102"/>
      <c r="G82" s="102"/>
      <c r="H82" s="103">
        <f>SUM(H58:H81)</f>
        <v>254.48184212000004</v>
      </c>
      <c r="I82" s="85"/>
    </row>
    <row r="83" spans="1:9" ht="15.75" hidden="1" customHeight="1">
      <c r="A83" s="108"/>
      <c r="B83" s="35" t="s">
        <v>126</v>
      </c>
      <c r="C83" s="153"/>
      <c r="D83" s="154"/>
      <c r="E83" s="155"/>
      <c r="F83" s="39">
        <f>232/10</f>
        <v>23.2</v>
      </c>
      <c r="G83" s="39">
        <v>12361.2</v>
      </c>
      <c r="H83" s="134">
        <f>G83*F83/1000</f>
        <v>286.77984000000004</v>
      </c>
      <c r="I83" s="109">
        <v>0</v>
      </c>
    </row>
    <row r="84" spans="1:9" ht="15.75" customHeight="1">
      <c r="A84" s="186" t="s">
        <v>157</v>
      </c>
      <c r="B84" s="187"/>
      <c r="C84" s="187"/>
      <c r="D84" s="187"/>
      <c r="E84" s="187"/>
      <c r="F84" s="187"/>
      <c r="G84" s="187"/>
      <c r="H84" s="187"/>
      <c r="I84" s="188"/>
    </row>
    <row r="85" spans="1:9" ht="15.75" customHeight="1">
      <c r="A85" s="110">
        <v>20</v>
      </c>
      <c r="B85" s="35" t="s">
        <v>128</v>
      </c>
      <c r="C85" s="41" t="s">
        <v>56</v>
      </c>
      <c r="D85" s="122" t="s">
        <v>57</v>
      </c>
      <c r="E85" s="37">
        <v>3053.4</v>
      </c>
      <c r="F85" s="37">
        <f>SUM(E85*12)</f>
        <v>36640.800000000003</v>
      </c>
      <c r="G85" s="37">
        <v>3.1</v>
      </c>
      <c r="H85" s="134">
        <f>SUM(F85*G85/1000)</f>
        <v>113.58648000000001</v>
      </c>
      <c r="I85" s="115">
        <f>F85/12*G85</f>
        <v>9465.5400000000009</v>
      </c>
    </row>
    <row r="86" spans="1:9" ht="31.5" customHeight="1">
      <c r="A86" s="30">
        <v>21</v>
      </c>
      <c r="B86" s="40" t="s">
        <v>82</v>
      </c>
      <c r="C86" s="41"/>
      <c r="D86" s="122" t="s">
        <v>57</v>
      </c>
      <c r="E86" s="144">
        <v>3053.4</v>
      </c>
      <c r="F86" s="37">
        <f>E86*12</f>
        <v>36640.800000000003</v>
      </c>
      <c r="G86" s="37">
        <v>3.5</v>
      </c>
      <c r="H86" s="134">
        <f>F86*G86/1000</f>
        <v>128.24280000000002</v>
      </c>
      <c r="I86" s="13">
        <f>F86/12*G86</f>
        <v>10686.9</v>
      </c>
    </row>
    <row r="87" spans="1:9" ht="15.75" customHeight="1">
      <c r="A87" s="30"/>
      <c r="B87" s="44" t="s">
        <v>85</v>
      </c>
      <c r="C87" s="101"/>
      <c r="D87" s="99"/>
      <c r="E87" s="102"/>
      <c r="F87" s="102"/>
      <c r="G87" s="102"/>
      <c r="H87" s="103">
        <f>SUM(H86)</f>
        <v>128.24280000000002</v>
      </c>
      <c r="I87" s="102">
        <f>I16+I17+I18+I26+I27+I38+I39+I40+I42+I44+I58+I62+I64+I72+I78+I79+I85+I86</f>
        <v>62176.191909000001</v>
      </c>
    </row>
    <row r="88" spans="1:9" ht="15.75" customHeight="1">
      <c r="A88" s="169" t="s">
        <v>62</v>
      </c>
      <c r="B88" s="170"/>
      <c r="C88" s="170"/>
      <c r="D88" s="170"/>
      <c r="E88" s="170"/>
      <c r="F88" s="170"/>
      <c r="G88" s="170"/>
      <c r="H88" s="170"/>
      <c r="I88" s="171"/>
    </row>
    <row r="89" spans="1:9" ht="31.5" customHeight="1">
      <c r="A89" s="30">
        <v>22</v>
      </c>
      <c r="B89" s="58" t="s">
        <v>95</v>
      </c>
      <c r="C89" s="59" t="s">
        <v>108</v>
      </c>
      <c r="D89" s="138"/>
      <c r="E89" s="37"/>
      <c r="F89" s="37">
        <v>7</v>
      </c>
      <c r="G89" s="37">
        <v>589.84</v>
      </c>
      <c r="H89" s="134">
        <f>F89*G89/1000</f>
        <v>4.1288800000000005</v>
      </c>
      <c r="I89" s="19">
        <f>G89</f>
        <v>589.84</v>
      </c>
    </row>
    <row r="90" spans="1:9" ht="15.75" customHeight="1">
      <c r="A90" s="30">
        <v>23</v>
      </c>
      <c r="B90" s="135" t="s">
        <v>107</v>
      </c>
      <c r="C90" s="136" t="s">
        <v>97</v>
      </c>
      <c r="D90" s="53"/>
      <c r="E90" s="37"/>
      <c r="F90" s="37">
        <v>128</v>
      </c>
      <c r="G90" s="37">
        <v>53.42</v>
      </c>
      <c r="H90" s="37">
        <f t="shared" ref="H90:H95" si="12">F90*G90/1000</f>
        <v>6.8377600000000003</v>
      </c>
      <c r="I90" s="13">
        <f>G90*64</f>
        <v>3418.88</v>
      </c>
    </row>
    <row r="91" spans="1:9" ht="31.5" customHeight="1">
      <c r="A91" s="30">
        <v>24</v>
      </c>
      <c r="B91" s="163" t="s">
        <v>238</v>
      </c>
      <c r="C91" s="46" t="s">
        <v>196</v>
      </c>
      <c r="D91" s="138"/>
      <c r="E91" s="37"/>
      <c r="F91" s="37">
        <v>1</v>
      </c>
      <c r="G91" s="37">
        <v>1934.94</v>
      </c>
      <c r="H91" s="134">
        <f t="shared" si="12"/>
        <v>1.9349400000000001</v>
      </c>
      <c r="I91" s="13">
        <f>G91</f>
        <v>1934.94</v>
      </c>
    </row>
    <row r="92" spans="1:9" ht="15.75" customHeight="1">
      <c r="A92" s="30">
        <v>25</v>
      </c>
      <c r="B92" s="105" t="s">
        <v>191</v>
      </c>
      <c r="C92" s="106" t="s">
        <v>99</v>
      </c>
      <c r="D92" s="138"/>
      <c r="E92" s="37"/>
      <c r="F92" s="37">
        <f>(10)/3</f>
        <v>3.3333333333333335</v>
      </c>
      <c r="G92" s="37">
        <v>1120.8900000000001</v>
      </c>
      <c r="H92" s="100">
        <f t="shared" si="12"/>
        <v>3.7363000000000008</v>
      </c>
      <c r="I92" s="13">
        <f>G92*(10/3)</f>
        <v>3736.3000000000006</v>
      </c>
    </row>
    <row r="93" spans="1:9" ht="15.75" customHeight="1">
      <c r="A93" s="30">
        <v>26</v>
      </c>
      <c r="B93" s="135" t="s">
        <v>239</v>
      </c>
      <c r="C93" s="136" t="s">
        <v>217</v>
      </c>
      <c r="D93" s="138"/>
      <c r="E93" s="37"/>
      <c r="F93" s="37">
        <v>1</v>
      </c>
      <c r="G93" s="13">
        <v>122000</v>
      </c>
      <c r="H93" s="100">
        <f t="shared" si="12"/>
        <v>122</v>
      </c>
      <c r="I93" s="13">
        <f>G93</f>
        <v>122000</v>
      </c>
    </row>
    <row r="94" spans="1:9" ht="31.5" customHeight="1">
      <c r="A94" s="30">
        <v>27</v>
      </c>
      <c r="B94" s="58" t="s">
        <v>240</v>
      </c>
      <c r="C94" s="59" t="s">
        <v>29</v>
      </c>
      <c r="D94" s="138"/>
      <c r="E94" s="37"/>
      <c r="F94" s="164">
        <f>1/1000</f>
        <v>1E-3</v>
      </c>
      <c r="G94" s="37">
        <v>1591.6</v>
      </c>
      <c r="H94" s="165">
        <f t="shared" si="12"/>
        <v>1.5915999999999999E-3</v>
      </c>
      <c r="I94" s="13">
        <f>G94*0.001</f>
        <v>1.5915999999999999</v>
      </c>
    </row>
    <row r="95" spans="1:9" ht="15.75" customHeight="1">
      <c r="A95" s="30">
        <v>28</v>
      </c>
      <c r="B95" s="163" t="s">
        <v>241</v>
      </c>
      <c r="C95" s="46" t="s">
        <v>113</v>
      </c>
      <c r="D95" s="138"/>
      <c r="E95" s="37"/>
      <c r="F95" s="37">
        <f>0.81/10</f>
        <v>8.1000000000000003E-2</v>
      </c>
      <c r="G95" s="37">
        <v>3282.12</v>
      </c>
      <c r="H95" s="134">
        <f t="shared" si="12"/>
        <v>0.26585172000000001</v>
      </c>
      <c r="I95" s="13">
        <f>F95*G95</f>
        <v>265.85172</v>
      </c>
    </row>
    <row r="96" spans="1:9" ht="15.75" customHeight="1">
      <c r="A96" s="30"/>
      <c r="B96" s="51" t="s">
        <v>53</v>
      </c>
      <c r="C96" s="47"/>
      <c r="D96" s="55"/>
      <c r="E96" s="47">
        <v>1</v>
      </c>
      <c r="F96" s="47"/>
      <c r="G96" s="47"/>
      <c r="H96" s="47"/>
      <c r="I96" s="33">
        <f>SUM(I89:I95)</f>
        <v>131947.40332000001</v>
      </c>
    </row>
    <row r="97" spans="1:9" ht="15.75" customHeight="1">
      <c r="A97" s="30"/>
      <c r="B97" s="53" t="s">
        <v>83</v>
      </c>
      <c r="C97" s="15"/>
      <c r="D97" s="15"/>
      <c r="E97" s="48"/>
      <c r="F97" s="48"/>
      <c r="G97" s="49"/>
      <c r="H97" s="49"/>
      <c r="I97" s="18">
        <v>0</v>
      </c>
    </row>
    <row r="98" spans="1:9" ht="15.75" customHeight="1">
      <c r="A98" s="56"/>
      <c r="B98" s="52" t="s">
        <v>170</v>
      </c>
      <c r="C98" s="36"/>
      <c r="D98" s="36"/>
      <c r="E98" s="36"/>
      <c r="F98" s="36"/>
      <c r="G98" s="36"/>
      <c r="H98" s="36"/>
      <c r="I98" s="50">
        <f>I87+I96</f>
        <v>194123.59522900003</v>
      </c>
    </row>
    <row r="99" spans="1:9" ht="15.75">
      <c r="A99" s="184" t="s">
        <v>253</v>
      </c>
      <c r="B99" s="184"/>
      <c r="C99" s="184"/>
      <c r="D99" s="184"/>
      <c r="E99" s="184"/>
      <c r="F99" s="184"/>
      <c r="G99" s="184"/>
      <c r="H99" s="184"/>
      <c r="I99" s="184"/>
    </row>
    <row r="100" spans="1:9" ht="15.75">
      <c r="A100" s="70"/>
      <c r="B100" s="193" t="s">
        <v>254</v>
      </c>
      <c r="C100" s="193"/>
      <c r="D100" s="193"/>
      <c r="E100" s="193"/>
      <c r="F100" s="193"/>
      <c r="G100" s="193"/>
      <c r="H100" s="78"/>
      <c r="I100" s="3"/>
    </row>
    <row r="101" spans="1:9">
      <c r="A101" s="129"/>
      <c r="B101" s="190" t="s">
        <v>6</v>
      </c>
      <c r="C101" s="190"/>
      <c r="D101" s="190"/>
      <c r="E101" s="190"/>
      <c r="F101" s="190"/>
      <c r="G101" s="190"/>
      <c r="H101" s="25"/>
      <c r="I101" s="5"/>
    </row>
    <row r="102" spans="1:9" ht="15.75" customHeight="1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ht="15.75" customHeight="1">
      <c r="A103" s="194" t="s">
        <v>7</v>
      </c>
      <c r="B103" s="194"/>
      <c r="C103" s="194"/>
      <c r="D103" s="194"/>
      <c r="E103" s="194"/>
      <c r="F103" s="194"/>
      <c r="G103" s="194"/>
      <c r="H103" s="194"/>
      <c r="I103" s="194"/>
    </row>
    <row r="104" spans="1:9" ht="15.75" customHeight="1">
      <c r="A104" s="194" t="s">
        <v>8</v>
      </c>
      <c r="B104" s="194"/>
      <c r="C104" s="194"/>
      <c r="D104" s="194"/>
      <c r="E104" s="194"/>
      <c r="F104" s="194"/>
      <c r="G104" s="194"/>
      <c r="H104" s="194"/>
      <c r="I104" s="194"/>
    </row>
    <row r="105" spans="1:9" ht="15.75" customHeight="1">
      <c r="A105" s="177" t="s">
        <v>63</v>
      </c>
      <c r="B105" s="177"/>
      <c r="C105" s="177"/>
      <c r="D105" s="177"/>
      <c r="E105" s="177"/>
      <c r="F105" s="177"/>
      <c r="G105" s="177"/>
      <c r="H105" s="177"/>
      <c r="I105" s="177"/>
    </row>
    <row r="106" spans="1:9" ht="15.75" customHeight="1">
      <c r="A106" s="11"/>
    </row>
    <row r="107" spans="1:9" ht="15.75" customHeight="1">
      <c r="A107" s="178" t="s">
        <v>9</v>
      </c>
      <c r="B107" s="178"/>
      <c r="C107" s="178"/>
      <c r="D107" s="178"/>
      <c r="E107" s="178"/>
      <c r="F107" s="178"/>
      <c r="G107" s="178"/>
      <c r="H107" s="178"/>
      <c r="I107" s="178"/>
    </row>
    <row r="108" spans="1:9" ht="15.75" customHeight="1">
      <c r="A108" s="4"/>
    </row>
    <row r="109" spans="1:9" ht="15.75" customHeight="1">
      <c r="B109" s="130" t="s">
        <v>10</v>
      </c>
      <c r="C109" s="189" t="s">
        <v>96</v>
      </c>
      <c r="D109" s="189"/>
      <c r="E109" s="189"/>
      <c r="F109" s="76"/>
      <c r="I109" s="128"/>
    </row>
    <row r="110" spans="1:9" ht="15.75" customHeight="1">
      <c r="A110" s="129"/>
      <c r="C110" s="190" t="s">
        <v>11</v>
      </c>
      <c r="D110" s="190"/>
      <c r="E110" s="190"/>
      <c r="F110" s="25"/>
      <c r="I110" s="127" t="s">
        <v>12</v>
      </c>
    </row>
    <row r="111" spans="1:9" ht="15.75" customHeight="1">
      <c r="A111" s="26"/>
      <c r="C111" s="12"/>
      <c r="D111" s="12"/>
      <c r="G111" s="12"/>
      <c r="H111" s="12"/>
    </row>
    <row r="112" spans="1:9" ht="15.75" customHeight="1">
      <c r="B112" s="130" t="s">
        <v>13</v>
      </c>
      <c r="C112" s="191"/>
      <c r="D112" s="191"/>
      <c r="E112" s="191"/>
      <c r="F112" s="77"/>
      <c r="I112" s="128"/>
    </row>
    <row r="113" spans="1:9" ht="15.75" customHeight="1">
      <c r="A113" s="129"/>
      <c r="C113" s="183" t="s">
        <v>11</v>
      </c>
      <c r="D113" s="183"/>
      <c r="E113" s="183"/>
      <c r="F113" s="129"/>
      <c r="I113" s="127" t="s">
        <v>12</v>
      </c>
    </row>
    <row r="114" spans="1:9" ht="15.75" customHeight="1">
      <c r="A114" s="4" t="s">
        <v>14</v>
      </c>
    </row>
    <row r="115" spans="1:9">
      <c r="A115" s="192" t="s">
        <v>15</v>
      </c>
      <c r="B115" s="192"/>
      <c r="C115" s="192"/>
      <c r="D115" s="192"/>
      <c r="E115" s="192"/>
      <c r="F115" s="192"/>
      <c r="G115" s="192"/>
      <c r="H115" s="192"/>
      <c r="I115" s="192"/>
    </row>
    <row r="116" spans="1:9" ht="45" customHeight="1">
      <c r="A116" s="185" t="s">
        <v>16</v>
      </c>
      <c r="B116" s="185"/>
      <c r="C116" s="185"/>
      <c r="D116" s="185"/>
      <c r="E116" s="185"/>
      <c r="F116" s="185"/>
      <c r="G116" s="185"/>
      <c r="H116" s="185"/>
      <c r="I116" s="185"/>
    </row>
    <row r="117" spans="1:9" ht="30" customHeight="1">
      <c r="A117" s="185" t="s">
        <v>17</v>
      </c>
      <c r="B117" s="185"/>
      <c r="C117" s="185"/>
      <c r="D117" s="185"/>
      <c r="E117" s="185"/>
      <c r="F117" s="185"/>
      <c r="G117" s="185"/>
      <c r="H117" s="185"/>
      <c r="I117" s="185"/>
    </row>
    <row r="118" spans="1:9" ht="30" customHeight="1">
      <c r="A118" s="185" t="s">
        <v>21</v>
      </c>
      <c r="B118" s="185"/>
      <c r="C118" s="185"/>
      <c r="D118" s="185"/>
      <c r="E118" s="185"/>
      <c r="F118" s="185"/>
      <c r="G118" s="185"/>
      <c r="H118" s="185"/>
      <c r="I118" s="185"/>
    </row>
    <row r="119" spans="1:9" ht="15" customHeight="1">
      <c r="A119" s="185" t="s">
        <v>20</v>
      </c>
      <c r="B119" s="185"/>
      <c r="C119" s="185"/>
      <c r="D119" s="185"/>
      <c r="E119" s="185"/>
      <c r="F119" s="185"/>
      <c r="G119" s="185"/>
      <c r="H119" s="185"/>
      <c r="I119" s="185"/>
    </row>
  </sheetData>
  <autoFilter ref="I12:I66"/>
  <mergeCells count="29">
    <mergeCell ref="A115:I115"/>
    <mergeCell ref="A116:I116"/>
    <mergeCell ref="A117:I117"/>
    <mergeCell ref="A118:I118"/>
    <mergeCell ref="A119:I119"/>
    <mergeCell ref="R71:U71"/>
    <mergeCell ref="C113:E113"/>
    <mergeCell ref="A88:I88"/>
    <mergeCell ref="A99:I99"/>
    <mergeCell ref="B100:G100"/>
    <mergeCell ref="B101:G101"/>
    <mergeCell ref="A103:I103"/>
    <mergeCell ref="A104:I104"/>
    <mergeCell ref="A105:I105"/>
    <mergeCell ref="A107:I107"/>
    <mergeCell ref="C109:E109"/>
    <mergeCell ref="C110:E110"/>
    <mergeCell ref="C112:E112"/>
    <mergeCell ref="A84:I84"/>
    <mergeCell ref="A3:I3"/>
    <mergeCell ref="A4:I4"/>
    <mergeCell ref="A5:I5"/>
    <mergeCell ref="A8:I8"/>
    <mergeCell ref="A10:I10"/>
    <mergeCell ref="A14:I14"/>
    <mergeCell ref="A15:I15"/>
    <mergeCell ref="A28:I28"/>
    <mergeCell ref="A45:I45"/>
    <mergeCell ref="A56:I5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20"/>
  <sheetViews>
    <sheetView tabSelected="1"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91</v>
      </c>
      <c r="I1" s="27"/>
      <c r="J1" s="1"/>
      <c r="K1" s="1"/>
      <c r="L1" s="1"/>
      <c r="M1" s="1"/>
    </row>
    <row r="2" spans="1:13" ht="15.75" customHeight="1">
      <c r="A2" s="29" t="s">
        <v>64</v>
      </c>
      <c r="J2" s="2"/>
      <c r="K2" s="2"/>
      <c r="L2" s="2"/>
      <c r="M2" s="2"/>
    </row>
    <row r="3" spans="1:13" ht="15.75" customHeight="1">
      <c r="A3" s="172" t="s">
        <v>242</v>
      </c>
      <c r="B3" s="172"/>
      <c r="C3" s="172"/>
      <c r="D3" s="172"/>
      <c r="E3" s="172"/>
      <c r="F3" s="172"/>
      <c r="G3" s="172"/>
      <c r="H3" s="172"/>
      <c r="I3" s="172"/>
      <c r="J3" s="3"/>
      <c r="K3" s="3"/>
      <c r="L3" s="3"/>
    </row>
    <row r="4" spans="1:13" ht="31.5" customHeight="1">
      <c r="A4" s="173" t="s">
        <v>129</v>
      </c>
      <c r="B4" s="173"/>
      <c r="C4" s="173"/>
      <c r="D4" s="173"/>
      <c r="E4" s="173"/>
      <c r="F4" s="173"/>
      <c r="G4" s="173"/>
      <c r="H4" s="173"/>
      <c r="I4" s="173"/>
    </row>
    <row r="5" spans="1:13" ht="15.75" customHeight="1">
      <c r="A5" s="172" t="s">
        <v>243</v>
      </c>
      <c r="B5" s="174"/>
      <c r="C5" s="174"/>
      <c r="D5" s="174"/>
      <c r="E5" s="174"/>
      <c r="F5" s="174"/>
      <c r="G5" s="174"/>
      <c r="H5" s="174"/>
      <c r="I5" s="174"/>
      <c r="J5" s="2"/>
      <c r="K5" s="2"/>
      <c r="L5" s="2"/>
      <c r="M5" s="2"/>
    </row>
    <row r="6" spans="1:13" ht="15.75" customHeight="1">
      <c r="A6" s="2"/>
      <c r="B6" s="131"/>
      <c r="C6" s="131"/>
      <c r="D6" s="131"/>
      <c r="E6" s="131"/>
      <c r="F6" s="131"/>
      <c r="G6" s="131"/>
      <c r="H6" s="131"/>
      <c r="I6" s="31">
        <v>43100</v>
      </c>
      <c r="J6" s="2"/>
      <c r="K6" s="2"/>
      <c r="L6" s="2"/>
      <c r="M6" s="2"/>
    </row>
    <row r="7" spans="1:13" ht="15.75" customHeight="1">
      <c r="B7" s="130"/>
      <c r="C7" s="130"/>
      <c r="D7" s="13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75" t="s">
        <v>204</v>
      </c>
      <c r="B8" s="175"/>
      <c r="C8" s="175"/>
      <c r="D8" s="175"/>
      <c r="E8" s="175"/>
      <c r="F8" s="175"/>
      <c r="G8" s="175"/>
      <c r="H8" s="175"/>
      <c r="I8" s="17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76" t="s">
        <v>247</v>
      </c>
      <c r="B10" s="176"/>
      <c r="C10" s="176"/>
      <c r="D10" s="176"/>
      <c r="E10" s="176"/>
      <c r="F10" s="176"/>
      <c r="G10" s="176"/>
      <c r="H10" s="176"/>
      <c r="I10" s="17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68" t="s">
        <v>61</v>
      </c>
      <c r="B14" s="168"/>
      <c r="C14" s="168"/>
      <c r="D14" s="168"/>
      <c r="E14" s="168"/>
      <c r="F14" s="168"/>
      <c r="G14" s="168"/>
      <c r="H14" s="168"/>
      <c r="I14" s="168"/>
      <c r="J14" s="8"/>
      <c r="K14" s="8"/>
      <c r="L14" s="8"/>
      <c r="M14" s="8"/>
    </row>
    <row r="15" spans="1:13" ht="15.75" customHeight="1">
      <c r="A15" s="179" t="s">
        <v>4</v>
      </c>
      <c r="B15" s="179"/>
      <c r="C15" s="179"/>
      <c r="D15" s="179"/>
      <c r="E15" s="179"/>
      <c r="F15" s="179"/>
      <c r="G15" s="179"/>
      <c r="H15" s="179"/>
      <c r="I15" s="179"/>
      <c r="J15" s="8"/>
      <c r="K15" s="8"/>
      <c r="L15" s="8"/>
      <c r="M15" s="8"/>
    </row>
    <row r="16" spans="1:13" ht="15.75" customHeight="1">
      <c r="A16" s="30">
        <v>1</v>
      </c>
      <c r="B16" s="79" t="s">
        <v>92</v>
      </c>
      <c r="C16" s="80" t="s">
        <v>102</v>
      </c>
      <c r="D16" s="79" t="s">
        <v>130</v>
      </c>
      <c r="E16" s="81">
        <v>92.5</v>
      </c>
      <c r="F16" s="82">
        <f>SUM(E16*156/100)</f>
        <v>144.30000000000001</v>
      </c>
      <c r="G16" s="82">
        <v>230</v>
      </c>
      <c r="H16" s="86">
        <f t="shared" ref="H16:H25" si="0">SUM(F16*G16/1000)</f>
        <v>33.189</v>
      </c>
      <c r="I16" s="13">
        <f>F16/12*G16</f>
        <v>2765.75</v>
      </c>
      <c r="J16" s="8"/>
      <c r="K16" s="8"/>
      <c r="L16" s="8"/>
      <c r="M16" s="8"/>
    </row>
    <row r="17" spans="1:13" ht="15.75" customHeight="1">
      <c r="A17" s="30">
        <v>2</v>
      </c>
      <c r="B17" s="79" t="s">
        <v>93</v>
      </c>
      <c r="C17" s="80" t="s">
        <v>102</v>
      </c>
      <c r="D17" s="79" t="s">
        <v>131</v>
      </c>
      <c r="E17" s="81">
        <v>288.8</v>
      </c>
      <c r="F17" s="82">
        <f>SUM(E17*104/100)</f>
        <v>300.35200000000003</v>
      </c>
      <c r="G17" s="82">
        <v>230</v>
      </c>
      <c r="H17" s="86">
        <f t="shared" si="0"/>
        <v>69.080960000000005</v>
      </c>
      <c r="I17" s="13">
        <f>F17/12*G17</f>
        <v>5756.7466666666678</v>
      </c>
      <c r="J17" s="23"/>
      <c r="K17" s="8"/>
      <c r="L17" s="8"/>
      <c r="M17" s="8"/>
    </row>
    <row r="18" spans="1:13" ht="15.75" customHeight="1">
      <c r="A18" s="30">
        <v>3</v>
      </c>
      <c r="B18" s="79" t="s">
        <v>94</v>
      </c>
      <c r="C18" s="80" t="s">
        <v>102</v>
      </c>
      <c r="D18" s="79" t="s">
        <v>167</v>
      </c>
      <c r="E18" s="81">
        <f>SUM(E16+E17)</f>
        <v>381.3</v>
      </c>
      <c r="F18" s="82">
        <f>SUM(E18*12/100)</f>
        <v>45.756</v>
      </c>
      <c r="G18" s="82">
        <v>661.67</v>
      </c>
      <c r="H18" s="86">
        <f t="shared" si="0"/>
        <v>30.275372519999998</v>
      </c>
      <c r="I18" s="13">
        <f>F18/12*G18</f>
        <v>2522.9477099999999</v>
      </c>
      <c r="J18" s="23"/>
      <c r="K18" s="8"/>
      <c r="L18" s="8"/>
      <c r="M18" s="8"/>
    </row>
    <row r="19" spans="1:13" ht="15.75" hidden="1" customHeight="1">
      <c r="A19" s="30">
        <v>4</v>
      </c>
      <c r="B19" s="79" t="s">
        <v>112</v>
      </c>
      <c r="C19" s="80" t="s">
        <v>113</v>
      </c>
      <c r="D19" s="79" t="s">
        <v>114</v>
      </c>
      <c r="E19" s="81">
        <v>19.2</v>
      </c>
      <c r="F19" s="82">
        <f>SUM(E19/10)</f>
        <v>1.92</v>
      </c>
      <c r="G19" s="82">
        <v>223.17</v>
      </c>
      <c r="H19" s="86">
        <f t="shared" si="0"/>
        <v>0.42848639999999993</v>
      </c>
      <c r="I19" s="13">
        <v>0</v>
      </c>
      <c r="J19" s="23"/>
      <c r="K19" s="8"/>
      <c r="L19" s="8"/>
      <c r="M19" s="8"/>
    </row>
    <row r="20" spans="1:13" ht="15.75" hidden="1" customHeight="1">
      <c r="A20" s="30">
        <v>4</v>
      </c>
      <c r="B20" s="79" t="s">
        <v>101</v>
      </c>
      <c r="C20" s="80" t="s">
        <v>102</v>
      </c>
      <c r="D20" s="79" t="s">
        <v>205</v>
      </c>
      <c r="E20" s="81">
        <v>27.3</v>
      </c>
      <c r="F20" s="82">
        <f>SUM(E20*2/100)</f>
        <v>0.54600000000000004</v>
      </c>
      <c r="G20" s="82">
        <v>285.76</v>
      </c>
      <c r="H20" s="86">
        <f t="shared" si="0"/>
        <v>0.15602495999999999</v>
      </c>
      <c r="I20" s="13">
        <f>F20/2*G20</f>
        <v>78.012479999999996</v>
      </c>
      <c r="J20" s="23"/>
      <c r="K20" s="8"/>
      <c r="L20" s="8"/>
      <c r="M20" s="8"/>
    </row>
    <row r="21" spans="1:13" ht="15.75" hidden="1" customHeight="1">
      <c r="A21" s="30">
        <v>5</v>
      </c>
      <c r="B21" s="79" t="s">
        <v>109</v>
      </c>
      <c r="C21" s="80" t="s">
        <v>102</v>
      </c>
      <c r="D21" s="79" t="s">
        <v>205</v>
      </c>
      <c r="E21" s="81">
        <v>9.08</v>
      </c>
      <c r="F21" s="82">
        <f>SUM(E21*2/100)</f>
        <v>0.18160000000000001</v>
      </c>
      <c r="G21" s="82">
        <v>283.44</v>
      </c>
      <c r="H21" s="86">
        <f>SUM(F21*G21/1000)</f>
        <v>5.1472704000000001E-2</v>
      </c>
      <c r="I21" s="13">
        <f>F21/2*G21</f>
        <v>25.736352</v>
      </c>
      <c r="J21" s="23"/>
      <c r="K21" s="8"/>
      <c r="L21" s="8"/>
      <c r="M21" s="8"/>
    </row>
    <row r="22" spans="1:13" ht="15.75" hidden="1" customHeight="1">
      <c r="A22" s="30">
        <v>7</v>
      </c>
      <c r="B22" s="79" t="s">
        <v>103</v>
      </c>
      <c r="C22" s="80" t="s">
        <v>54</v>
      </c>
      <c r="D22" s="79" t="s">
        <v>114</v>
      </c>
      <c r="E22" s="84">
        <v>30</v>
      </c>
      <c r="F22" s="82">
        <f>SUM(E22/100)</f>
        <v>0.3</v>
      </c>
      <c r="G22" s="82">
        <v>58.08</v>
      </c>
      <c r="H22" s="86">
        <f t="shared" si="0"/>
        <v>1.7423999999999999E-2</v>
      </c>
      <c r="I22" s="13">
        <v>0</v>
      </c>
      <c r="J22" s="23"/>
      <c r="K22" s="8"/>
      <c r="L22" s="8"/>
      <c r="M22" s="8"/>
    </row>
    <row r="23" spans="1:13" ht="15.75" hidden="1" customHeight="1">
      <c r="A23" s="30">
        <v>6</v>
      </c>
      <c r="B23" s="79" t="s">
        <v>104</v>
      </c>
      <c r="C23" s="80" t="s">
        <v>54</v>
      </c>
      <c r="D23" s="79" t="s">
        <v>114</v>
      </c>
      <c r="E23" s="81">
        <v>20</v>
      </c>
      <c r="F23" s="82">
        <f>SUM(E23/100)</f>
        <v>0.2</v>
      </c>
      <c r="G23" s="82">
        <v>511.12</v>
      </c>
      <c r="H23" s="86">
        <f t="shared" si="0"/>
        <v>0.10222400000000001</v>
      </c>
      <c r="I23" s="13">
        <v>0</v>
      </c>
      <c r="J23" s="23"/>
      <c r="K23" s="8"/>
      <c r="L23" s="8"/>
      <c r="M23" s="8"/>
    </row>
    <row r="24" spans="1:13" ht="15.75" hidden="1" customHeight="1">
      <c r="A24" s="30">
        <v>9</v>
      </c>
      <c r="B24" s="79" t="s">
        <v>106</v>
      </c>
      <c r="C24" s="80" t="s">
        <v>54</v>
      </c>
      <c r="D24" s="79" t="s">
        <v>114</v>
      </c>
      <c r="E24" s="81">
        <v>8.5</v>
      </c>
      <c r="F24" s="82">
        <f>SUM(E24/100)</f>
        <v>8.5000000000000006E-2</v>
      </c>
      <c r="G24" s="82">
        <v>683.05</v>
      </c>
      <c r="H24" s="86">
        <f t="shared" si="0"/>
        <v>5.805925E-2</v>
      </c>
      <c r="I24" s="13">
        <v>0</v>
      </c>
      <c r="J24" s="23"/>
      <c r="K24" s="8"/>
      <c r="L24" s="8"/>
      <c r="M24" s="8"/>
    </row>
    <row r="25" spans="1:13" ht="15.75" hidden="1" customHeight="1">
      <c r="A25" s="108">
        <v>7</v>
      </c>
      <c r="B25" s="93" t="s">
        <v>110</v>
      </c>
      <c r="C25" s="94" t="s">
        <v>54</v>
      </c>
      <c r="D25" s="93" t="s">
        <v>55</v>
      </c>
      <c r="E25" s="90">
        <v>20</v>
      </c>
      <c r="F25" s="95">
        <f>SUM(E25/100)</f>
        <v>0.2</v>
      </c>
      <c r="G25" s="95">
        <v>283.44</v>
      </c>
      <c r="H25" s="91">
        <f t="shared" si="0"/>
        <v>5.6688000000000002E-2</v>
      </c>
      <c r="I25" s="13">
        <v>0</v>
      </c>
      <c r="J25" s="23"/>
      <c r="K25" s="8"/>
      <c r="L25" s="8"/>
      <c r="M25" s="8"/>
    </row>
    <row r="26" spans="1:13" ht="15.75" customHeight="1">
      <c r="A26" s="30">
        <v>4</v>
      </c>
      <c r="B26" s="35" t="s">
        <v>66</v>
      </c>
      <c r="C26" s="45" t="s">
        <v>33</v>
      </c>
      <c r="D26" s="35" t="s">
        <v>206</v>
      </c>
      <c r="E26" s="141">
        <v>0.05</v>
      </c>
      <c r="F26" s="34">
        <f>SUM(E26*182)</f>
        <v>9.1</v>
      </c>
      <c r="G26" s="34">
        <v>264.85000000000002</v>
      </c>
      <c r="H26" s="142">
        <f t="shared" ref="H26:H27" si="1">SUM(F26*G26/1000)</f>
        <v>2.4101350000000004</v>
      </c>
      <c r="I26" s="13">
        <f>F26/12*G26</f>
        <v>200.84458333333333</v>
      </c>
      <c r="J26" s="24"/>
    </row>
    <row r="27" spans="1:13" ht="15.75" customHeight="1">
      <c r="A27" s="30">
        <v>5</v>
      </c>
      <c r="B27" s="143" t="s">
        <v>23</v>
      </c>
      <c r="C27" s="45" t="s">
        <v>24</v>
      </c>
      <c r="D27" s="35"/>
      <c r="E27" s="144">
        <v>3053.4</v>
      </c>
      <c r="F27" s="34">
        <f>SUM(E27*12)</f>
        <v>36640.800000000003</v>
      </c>
      <c r="G27" s="34">
        <v>4.09</v>
      </c>
      <c r="H27" s="142">
        <f t="shared" si="1"/>
        <v>149.860872</v>
      </c>
      <c r="I27" s="13">
        <f>F27/12*G27</f>
        <v>12488.405999999999</v>
      </c>
      <c r="J27" s="24"/>
    </row>
    <row r="28" spans="1:13" ht="15.75" customHeight="1">
      <c r="A28" s="179" t="s">
        <v>168</v>
      </c>
      <c r="B28" s="179"/>
      <c r="C28" s="179"/>
      <c r="D28" s="179"/>
      <c r="E28" s="179"/>
      <c r="F28" s="179"/>
      <c r="G28" s="179"/>
      <c r="H28" s="179"/>
      <c r="I28" s="179"/>
      <c r="J28" s="23"/>
      <c r="K28" s="8"/>
      <c r="L28" s="8"/>
      <c r="M28" s="8"/>
    </row>
    <row r="29" spans="1:13" ht="15.75" hidden="1" customHeight="1">
      <c r="A29" s="110"/>
      <c r="B29" s="124" t="s">
        <v>28</v>
      </c>
      <c r="C29" s="112"/>
      <c r="D29" s="111"/>
      <c r="E29" s="113"/>
      <c r="F29" s="114"/>
      <c r="G29" s="114"/>
      <c r="H29" s="125"/>
      <c r="I29" s="126"/>
      <c r="J29" s="23"/>
      <c r="K29" s="8"/>
      <c r="L29" s="8"/>
      <c r="M29" s="8"/>
    </row>
    <row r="30" spans="1:13" ht="15.75" hidden="1" customHeight="1">
      <c r="A30" s="30">
        <v>6</v>
      </c>
      <c r="B30" s="79" t="s">
        <v>115</v>
      </c>
      <c r="C30" s="80" t="s">
        <v>116</v>
      </c>
      <c r="D30" s="79" t="s">
        <v>132</v>
      </c>
      <c r="E30" s="82">
        <v>317.7</v>
      </c>
      <c r="F30" s="82">
        <f>SUM(E30*52/1000)</f>
        <v>16.520399999999999</v>
      </c>
      <c r="G30" s="82">
        <v>204.44</v>
      </c>
      <c r="H30" s="86">
        <f t="shared" ref="H30:H36" si="2">SUM(F30*G30/1000)</f>
        <v>3.3774305759999996</v>
      </c>
      <c r="I30" s="13">
        <f t="shared" ref="I30:I34" si="3">F30/6*G30</f>
        <v>562.90509599999996</v>
      </c>
      <c r="J30" s="23"/>
      <c r="K30" s="8"/>
      <c r="L30" s="8"/>
      <c r="M30" s="8"/>
    </row>
    <row r="31" spans="1:13" ht="31.5" hidden="1" customHeight="1">
      <c r="A31" s="30">
        <v>7</v>
      </c>
      <c r="B31" s="79" t="s">
        <v>149</v>
      </c>
      <c r="C31" s="80" t="s">
        <v>116</v>
      </c>
      <c r="D31" s="79" t="s">
        <v>133</v>
      </c>
      <c r="E31" s="82">
        <v>146.1</v>
      </c>
      <c r="F31" s="82">
        <f>SUM(E31*78/1000)</f>
        <v>11.395799999999999</v>
      </c>
      <c r="G31" s="82">
        <v>339.21</v>
      </c>
      <c r="H31" s="86">
        <f t="shared" si="2"/>
        <v>3.8655693179999995</v>
      </c>
      <c r="I31" s="13">
        <f t="shared" si="3"/>
        <v>644.26155299999994</v>
      </c>
      <c r="J31" s="23"/>
      <c r="K31" s="8"/>
      <c r="L31" s="8"/>
      <c r="M31" s="8"/>
    </row>
    <row r="32" spans="1:13" ht="15.75" hidden="1" customHeight="1">
      <c r="A32" s="30">
        <v>11</v>
      </c>
      <c r="B32" s="79" t="s">
        <v>27</v>
      </c>
      <c r="C32" s="80" t="s">
        <v>116</v>
      </c>
      <c r="D32" s="79" t="s">
        <v>55</v>
      </c>
      <c r="E32" s="82">
        <f>E30</f>
        <v>317.7</v>
      </c>
      <c r="F32" s="82">
        <f>SUM(E32/1000)</f>
        <v>0.31769999999999998</v>
      </c>
      <c r="G32" s="82">
        <v>3961.23</v>
      </c>
      <c r="H32" s="86">
        <f t="shared" si="2"/>
        <v>1.2584827709999999</v>
      </c>
      <c r="I32" s="13">
        <f>F32*G32</f>
        <v>1258.482771</v>
      </c>
      <c r="J32" s="23"/>
      <c r="K32" s="8"/>
      <c r="L32" s="8"/>
      <c r="M32" s="8"/>
    </row>
    <row r="33" spans="1:14" ht="15.75" hidden="1" customHeight="1">
      <c r="A33" s="30">
        <v>8</v>
      </c>
      <c r="B33" s="79" t="s">
        <v>207</v>
      </c>
      <c r="C33" s="80" t="s">
        <v>41</v>
      </c>
      <c r="D33" s="79" t="s">
        <v>65</v>
      </c>
      <c r="E33" s="82">
        <v>5</v>
      </c>
      <c r="F33" s="82">
        <f>E33*155/100</f>
        <v>7.75</v>
      </c>
      <c r="G33" s="82">
        <v>1707.63</v>
      </c>
      <c r="H33" s="86">
        <f t="shared" si="2"/>
        <v>13.234132500000001</v>
      </c>
      <c r="I33" s="13">
        <f t="shared" si="3"/>
        <v>2205.6887500000003</v>
      </c>
      <c r="J33" s="23"/>
      <c r="K33" s="8"/>
      <c r="L33" s="8"/>
      <c r="M33" s="8"/>
    </row>
    <row r="34" spans="1:14" ht="15.75" hidden="1" customHeight="1">
      <c r="A34" s="30">
        <v>9</v>
      </c>
      <c r="B34" s="79" t="s">
        <v>117</v>
      </c>
      <c r="C34" s="80" t="s">
        <v>31</v>
      </c>
      <c r="D34" s="79" t="s">
        <v>65</v>
      </c>
      <c r="E34" s="88">
        <f>1/6</f>
        <v>0.16666666666666666</v>
      </c>
      <c r="F34" s="82">
        <f>155/6</f>
        <v>25.833333333333332</v>
      </c>
      <c r="G34" s="82">
        <v>74.349999999999994</v>
      </c>
      <c r="H34" s="86">
        <f t="shared" si="2"/>
        <v>1.920708333333333</v>
      </c>
      <c r="I34" s="13">
        <f t="shared" si="3"/>
        <v>320.11805555555554</v>
      </c>
      <c r="J34" s="23"/>
      <c r="K34" s="8"/>
      <c r="L34" s="8"/>
      <c r="M34" s="8"/>
    </row>
    <row r="35" spans="1:14" ht="15.75" hidden="1" customHeight="1">
      <c r="A35" s="30"/>
      <c r="B35" s="35" t="s">
        <v>67</v>
      </c>
      <c r="C35" s="45" t="s">
        <v>33</v>
      </c>
      <c r="D35" s="35" t="s">
        <v>69</v>
      </c>
      <c r="E35" s="144"/>
      <c r="F35" s="34">
        <v>2</v>
      </c>
      <c r="G35" s="34">
        <v>250.92</v>
      </c>
      <c r="H35" s="142">
        <f t="shared" si="2"/>
        <v>0.50183999999999995</v>
      </c>
      <c r="I35" s="13">
        <v>0</v>
      </c>
      <c r="J35" s="23"/>
      <c r="K35" s="8"/>
    </row>
    <row r="36" spans="1:14" ht="15.75" hidden="1" customHeight="1">
      <c r="A36" s="30"/>
      <c r="B36" s="35" t="s">
        <v>68</v>
      </c>
      <c r="C36" s="45" t="s">
        <v>32</v>
      </c>
      <c r="D36" s="35" t="s">
        <v>69</v>
      </c>
      <c r="E36" s="144"/>
      <c r="F36" s="34">
        <v>1</v>
      </c>
      <c r="G36" s="34">
        <v>1490.31</v>
      </c>
      <c r="H36" s="142">
        <f t="shared" si="2"/>
        <v>1.49031</v>
      </c>
      <c r="I36" s="13"/>
      <c r="J36" s="23"/>
      <c r="K36" s="8"/>
    </row>
    <row r="37" spans="1:14" ht="15.75" customHeight="1">
      <c r="A37" s="30"/>
      <c r="B37" s="107" t="s">
        <v>5</v>
      </c>
      <c r="C37" s="80"/>
      <c r="D37" s="79"/>
      <c r="E37" s="81"/>
      <c r="F37" s="82"/>
      <c r="G37" s="82"/>
      <c r="H37" s="86" t="s">
        <v>142</v>
      </c>
      <c r="I37" s="87"/>
      <c r="J37" s="24"/>
    </row>
    <row r="38" spans="1:14" ht="15.75" customHeight="1">
      <c r="A38" s="30">
        <v>9</v>
      </c>
      <c r="B38" s="79" t="s">
        <v>26</v>
      </c>
      <c r="C38" s="80" t="s">
        <v>32</v>
      </c>
      <c r="D38" s="79"/>
      <c r="E38" s="81"/>
      <c r="F38" s="82">
        <v>3</v>
      </c>
      <c r="G38" s="82">
        <v>2003</v>
      </c>
      <c r="H38" s="86">
        <f t="shared" ref="H38:H44" si="4">SUM(F38*G38/1000)</f>
        <v>6.0090000000000003</v>
      </c>
      <c r="I38" s="13">
        <f t="shared" ref="I38:I44" si="5">F38/6*G38</f>
        <v>1001.5</v>
      </c>
      <c r="J38" s="24"/>
    </row>
    <row r="39" spans="1:14" ht="15.75" customHeight="1">
      <c r="A39" s="30">
        <v>10</v>
      </c>
      <c r="B39" s="79" t="s">
        <v>70</v>
      </c>
      <c r="C39" s="80" t="s">
        <v>29</v>
      </c>
      <c r="D39" s="79" t="s">
        <v>208</v>
      </c>
      <c r="E39" s="82">
        <v>160.6</v>
      </c>
      <c r="F39" s="82">
        <f>SUM(E39*18/1000)</f>
        <v>2.8907999999999996</v>
      </c>
      <c r="G39" s="82">
        <v>2757.78</v>
      </c>
      <c r="H39" s="86">
        <f t="shared" si="4"/>
        <v>7.972190423999999</v>
      </c>
      <c r="I39" s="13">
        <f t="shared" si="5"/>
        <v>1328.698404</v>
      </c>
      <c r="J39" s="24"/>
    </row>
    <row r="40" spans="1:14" ht="15.75" customHeight="1">
      <c r="A40" s="30">
        <v>11</v>
      </c>
      <c r="B40" s="79" t="s">
        <v>71</v>
      </c>
      <c r="C40" s="80" t="s">
        <v>29</v>
      </c>
      <c r="D40" s="79" t="s">
        <v>135</v>
      </c>
      <c r="E40" s="81">
        <v>89.1</v>
      </c>
      <c r="F40" s="82">
        <f>SUM(E40*155/1000)</f>
        <v>13.810499999999999</v>
      </c>
      <c r="G40" s="82">
        <v>460.02</v>
      </c>
      <c r="H40" s="86">
        <f t="shared" si="4"/>
        <v>6.3531062099999991</v>
      </c>
      <c r="I40" s="13">
        <f t="shared" si="5"/>
        <v>1058.8510349999999</v>
      </c>
      <c r="J40" s="24"/>
    </row>
    <row r="41" spans="1:14" ht="15.75" hidden="1" customHeight="1">
      <c r="A41" s="30">
        <v>12</v>
      </c>
      <c r="B41" s="79" t="s">
        <v>209</v>
      </c>
      <c r="C41" s="80" t="s">
        <v>210</v>
      </c>
      <c r="D41" s="79" t="s">
        <v>69</v>
      </c>
      <c r="E41" s="81"/>
      <c r="F41" s="82">
        <v>39</v>
      </c>
      <c r="G41" s="82">
        <v>301.70999999999998</v>
      </c>
      <c r="H41" s="86">
        <f t="shared" si="4"/>
        <v>11.766689999999999</v>
      </c>
      <c r="I41" s="13">
        <v>0</v>
      </c>
      <c r="J41" s="24"/>
    </row>
    <row r="42" spans="1:14" ht="47.25" customHeight="1">
      <c r="A42" s="30">
        <v>12</v>
      </c>
      <c r="B42" s="79" t="s">
        <v>88</v>
      </c>
      <c r="C42" s="80" t="s">
        <v>116</v>
      </c>
      <c r="D42" s="79" t="s">
        <v>211</v>
      </c>
      <c r="E42" s="82">
        <v>46.5</v>
      </c>
      <c r="F42" s="82">
        <f>SUM(E42*35/1000)</f>
        <v>1.6274999999999999</v>
      </c>
      <c r="G42" s="82">
        <v>7611.16</v>
      </c>
      <c r="H42" s="86">
        <f t="shared" si="4"/>
        <v>12.3871629</v>
      </c>
      <c r="I42" s="13">
        <f t="shared" si="5"/>
        <v>2064.5271499999999</v>
      </c>
      <c r="J42" s="24"/>
      <c r="L42" s="20"/>
      <c r="M42" s="21"/>
      <c r="N42" s="22"/>
    </row>
    <row r="43" spans="1:14" ht="15.75" hidden="1" customHeight="1">
      <c r="A43" s="108">
        <v>13</v>
      </c>
      <c r="B43" s="93" t="s">
        <v>118</v>
      </c>
      <c r="C43" s="94" t="s">
        <v>116</v>
      </c>
      <c r="D43" s="93" t="s">
        <v>72</v>
      </c>
      <c r="E43" s="95">
        <v>89.1</v>
      </c>
      <c r="F43" s="95">
        <f>SUM(E43*45/1000)</f>
        <v>4.0094999999999992</v>
      </c>
      <c r="G43" s="95">
        <v>562.25</v>
      </c>
      <c r="H43" s="91">
        <f t="shared" si="4"/>
        <v>2.2543413749999996</v>
      </c>
      <c r="I43" s="109">
        <f t="shared" si="5"/>
        <v>375.72356249999996</v>
      </c>
      <c r="J43" s="24"/>
      <c r="L43" s="20"/>
      <c r="M43" s="21"/>
      <c r="N43" s="22"/>
    </row>
    <row r="44" spans="1:14" ht="15.75" customHeight="1">
      <c r="A44" s="30">
        <v>13</v>
      </c>
      <c r="B44" s="14" t="s">
        <v>73</v>
      </c>
      <c r="C44" s="16" t="s">
        <v>33</v>
      </c>
      <c r="D44" s="14"/>
      <c r="E44" s="19"/>
      <c r="F44" s="13">
        <v>0.9</v>
      </c>
      <c r="G44" s="13">
        <v>974.83</v>
      </c>
      <c r="H44" s="13">
        <f t="shared" si="4"/>
        <v>0.8773470000000001</v>
      </c>
      <c r="I44" s="13">
        <f t="shared" si="5"/>
        <v>146.22450000000001</v>
      </c>
      <c r="J44" s="24"/>
      <c r="L44" s="20"/>
      <c r="M44" s="21"/>
      <c r="N44" s="22"/>
    </row>
    <row r="45" spans="1:14" ht="15.75" customHeight="1">
      <c r="A45" s="186" t="s">
        <v>150</v>
      </c>
      <c r="B45" s="187"/>
      <c r="C45" s="187"/>
      <c r="D45" s="187"/>
      <c r="E45" s="187"/>
      <c r="F45" s="187"/>
      <c r="G45" s="187"/>
      <c r="H45" s="187"/>
      <c r="I45" s="188"/>
      <c r="J45" s="24"/>
      <c r="L45" s="20"/>
      <c r="M45" s="21"/>
      <c r="N45" s="22"/>
    </row>
    <row r="46" spans="1:14" ht="15.75" hidden="1" customHeight="1">
      <c r="A46" s="30">
        <v>12</v>
      </c>
      <c r="B46" s="40" t="s">
        <v>119</v>
      </c>
      <c r="C46" s="41" t="s">
        <v>116</v>
      </c>
      <c r="D46" s="40" t="s">
        <v>43</v>
      </c>
      <c r="E46" s="18">
        <v>1632.75</v>
      </c>
      <c r="F46" s="37">
        <f>SUM(E46*2/1000)</f>
        <v>3.2654999999999998</v>
      </c>
      <c r="G46" s="37">
        <v>1062</v>
      </c>
      <c r="H46" s="37">
        <f t="shared" ref="H46:H55" si="6">SUM(F46*G46/1000)</f>
        <v>3.4679609999999998</v>
      </c>
      <c r="I46" s="13">
        <f>F46/2*G46</f>
        <v>1733.9804999999999</v>
      </c>
      <c r="J46" s="24"/>
      <c r="L46" s="20"/>
      <c r="M46" s="21"/>
      <c r="N46" s="22"/>
    </row>
    <row r="47" spans="1:14" ht="15.75" hidden="1" customHeight="1">
      <c r="A47" s="30">
        <v>13</v>
      </c>
      <c r="B47" s="40" t="s">
        <v>36</v>
      </c>
      <c r="C47" s="41" t="s">
        <v>116</v>
      </c>
      <c r="D47" s="40" t="s">
        <v>43</v>
      </c>
      <c r="E47" s="18">
        <v>53.75</v>
      </c>
      <c r="F47" s="37">
        <f>SUM(E47*2/1000)</f>
        <v>0.1075</v>
      </c>
      <c r="G47" s="37">
        <v>759.98</v>
      </c>
      <c r="H47" s="37">
        <f t="shared" si="6"/>
        <v>8.1697850000000002E-2</v>
      </c>
      <c r="I47" s="13">
        <f t="shared" ref="I47:I54" si="7">F47/2*G47</f>
        <v>40.848925000000001</v>
      </c>
      <c r="J47" s="24"/>
      <c r="L47" s="20"/>
      <c r="M47" s="21"/>
      <c r="N47" s="22"/>
    </row>
    <row r="48" spans="1:14" ht="15.75" hidden="1" customHeight="1">
      <c r="A48" s="30">
        <v>14</v>
      </c>
      <c r="B48" s="40" t="s">
        <v>37</v>
      </c>
      <c r="C48" s="41" t="s">
        <v>116</v>
      </c>
      <c r="D48" s="40" t="s">
        <v>43</v>
      </c>
      <c r="E48" s="18">
        <v>2285.6</v>
      </c>
      <c r="F48" s="37">
        <f>SUM(E48*2/1000)</f>
        <v>4.5712000000000002</v>
      </c>
      <c r="G48" s="37">
        <v>759.98</v>
      </c>
      <c r="H48" s="37">
        <f t="shared" si="6"/>
        <v>3.4740205760000005</v>
      </c>
      <c r="I48" s="13">
        <f t="shared" si="7"/>
        <v>1737.0102880000002</v>
      </c>
      <c r="J48" s="24"/>
      <c r="L48" s="20"/>
      <c r="M48" s="21"/>
      <c r="N48" s="22"/>
    </row>
    <row r="49" spans="1:14" ht="15.75" hidden="1" customHeight="1">
      <c r="A49" s="30">
        <v>15</v>
      </c>
      <c r="B49" s="40" t="s">
        <v>38</v>
      </c>
      <c r="C49" s="41" t="s">
        <v>116</v>
      </c>
      <c r="D49" s="40" t="s">
        <v>43</v>
      </c>
      <c r="E49" s="18">
        <v>1860</v>
      </c>
      <c r="F49" s="37">
        <f>SUM(E49*2/1000)</f>
        <v>3.72</v>
      </c>
      <c r="G49" s="37">
        <v>795.82</v>
      </c>
      <c r="H49" s="37">
        <f t="shared" si="6"/>
        <v>2.9604504</v>
      </c>
      <c r="I49" s="13">
        <f t="shared" si="7"/>
        <v>1480.2252000000001</v>
      </c>
      <c r="J49" s="24"/>
      <c r="L49" s="20"/>
      <c r="M49" s="21"/>
      <c r="N49" s="22"/>
    </row>
    <row r="50" spans="1:14" ht="15.75" hidden="1" customHeight="1">
      <c r="A50" s="30">
        <v>16</v>
      </c>
      <c r="B50" s="40" t="s">
        <v>34</v>
      </c>
      <c r="C50" s="41" t="s">
        <v>35</v>
      </c>
      <c r="D50" s="40" t="s">
        <v>43</v>
      </c>
      <c r="E50" s="18">
        <v>120.5</v>
      </c>
      <c r="F50" s="37">
        <f>SUM(E50*2/100)</f>
        <v>2.41</v>
      </c>
      <c r="G50" s="37">
        <v>95.49</v>
      </c>
      <c r="H50" s="37">
        <f t="shared" si="6"/>
        <v>0.2301309</v>
      </c>
      <c r="I50" s="13">
        <f t="shared" si="7"/>
        <v>115.06545</v>
      </c>
      <c r="J50" s="24"/>
      <c r="L50" s="20"/>
      <c r="M50" s="21"/>
      <c r="N50" s="22"/>
    </row>
    <row r="51" spans="1:14" ht="15.75" customHeight="1">
      <c r="A51" s="30">
        <v>14</v>
      </c>
      <c r="B51" s="40" t="s">
        <v>58</v>
      </c>
      <c r="C51" s="41" t="s">
        <v>116</v>
      </c>
      <c r="D51" s="40" t="s">
        <v>153</v>
      </c>
      <c r="E51" s="18">
        <v>3053.4</v>
      </c>
      <c r="F51" s="37">
        <f>SUM(E51*5/1000)</f>
        <v>15.266999999999999</v>
      </c>
      <c r="G51" s="37">
        <v>1591.6</v>
      </c>
      <c r="H51" s="37">
        <f t="shared" si="6"/>
        <v>24.298957199999997</v>
      </c>
      <c r="I51" s="13">
        <f>F51/5*G51</f>
        <v>4859.79144</v>
      </c>
      <c r="J51" s="24"/>
      <c r="L51" s="20"/>
      <c r="M51" s="21"/>
      <c r="N51" s="22"/>
    </row>
    <row r="52" spans="1:14" ht="31.5" customHeight="1">
      <c r="A52" s="30">
        <v>15</v>
      </c>
      <c r="B52" s="40" t="s">
        <v>120</v>
      </c>
      <c r="C52" s="41" t="s">
        <v>116</v>
      </c>
      <c r="D52" s="40" t="s">
        <v>43</v>
      </c>
      <c r="E52" s="18">
        <f>E51</f>
        <v>3053.4</v>
      </c>
      <c r="F52" s="37">
        <f>SUM(E52*2/1000)</f>
        <v>6.1067999999999998</v>
      </c>
      <c r="G52" s="37">
        <v>1591.6</v>
      </c>
      <c r="H52" s="37">
        <f t="shared" si="6"/>
        <v>9.7195828800000008</v>
      </c>
      <c r="I52" s="13">
        <f t="shared" si="7"/>
        <v>4859.79144</v>
      </c>
      <c r="J52" s="24"/>
      <c r="L52" s="20"/>
      <c r="M52" s="21"/>
      <c r="N52" s="22"/>
    </row>
    <row r="53" spans="1:14" ht="31.5" customHeight="1">
      <c r="A53" s="30">
        <v>16</v>
      </c>
      <c r="B53" s="40" t="s">
        <v>143</v>
      </c>
      <c r="C53" s="41" t="s">
        <v>39</v>
      </c>
      <c r="D53" s="40" t="s">
        <v>43</v>
      </c>
      <c r="E53" s="18">
        <v>20</v>
      </c>
      <c r="F53" s="37">
        <f>SUM(E53*2/100)</f>
        <v>0.4</v>
      </c>
      <c r="G53" s="37">
        <v>3581.13</v>
      </c>
      <c r="H53" s="37">
        <f t="shared" si="6"/>
        <v>1.4324520000000003</v>
      </c>
      <c r="I53" s="13">
        <f t="shared" si="7"/>
        <v>716.22600000000011</v>
      </c>
      <c r="J53" s="24"/>
      <c r="L53" s="20"/>
      <c r="M53" s="21"/>
      <c r="N53" s="22"/>
    </row>
    <row r="54" spans="1:14" ht="15.75" customHeight="1">
      <c r="A54" s="30">
        <v>17</v>
      </c>
      <c r="B54" s="40" t="s">
        <v>40</v>
      </c>
      <c r="C54" s="41" t="s">
        <v>41</v>
      </c>
      <c r="D54" s="40" t="s">
        <v>43</v>
      </c>
      <c r="E54" s="18">
        <v>1</v>
      </c>
      <c r="F54" s="37">
        <v>0.02</v>
      </c>
      <c r="G54" s="37">
        <v>7412.92</v>
      </c>
      <c r="H54" s="37">
        <f t="shared" si="6"/>
        <v>0.14825839999999998</v>
      </c>
      <c r="I54" s="13">
        <f t="shared" si="7"/>
        <v>74.129199999999997</v>
      </c>
      <c r="J54" s="24"/>
      <c r="L54" s="20"/>
      <c r="M54" s="21"/>
      <c r="N54" s="22"/>
    </row>
    <row r="55" spans="1:14" ht="15.75" hidden="1" customHeight="1">
      <c r="A55" s="30">
        <v>18</v>
      </c>
      <c r="B55" s="40" t="s">
        <v>42</v>
      </c>
      <c r="C55" s="41" t="s">
        <v>97</v>
      </c>
      <c r="D55" s="40" t="s">
        <v>74</v>
      </c>
      <c r="E55" s="18">
        <v>128</v>
      </c>
      <c r="F55" s="37">
        <f>SUM(E55)*3</f>
        <v>384</v>
      </c>
      <c r="G55" s="38">
        <v>86.15</v>
      </c>
      <c r="H55" s="37">
        <f t="shared" si="6"/>
        <v>33.081600000000009</v>
      </c>
      <c r="I55" s="13">
        <f>E55*G55</f>
        <v>11027.2</v>
      </c>
      <c r="J55" s="24"/>
      <c r="L55" s="20"/>
      <c r="M55" s="21"/>
      <c r="N55" s="22"/>
    </row>
    <row r="56" spans="1:14" ht="15.75" customHeight="1">
      <c r="A56" s="186" t="s">
        <v>151</v>
      </c>
      <c r="B56" s="187"/>
      <c r="C56" s="187"/>
      <c r="D56" s="187"/>
      <c r="E56" s="187"/>
      <c r="F56" s="187"/>
      <c r="G56" s="187"/>
      <c r="H56" s="187"/>
      <c r="I56" s="188"/>
      <c r="J56" s="24"/>
      <c r="L56" s="20"/>
      <c r="M56" s="21"/>
      <c r="N56" s="22"/>
    </row>
    <row r="57" spans="1:14" ht="15.75" customHeight="1">
      <c r="A57" s="110"/>
      <c r="B57" s="124" t="s">
        <v>44</v>
      </c>
      <c r="C57" s="112"/>
      <c r="D57" s="111"/>
      <c r="E57" s="113"/>
      <c r="F57" s="114"/>
      <c r="G57" s="114"/>
      <c r="H57" s="125"/>
      <c r="I57" s="126"/>
      <c r="J57" s="24"/>
      <c r="L57" s="20"/>
      <c r="M57" s="21"/>
      <c r="N57" s="22"/>
    </row>
    <row r="58" spans="1:14" ht="31.5" customHeight="1">
      <c r="A58" s="30">
        <v>18</v>
      </c>
      <c r="B58" s="79" t="s">
        <v>121</v>
      </c>
      <c r="C58" s="80" t="s">
        <v>102</v>
      </c>
      <c r="D58" s="79" t="s">
        <v>122</v>
      </c>
      <c r="E58" s="81">
        <v>92.7</v>
      </c>
      <c r="F58" s="82">
        <f>SUM(E58*6/100)</f>
        <v>5.5620000000000003</v>
      </c>
      <c r="G58" s="13">
        <v>2431.1799999999998</v>
      </c>
      <c r="H58" s="86">
        <f>SUM(F58*G58/1000)</f>
        <v>13.522223159999999</v>
      </c>
      <c r="I58" s="13">
        <f>F58/6*G58</f>
        <v>2253.7038600000001</v>
      </c>
      <c r="J58" s="24"/>
      <c r="L58" s="20"/>
      <c r="M58" s="21"/>
      <c r="N58" s="22"/>
    </row>
    <row r="59" spans="1:14" ht="15.75" hidden="1" customHeight="1">
      <c r="A59" s="30"/>
      <c r="B59" s="79" t="s">
        <v>144</v>
      </c>
      <c r="C59" s="80" t="s">
        <v>145</v>
      </c>
      <c r="D59" s="14" t="s">
        <v>69</v>
      </c>
      <c r="E59" s="81"/>
      <c r="F59" s="82">
        <v>2</v>
      </c>
      <c r="G59" s="75">
        <v>1582.05</v>
      </c>
      <c r="H59" s="86">
        <f>SUM(F59*G59/1000)</f>
        <v>3.1640999999999999</v>
      </c>
      <c r="I59" s="13">
        <f>G59*2</f>
        <v>3164.1</v>
      </c>
      <c r="J59" s="24"/>
      <c r="L59" s="20"/>
      <c r="M59" s="21"/>
      <c r="N59" s="22"/>
    </row>
    <row r="60" spans="1:14" ht="15.75" customHeight="1">
      <c r="A60" s="30"/>
      <c r="B60" s="107" t="s">
        <v>45</v>
      </c>
      <c r="C60" s="80"/>
      <c r="D60" s="79"/>
      <c r="E60" s="81"/>
      <c r="F60" s="82"/>
      <c r="G60" s="82"/>
      <c r="H60" s="83" t="s">
        <v>142</v>
      </c>
      <c r="I60" s="87"/>
      <c r="J60" s="24"/>
      <c r="L60" s="20"/>
      <c r="M60" s="21"/>
      <c r="N60" s="22"/>
    </row>
    <row r="61" spans="1:14" ht="15.75" hidden="1" customHeight="1">
      <c r="A61" s="30"/>
      <c r="B61" s="35" t="s">
        <v>46</v>
      </c>
      <c r="C61" s="45" t="s">
        <v>102</v>
      </c>
      <c r="D61" s="35" t="s">
        <v>55</v>
      </c>
      <c r="E61" s="146">
        <v>145</v>
      </c>
      <c r="F61" s="34">
        <f>SUM(E61/100)</f>
        <v>1.45</v>
      </c>
      <c r="G61" s="37">
        <v>1040.8399999999999</v>
      </c>
      <c r="H61" s="147">
        <v>9.1679999999999993</v>
      </c>
      <c r="I61" s="13">
        <v>0</v>
      </c>
      <c r="J61" s="24"/>
      <c r="L61" s="20"/>
      <c r="M61" s="21"/>
      <c r="N61" s="22"/>
    </row>
    <row r="62" spans="1:14" ht="15.75" customHeight="1">
      <c r="A62" s="30">
        <v>19</v>
      </c>
      <c r="B62" s="148" t="s">
        <v>98</v>
      </c>
      <c r="C62" s="149" t="s">
        <v>25</v>
      </c>
      <c r="D62" s="148" t="s">
        <v>30</v>
      </c>
      <c r="E62" s="146">
        <v>255.2</v>
      </c>
      <c r="F62" s="34">
        <f>SUM(E62*12)</f>
        <v>3062.3999999999996</v>
      </c>
      <c r="G62" s="150">
        <v>2.8</v>
      </c>
      <c r="H62" s="151">
        <f>G62*F62/1000</f>
        <v>8.5747199999999992</v>
      </c>
      <c r="I62" s="13">
        <f>F62/12*G62</f>
        <v>714.55999999999983</v>
      </c>
      <c r="J62" s="24"/>
      <c r="L62" s="20"/>
      <c r="M62" s="21"/>
      <c r="N62" s="22"/>
    </row>
    <row r="63" spans="1:14" ht="15.75" customHeight="1">
      <c r="A63" s="30"/>
      <c r="B63" s="117" t="s">
        <v>47</v>
      </c>
      <c r="C63" s="94"/>
      <c r="D63" s="93"/>
      <c r="E63" s="90"/>
      <c r="F63" s="95"/>
      <c r="G63" s="95"/>
      <c r="H63" s="96" t="s">
        <v>142</v>
      </c>
      <c r="I63" s="87"/>
      <c r="J63" s="24"/>
      <c r="L63" s="20"/>
      <c r="M63" s="21"/>
      <c r="N63" s="22"/>
    </row>
    <row r="64" spans="1:14" ht="15.75" customHeight="1">
      <c r="A64" s="30">
        <v>20</v>
      </c>
      <c r="B64" s="57" t="s">
        <v>48</v>
      </c>
      <c r="C64" s="41" t="s">
        <v>97</v>
      </c>
      <c r="D64" s="40" t="s">
        <v>69</v>
      </c>
      <c r="E64" s="18">
        <v>6</v>
      </c>
      <c r="F64" s="34">
        <f>SUM(E64)</f>
        <v>6</v>
      </c>
      <c r="G64" s="37">
        <v>291.68</v>
      </c>
      <c r="H64" s="134">
        <f t="shared" ref="H64:H72" si="8">SUM(F64*G64/1000)</f>
        <v>1.7500799999999999</v>
      </c>
      <c r="I64" s="13">
        <f>G64*3</f>
        <v>875.04</v>
      </c>
      <c r="J64" s="24"/>
      <c r="L64" s="20"/>
    </row>
    <row r="65" spans="1:22" ht="15.75" hidden="1" customHeight="1">
      <c r="A65" s="30"/>
      <c r="B65" s="57" t="s">
        <v>49</v>
      </c>
      <c r="C65" s="41" t="s">
        <v>97</v>
      </c>
      <c r="D65" s="40" t="s">
        <v>69</v>
      </c>
      <c r="E65" s="18">
        <v>4</v>
      </c>
      <c r="F65" s="34">
        <f>SUM(E65)</f>
        <v>4</v>
      </c>
      <c r="G65" s="37">
        <v>100.01</v>
      </c>
      <c r="H65" s="134">
        <f t="shared" si="8"/>
        <v>0.40004000000000001</v>
      </c>
      <c r="I65" s="13">
        <v>0</v>
      </c>
      <c r="J65" s="24"/>
      <c r="L65" s="20"/>
    </row>
    <row r="66" spans="1:22" ht="15.75" hidden="1" customHeight="1">
      <c r="A66" s="30"/>
      <c r="B66" s="57" t="s">
        <v>50</v>
      </c>
      <c r="C66" s="43" t="s">
        <v>123</v>
      </c>
      <c r="D66" s="40" t="s">
        <v>55</v>
      </c>
      <c r="E66" s="144">
        <v>15552</v>
      </c>
      <c r="F66" s="38">
        <f>SUM(E66/100)</f>
        <v>155.52000000000001</v>
      </c>
      <c r="G66" s="37">
        <v>278.24</v>
      </c>
      <c r="H66" s="134">
        <f t="shared" si="8"/>
        <v>43.271884800000009</v>
      </c>
      <c r="I66" s="13">
        <v>0</v>
      </c>
    </row>
    <row r="67" spans="1:22" ht="15.75" hidden="1" customHeight="1">
      <c r="A67" s="30"/>
      <c r="B67" s="57" t="s">
        <v>51</v>
      </c>
      <c r="C67" s="41" t="s">
        <v>124</v>
      </c>
      <c r="D67" s="40"/>
      <c r="E67" s="144">
        <v>15552</v>
      </c>
      <c r="F67" s="37">
        <f>SUM(E67/1000)</f>
        <v>15.552</v>
      </c>
      <c r="G67" s="37">
        <v>216.68</v>
      </c>
      <c r="H67" s="134">
        <f t="shared" si="8"/>
        <v>3.3698073600000003</v>
      </c>
      <c r="I67" s="13">
        <v>0</v>
      </c>
    </row>
    <row r="68" spans="1:22" ht="15.75" hidden="1" customHeight="1">
      <c r="A68" s="30"/>
      <c r="B68" s="57" t="s">
        <v>52</v>
      </c>
      <c r="C68" s="41" t="s">
        <v>81</v>
      </c>
      <c r="D68" s="40" t="s">
        <v>55</v>
      </c>
      <c r="E68" s="144">
        <v>2432</v>
      </c>
      <c r="F68" s="37">
        <f>SUM(E68/100)</f>
        <v>24.32</v>
      </c>
      <c r="G68" s="37">
        <v>2720.94</v>
      </c>
      <c r="H68" s="134">
        <f t="shared" si="8"/>
        <v>66.173260800000008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15.75" hidden="1" customHeight="1">
      <c r="A69" s="30"/>
      <c r="B69" s="54" t="s">
        <v>75</v>
      </c>
      <c r="C69" s="41" t="s">
        <v>33</v>
      </c>
      <c r="D69" s="40"/>
      <c r="E69" s="144">
        <v>14.8</v>
      </c>
      <c r="F69" s="37">
        <f>SUM(E69)</f>
        <v>14.8</v>
      </c>
      <c r="G69" s="37">
        <v>42.61</v>
      </c>
      <c r="H69" s="134">
        <f t="shared" si="8"/>
        <v>0.63062800000000008</v>
      </c>
      <c r="I69" s="13">
        <v>0</v>
      </c>
      <c r="J69" s="26"/>
      <c r="K69" s="26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31.5" hidden="1" customHeight="1">
      <c r="A70" s="30"/>
      <c r="B70" s="54" t="s">
        <v>76</v>
      </c>
      <c r="C70" s="41" t="s">
        <v>33</v>
      </c>
      <c r="D70" s="40"/>
      <c r="E70" s="144">
        <f>E69</f>
        <v>14.8</v>
      </c>
      <c r="F70" s="37">
        <f>SUM(E70)</f>
        <v>14.8</v>
      </c>
      <c r="G70" s="37">
        <v>46.04</v>
      </c>
      <c r="H70" s="134">
        <f t="shared" si="8"/>
        <v>0.681392</v>
      </c>
      <c r="I70" s="13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15.75" hidden="1" customHeight="1">
      <c r="A71" s="30">
        <v>22</v>
      </c>
      <c r="B71" s="40" t="s">
        <v>59</v>
      </c>
      <c r="C71" s="41" t="s">
        <v>60</v>
      </c>
      <c r="D71" s="40" t="s">
        <v>55</v>
      </c>
      <c r="E71" s="18">
        <v>5</v>
      </c>
      <c r="F71" s="34">
        <f>SUM(E71)</f>
        <v>5</v>
      </c>
      <c r="G71" s="37">
        <v>65.42</v>
      </c>
      <c r="H71" s="134">
        <f t="shared" si="8"/>
        <v>0.3271</v>
      </c>
      <c r="I71" s="13">
        <f>G71*4</f>
        <v>261.68</v>
      </c>
      <c r="J71" s="5"/>
      <c r="K71" s="5"/>
      <c r="L71" s="5"/>
      <c r="M71" s="5"/>
      <c r="N71" s="5"/>
      <c r="O71" s="5"/>
      <c r="P71" s="5"/>
      <c r="Q71" s="5"/>
      <c r="R71" s="183"/>
      <c r="S71" s="183"/>
      <c r="T71" s="183"/>
      <c r="U71" s="183"/>
    </row>
    <row r="72" spans="1:22" ht="15.75" customHeight="1">
      <c r="A72" s="30">
        <v>21</v>
      </c>
      <c r="B72" s="40" t="s">
        <v>212</v>
      </c>
      <c r="C72" s="46" t="s">
        <v>213</v>
      </c>
      <c r="D72" s="40" t="s">
        <v>69</v>
      </c>
      <c r="E72" s="18">
        <f>E51</f>
        <v>3053.4</v>
      </c>
      <c r="F72" s="34">
        <f>SUM(E72*12)</f>
        <v>36640.800000000003</v>
      </c>
      <c r="G72" s="37">
        <v>2.2799999999999998</v>
      </c>
      <c r="H72" s="134">
        <f t="shared" si="8"/>
        <v>83.541024000000007</v>
      </c>
      <c r="I72" s="13">
        <f>F72/12*G72</f>
        <v>6961.7519999999995</v>
      </c>
      <c r="J72" s="5"/>
      <c r="K72" s="5"/>
      <c r="L72" s="5"/>
      <c r="M72" s="5"/>
      <c r="N72" s="5"/>
      <c r="O72" s="5"/>
      <c r="P72" s="5"/>
      <c r="Q72" s="5"/>
      <c r="R72" s="129"/>
      <c r="S72" s="129"/>
      <c r="T72" s="129"/>
      <c r="U72" s="129"/>
    </row>
    <row r="73" spans="1:22" ht="15.75" customHeight="1">
      <c r="A73" s="30"/>
      <c r="B73" s="132" t="s">
        <v>77</v>
      </c>
      <c r="C73" s="16"/>
      <c r="D73" s="14"/>
      <c r="E73" s="19"/>
      <c r="F73" s="13"/>
      <c r="G73" s="13"/>
      <c r="H73" s="97" t="s">
        <v>142</v>
      </c>
      <c r="I73" s="87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4" spans="1:22" ht="15.75" hidden="1" customHeight="1">
      <c r="A74" s="30">
        <v>19</v>
      </c>
      <c r="B74" s="40" t="s">
        <v>214</v>
      </c>
      <c r="C74" s="41" t="s">
        <v>215</v>
      </c>
      <c r="D74" s="40" t="s">
        <v>69</v>
      </c>
      <c r="E74" s="18">
        <v>1</v>
      </c>
      <c r="F74" s="37">
        <f>E74</f>
        <v>1</v>
      </c>
      <c r="G74" s="37">
        <v>1029.1199999999999</v>
      </c>
      <c r="H74" s="133">
        <f t="shared" ref="H74:H75" si="9">SUM(F74*G74/1000)</f>
        <v>1.0291199999999998</v>
      </c>
      <c r="I74" s="13">
        <v>0</v>
      </c>
    </row>
    <row r="75" spans="1:22" ht="15.75" hidden="1" customHeight="1">
      <c r="A75" s="30"/>
      <c r="B75" s="40" t="s">
        <v>216</v>
      </c>
      <c r="C75" s="41" t="s">
        <v>217</v>
      </c>
      <c r="D75" s="152"/>
      <c r="E75" s="18">
        <v>1</v>
      </c>
      <c r="F75" s="37">
        <v>1</v>
      </c>
      <c r="G75" s="37">
        <v>735</v>
      </c>
      <c r="H75" s="133">
        <f t="shared" si="9"/>
        <v>0.73499999999999999</v>
      </c>
      <c r="I75" s="13">
        <v>0</v>
      </c>
    </row>
    <row r="76" spans="1:22" ht="15.75" customHeight="1">
      <c r="A76" s="30">
        <v>22</v>
      </c>
      <c r="B76" s="40" t="s">
        <v>78</v>
      </c>
      <c r="C76" s="41" t="s">
        <v>79</v>
      </c>
      <c r="D76" s="40" t="s">
        <v>69</v>
      </c>
      <c r="E76" s="18">
        <v>5</v>
      </c>
      <c r="F76" s="34">
        <f>SUM(E76/10)</f>
        <v>0.5</v>
      </c>
      <c r="G76" s="37">
        <v>657.87</v>
      </c>
      <c r="H76" s="133">
        <f>SUM(F76*G76/1000)</f>
        <v>0.32893499999999998</v>
      </c>
      <c r="I76" s="13">
        <f>G76*0.8</f>
        <v>526.29600000000005</v>
      </c>
    </row>
    <row r="77" spans="1:22" ht="15.75" hidden="1" customHeight="1">
      <c r="A77" s="30"/>
      <c r="B77" s="40" t="s">
        <v>137</v>
      </c>
      <c r="C77" s="41" t="s">
        <v>97</v>
      </c>
      <c r="D77" s="40" t="s">
        <v>69</v>
      </c>
      <c r="E77" s="18">
        <v>1</v>
      </c>
      <c r="F77" s="37">
        <f>E77</f>
        <v>1</v>
      </c>
      <c r="G77" s="37">
        <v>1118.72</v>
      </c>
      <c r="H77" s="133">
        <f>SUM(F77*G77/1000)</f>
        <v>1.1187199999999999</v>
      </c>
      <c r="I77" s="13">
        <v>0</v>
      </c>
    </row>
    <row r="78" spans="1:22" ht="15.75" customHeight="1">
      <c r="A78" s="30">
        <v>23</v>
      </c>
      <c r="B78" s="135" t="s">
        <v>218</v>
      </c>
      <c r="C78" s="136" t="s">
        <v>97</v>
      </c>
      <c r="D78" s="40" t="s">
        <v>69</v>
      </c>
      <c r="E78" s="18">
        <v>2</v>
      </c>
      <c r="F78" s="34">
        <f>E78*12</f>
        <v>24</v>
      </c>
      <c r="G78" s="37">
        <v>53.42</v>
      </c>
      <c r="H78" s="133">
        <f t="shared" ref="H78:H79" si="10">SUM(F78*G78/1000)</f>
        <v>1.2820799999999999</v>
      </c>
      <c r="I78" s="13">
        <f>G78*2</f>
        <v>106.84</v>
      </c>
    </row>
    <row r="79" spans="1:22" ht="31.5" customHeight="1">
      <c r="A79" s="30">
        <v>24</v>
      </c>
      <c r="B79" s="135" t="s">
        <v>219</v>
      </c>
      <c r="C79" s="136" t="s">
        <v>97</v>
      </c>
      <c r="D79" s="40" t="s">
        <v>30</v>
      </c>
      <c r="E79" s="18">
        <v>1</v>
      </c>
      <c r="F79" s="34">
        <f>E79*12</f>
        <v>12</v>
      </c>
      <c r="G79" s="37">
        <v>1194</v>
      </c>
      <c r="H79" s="133">
        <f t="shared" si="10"/>
        <v>14.327999999999999</v>
      </c>
      <c r="I79" s="13">
        <f>G79</f>
        <v>1194</v>
      </c>
    </row>
    <row r="80" spans="1:22" ht="15.75" hidden="1" customHeight="1">
      <c r="A80" s="30"/>
      <c r="B80" s="101" t="s">
        <v>80</v>
      </c>
      <c r="C80" s="16"/>
      <c r="D80" s="14"/>
      <c r="E80" s="19"/>
      <c r="F80" s="19"/>
      <c r="G80" s="19"/>
      <c r="H80" s="19"/>
      <c r="I80" s="87"/>
    </row>
    <row r="81" spans="1:9" ht="15.75" hidden="1" customHeight="1">
      <c r="A81" s="30"/>
      <c r="B81" s="42" t="s">
        <v>127</v>
      </c>
      <c r="C81" s="43" t="s">
        <v>81</v>
      </c>
      <c r="D81" s="57"/>
      <c r="E81" s="60"/>
      <c r="F81" s="38">
        <v>0.3</v>
      </c>
      <c r="G81" s="38">
        <v>3619.09</v>
      </c>
      <c r="H81" s="134">
        <f t="shared" ref="H81" si="11">SUM(F81*G81/1000)</f>
        <v>1.0857270000000001</v>
      </c>
      <c r="I81" s="13">
        <v>0</v>
      </c>
    </row>
    <row r="82" spans="1:9" ht="15.75" hidden="1" customHeight="1">
      <c r="A82" s="30"/>
      <c r="B82" s="132" t="s">
        <v>125</v>
      </c>
      <c r="C82" s="101"/>
      <c r="D82" s="32"/>
      <c r="E82" s="33"/>
      <c r="F82" s="102"/>
      <c r="G82" s="102"/>
      <c r="H82" s="103">
        <f>SUM(H58:H81)</f>
        <v>254.48184212000004</v>
      </c>
      <c r="I82" s="85"/>
    </row>
    <row r="83" spans="1:9" ht="15.75" hidden="1" customHeight="1">
      <c r="A83" s="108"/>
      <c r="B83" s="35" t="s">
        <v>126</v>
      </c>
      <c r="C83" s="153"/>
      <c r="D83" s="154"/>
      <c r="E83" s="155"/>
      <c r="F83" s="39">
        <f>232/10</f>
        <v>23.2</v>
      </c>
      <c r="G83" s="39">
        <v>12361.2</v>
      </c>
      <c r="H83" s="134">
        <f>G83*F83/1000</f>
        <v>286.77984000000004</v>
      </c>
      <c r="I83" s="109">
        <v>0</v>
      </c>
    </row>
    <row r="84" spans="1:9" ht="15.75" customHeight="1">
      <c r="A84" s="186" t="s">
        <v>152</v>
      </c>
      <c r="B84" s="187"/>
      <c r="C84" s="187"/>
      <c r="D84" s="187"/>
      <c r="E84" s="187"/>
      <c r="F84" s="187"/>
      <c r="G84" s="187"/>
      <c r="H84" s="187"/>
      <c r="I84" s="188"/>
    </row>
    <row r="85" spans="1:9" ht="15.75" customHeight="1">
      <c r="A85" s="110">
        <v>25</v>
      </c>
      <c r="B85" s="35" t="s">
        <v>128</v>
      </c>
      <c r="C85" s="41" t="s">
        <v>56</v>
      </c>
      <c r="D85" s="122" t="s">
        <v>57</v>
      </c>
      <c r="E85" s="37">
        <v>3053.4</v>
      </c>
      <c r="F85" s="37">
        <f>SUM(E85*12)</f>
        <v>36640.800000000003</v>
      </c>
      <c r="G85" s="37">
        <v>3.1</v>
      </c>
      <c r="H85" s="134">
        <f>SUM(F85*G85/1000)</f>
        <v>113.58648000000001</v>
      </c>
      <c r="I85" s="115">
        <f>F85/12*G85</f>
        <v>9465.5400000000009</v>
      </c>
    </row>
    <row r="86" spans="1:9" ht="31.5" customHeight="1">
      <c r="A86" s="30">
        <v>26</v>
      </c>
      <c r="B86" s="40" t="s">
        <v>82</v>
      </c>
      <c r="C86" s="41"/>
      <c r="D86" s="122" t="s">
        <v>57</v>
      </c>
      <c r="E86" s="144">
        <v>3053.4</v>
      </c>
      <c r="F86" s="37">
        <f>E86*12</f>
        <v>36640.800000000003</v>
      </c>
      <c r="G86" s="37">
        <v>3.5</v>
      </c>
      <c r="H86" s="134">
        <f>F86*G86/1000</f>
        <v>128.24280000000002</v>
      </c>
      <c r="I86" s="13">
        <f>F86/12*G86</f>
        <v>10686.9</v>
      </c>
    </row>
    <row r="87" spans="1:9" ht="15.75" customHeight="1">
      <c r="A87" s="30"/>
      <c r="B87" s="44" t="s">
        <v>85</v>
      </c>
      <c r="C87" s="101"/>
      <c r="D87" s="99"/>
      <c r="E87" s="102"/>
      <c r="F87" s="102"/>
      <c r="G87" s="102"/>
      <c r="H87" s="103">
        <f>SUM(H86)</f>
        <v>128.24280000000002</v>
      </c>
      <c r="I87" s="102">
        <f>I16+I17+I18+I26+I27+I38+I39+I40+I42+I44+I51+I52+I53+I54+I58+I62+I64+I72+I76+I78+I79+I85+I86</f>
        <v>72629.065988999995</v>
      </c>
    </row>
    <row r="88" spans="1:9" ht="15.75" customHeight="1">
      <c r="A88" s="169" t="s">
        <v>62</v>
      </c>
      <c r="B88" s="170"/>
      <c r="C88" s="170"/>
      <c r="D88" s="170"/>
      <c r="E88" s="170"/>
      <c r="F88" s="170"/>
      <c r="G88" s="170"/>
      <c r="H88" s="170"/>
      <c r="I88" s="171"/>
    </row>
    <row r="89" spans="1:9" ht="31.5" customHeight="1">
      <c r="A89" s="30">
        <v>27</v>
      </c>
      <c r="B89" s="58" t="s">
        <v>95</v>
      </c>
      <c r="C89" s="59" t="s">
        <v>108</v>
      </c>
      <c r="D89" s="138"/>
      <c r="E89" s="37"/>
      <c r="F89" s="37">
        <v>7</v>
      </c>
      <c r="G89" s="37">
        <v>589.84</v>
      </c>
      <c r="H89" s="134">
        <f>F89*G89/1000</f>
        <v>4.1288800000000005</v>
      </c>
      <c r="I89" s="19">
        <f>G89*2</f>
        <v>1179.68</v>
      </c>
    </row>
    <row r="90" spans="1:9" ht="15.75" customHeight="1">
      <c r="A90" s="30">
        <v>28</v>
      </c>
      <c r="B90" s="135" t="s">
        <v>107</v>
      </c>
      <c r="C90" s="136" t="s">
        <v>97</v>
      </c>
      <c r="D90" s="53"/>
      <c r="E90" s="37"/>
      <c r="F90" s="37">
        <v>128</v>
      </c>
      <c r="G90" s="37">
        <v>53.42</v>
      </c>
      <c r="H90" s="37">
        <f t="shared" ref="H90:H91" si="12">F90*G90/1000</f>
        <v>6.8377600000000003</v>
      </c>
      <c r="I90" s="13">
        <f>G90*64</f>
        <v>3418.88</v>
      </c>
    </row>
    <row r="91" spans="1:9" ht="31.5" customHeight="1">
      <c r="A91" s="30">
        <v>29</v>
      </c>
      <c r="B91" s="58" t="s">
        <v>87</v>
      </c>
      <c r="C91" s="59" t="s">
        <v>39</v>
      </c>
      <c r="D91" s="138"/>
      <c r="E91" s="37"/>
      <c r="F91" s="37">
        <v>0.03</v>
      </c>
      <c r="G91" s="37">
        <v>3581.13</v>
      </c>
      <c r="H91" s="134">
        <f t="shared" si="12"/>
        <v>0.1074339</v>
      </c>
      <c r="I91" s="13">
        <f>G91*0.01</f>
        <v>35.811300000000003</v>
      </c>
    </row>
    <row r="92" spans="1:9" ht="31.5" customHeight="1">
      <c r="A92" s="30">
        <v>30</v>
      </c>
      <c r="B92" s="58" t="s">
        <v>84</v>
      </c>
      <c r="C92" s="59" t="s">
        <v>97</v>
      </c>
      <c r="D92" s="53"/>
      <c r="E92" s="13"/>
      <c r="F92" s="13">
        <v>2</v>
      </c>
      <c r="G92" s="13">
        <v>83.36</v>
      </c>
      <c r="H92" s="100">
        <f>F92*G92/1000</f>
        <v>0.16672000000000001</v>
      </c>
      <c r="I92" s="13">
        <f>G92</f>
        <v>83.36</v>
      </c>
    </row>
    <row r="93" spans="1:9" ht="15.75" customHeight="1">
      <c r="A93" s="30">
        <v>31</v>
      </c>
      <c r="B93" s="58" t="s">
        <v>229</v>
      </c>
      <c r="C93" s="59" t="s">
        <v>230</v>
      </c>
      <c r="D93" s="138"/>
      <c r="E93" s="37"/>
      <c r="F93" s="37">
        <v>2</v>
      </c>
      <c r="G93" s="37">
        <v>206.54</v>
      </c>
      <c r="H93" s="134">
        <f t="shared" ref="H93:H96" si="13">F93*G93/1000</f>
        <v>0.41308</v>
      </c>
      <c r="I93" s="13">
        <f>G93</f>
        <v>206.54</v>
      </c>
    </row>
    <row r="94" spans="1:9" ht="15.75" customHeight="1">
      <c r="A94" s="30">
        <v>32</v>
      </c>
      <c r="B94" s="58" t="s">
        <v>86</v>
      </c>
      <c r="C94" s="59" t="s">
        <v>97</v>
      </c>
      <c r="D94" s="138"/>
      <c r="E94" s="37"/>
      <c r="F94" s="37">
        <v>1</v>
      </c>
      <c r="G94" s="37">
        <v>189.88</v>
      </c>
      <c r="H94" s="134">
        <f t="shared" si="13"/>
        <v>0.18987999999999999</v>
      </c>
      <c r="I94" s="13">
        <f>G94</f>
        <v>189.88</v>
      </c>
    </row>
    <row r="95" spans="1:9" ht="15.75" customHeight="1">
      <c r="A95" s="30">
        <v>33</v>
      </c>
      <c r="B95" s="58" t="s">
        <v>244</v>
      </c>
      <c r="C95" s="166" t="s">
        <v>245</v>
      </c>
      <c r="D95" s="138"/>
      <c r="E95" s="37"/>
      <c r="F95" s="37">
        <v>1</v>
      </c>
      <c r="G95" s="37">
        <v>18.97</v>
      </c>
      <c r="H95" s="134">
        <f t="shared" si="13"/>
        <v>1.8969999999999997E-2</v>
      </c>
      <c r="I95" s="13">
        <f t="shared" ref="I95" si="14">G95</f>
        <v>18.97</v>
      </c>
    </row>
    <row r="96" spans="1:9" ht="31.5" customHeight="1">
      <c r="A96" s="30">
        <v>34</v>
      </c>
      <c r="B96" s="135" t="s">
        <v>246</v>
      </c>
      <c r="C96" s="167" t="s">
        <v>100</v>
      </c>
      <c r="D96" s="138"/>
      <c r="E96" s="37"/>
      <c r="F96" s="37">
        <f>0.4/10</f>
        <v>0.04</v>
      </c>
      <c r="G96" s="37">
        <v>9397.7900000000009</v>
      </c>
      <c r="H96" s="134">
        <f t="shared" si="13"/>
        <v>0.37591160000000001</v>
      </c>
      <c r="I96" s="13">
        <f>F96*G96</f>
        <v>375.91160000000002</v>
      </c>
    </row>
    <row r="97" spans="1:9" ht="15.75" customHeight="1">
      <c r="A97" s="30"/>
      <c r="B97" s="51" t="s">
        <v>53</v>
      </c>
      <c r="C97" s="47"/>
      <c r="D97" s="55"/>
      <c r="E97" s="47">
        <v>1</v>
      </c>
      <c r="F97" s="47"/>
      <c r="G97" s="47"/>
      <c r="H97" s="47"/>
      <c r="I97" s="33">
        <f>SUM(I89:I96)</f>
        <v>5509.0329000000011</v>
      </c>
    </row>
    <row r="98" spans="1:9" ht="15.75" customHeight="1">
      <c r="A98" s="30"/>
      <c r="B98" s="53" t="s">
        <v>83</v>
      </c>
      <c r="C98" s="15"/>
      <c r="D98" s="15"/>
      <c r="E98" s="48"/>
      <c r="F98" s="48"/>
      <c r="G98" s="49"/>
      <c r="H98" s="49"/>
      <c r="I98" s="18">
        <v>0</v>
      </c>
    </row>
    <row r="99" spans="1:9" ht="15.75" customHeight="1">
      <c r="A99" s="56"/>
      <c r="B99" s="52" t="s">
        <v>170</v>
      </c>
      <c r="C99" s="36"/>
      <c r="D99" s="36"/>
      <c r="E99" s="36"/>
      <c r="F99" s="36"/>
      <c r="G99" s="36"/>
      <c r="H99" s="36"/>
      <c r="I99" s="50">
        <f>I87+I97</f>
        <v>78138.098889000001</v>
      </c>
    </row>
    <row r="100" spans="1:9" ht="15.75">
      <c r="A100" s="184" t="s">
        <v>255</v>
      </c>
      <c r="B100" s="184"/>
      <c r="C100" s="184"/>
      <c r="D100" s="184"/>
      <c r="E100" s="184"/>
      <c r="F100" s="184"/>
      <c r="G100" s="184"/>
      <c r="H100" s="184"/>
      <c r="I100" s="184"/>
    </row>
    <row r="101" spans="1:9" ht="15.75">
      <c r="A101" s="70"/>
      <c r="B101" s="193" t="s">
        <v>256</v>
      </c>
      <c r="C101" s="193"/>
      <c r="D101" s="193"/>
      <c r="E101" s="193"/>
      <c r="F101" s="193"/>
      <c r="G101" s="193"/>
      <c r="H101" s="78"/>
      <c r="I101" s="3"/>
    </row>
    <row r="102" spans="1:9">
      <c r="A102" s="129"/>
      <c r="B102" s="190" t="s">
        <v>6</v>
      </c>
      <c r="C102" s="190"/>
      <c r="D102" s="190"/>
      <c r="E102" s="190"/>
      <c r="F102" s="190"/>
      <c r="G102" s="190"/>
      <c r="H102" s="25"/>
      <c r="I102" s="5"/>
    </row>
    <row r="103" spans="1:9" ht="15.75" customHeight="1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ht="15.75" customHeight="1">
      <c r="A104" s="194" t="s">
        <v>7</v>
      </c>
      <c r="B104" s="194"/>
      <c r="C104" s="194"/>
      <c r="D104" s="194"/>
      <c r="E104" s="194"/>
      <c r="F104" s="194"/>
      <c r="G104" s="194"/>
      <c r="H104" s="194"/>
      <c r="I104" s="194"/>
    </row>
    <row r="105" spans="1:9" ht="15.75" customHeight="1">
      <c r="A105" s="194" t="s">
        <v>8</v>
      </c>
      <c r="B105" s="194"/>
      <c r="C105" s="194"/>
      <c r="D105" s="194"/>
      <c r="E105" s="194"/>
      <c r="F105" s="194"/>
      <c r="G105" s="194"/>
      <c r="H105" s="194"/>
      <c r="I105" s="194"/>
    </row>
    <row r="106" spans="1:9" ht="15.75" customHeight="1">
      <c r="A106" s="177" t="s">
        <v>63</v>
      </c>
      <c r="B106" s="177"/>
      <c r="C106" s="177"/>
      <c r="D106" s="177"/>
      <c r="E106" s="177"/>
      <c r="F106" s="177"/>
      <c r="G106" s="177"/>
      <c r="H106" s="177"/>
      <c r="I106" s="177"/>
    </row>
    <row r="107" spans="1:9" ht="15.75" customHeight="1">
      <c r="A107" s="11"/>
    </row>
    <row r="108" spans="1:9" ht="15.75" customHeight="1">
      <c r="A108" s="178" t="s">
        <v>9</v>
      </c>
      <c r="B108" s="178"/>
      <c r="C108" s="178"/>
      <c r="D108" s="178"/>
      <c r="E108" s="178"/>
      <c r="F108" s="178"/>
      <c r="G108" s="178"/>
      <c r="H108" s="178"/>
      <c r="I108" s="178"/>
    </row>
    <row r="109" spans="1:9" ht="15.75" customHeight="1">
      <c r="A109" s="4"/>
    </row>
    <row r="110" spans="1:9" ht="15.75" customHeight="1">
      <c r="B110" s="130" t="s">
        <v>10</v>
      </c>
      <c r="C110" s="189" t="s">
        <v>96</v>
      </c>
      <c r="D110" s="189"/>
      <c r="E110" s="189"/>
      <c r="F110" s="76"/>
      <c r="I110" s="128"/>
    </row>
    <row r="111" spans="1:9" ht="15.75" customHeight="1">
      <c r="A111" s="129"/>
      <c r="C111" s="190" t="s">
        <v>11</v>
      </c>
      <c r="D111" s="190"/>
      <c r="E111" s="190"/>
      <c r="F111" s="25"/>
      <c r="I111" s="127" t="s">
        <v>12</v>
      </c>
    </row>
    <row r="112" spans="1:9" ht="15.75" customHeight="1">
      <c r="A112" s="26"/>
      <c r="C112" s="12"/>
      <c r="D112" s="12"/>
      <c r="G112" s="12"/>
      <c r="H112" s="12"/>
    </row>
    <row r="113" spans="1:9" ht="15.75" customHeight="1">
      <c r="B113" s="130" t="s">
        <v>13</v>
      </c>
      <c r="C113" s="191"/>
      <c r="D113" s="191"/>
      <c r="E113" s="191"/>
      <c r="F113" s="77"/>
      <c r="I113" s="128"/>
    </row>
    <row r="114" spans="1:9" ht="15.75" customHeight="1">
      <c r="A114" s="129"/>
      <c r="C114" s="183" t="s">
        <v>11</v>
      </c>
      <c r="D114" s="183"/>
      <c r="E114" s="183"/>
      <c r="F114" s="129"/>
      <c r="I114" s="127" t="s">
        <v>12</v>
      </c>
    </row>
    <row r="115" spans="1:9" ht="15.75" customHeight="1">
      <c r="A115" s="4" t="s">
        <v>14</v>
      </c>
    </row>
    <row r="116" spans="1:9">
      <c r="A116" s="192" t="s">
        <v>15</v>
      </c>
      <c r="B116" s="192"/>
      <c r="C116" s="192"/>
      <c r="D116" s="192"/>
      <c r="E116" s="192"/>
      <c r="F116" s="192"/>
      <c r="G116" s="192"/>
      <c r="H116" s="192"/>
      <c r="I116" s="192"/>
    </row>
    <row r="117" spans="1:9" ht="45" customHeight="1">
      <c r="A117" s="185" t="s">
        <v>16</v>
      </c>
      <c r="B117" s="185"/>
      <c r="C117" s="185"/>
      <c r="D117" s="185"/>
      <c r="E117" s="185"/>
      <c r="F117" s="185"/>
      <c r="G117" s="185"/>
      <c r="H117" s="185"/>
      <c r="I117" s="185"/>
    </row>
    <row r="118" spans="1:9" ht="30" customHeight="1">
      <c r="A118" s="185" t="s">
        <v>17</v>
      </c>
      <c r="B118" s="185"/>
      <c r="C118" s="185"/>
      <c r="D118" s="185"/>
      <c r="E118" s="185"/>
      <c r="F118" s="185"/>
      <c r="G118" s="185"/>
      <c r="H118" s="185"/>
      <c r="I118" s="185"/>
    </row>
    <row r="119" spans="1:9" ht="30" customHeight="1">
      <c r="A119" s="185" t="s">
        <v>21</v>
      </c>
      <c r="B119" s="185"/>
      <c r="C119" s="185"/>
      <c r="D119" s="185"/>
      <c r="E119" s="185"/>
      <c r="F119" s="185"/>
      <c r="G119" s="185"/>
      <c r="H119" s="185"/>
      <c r="I119" s="185"/>
    </row>
    <row r="120" spans="1:9" ht="15" customHeight="1">
      <c r="A120" s="185" t="s">
        <v>20</v>
      </c>
      <c r="B120" s="185"/>
      <c r="C120" s="185"/>
      <c r="D120" s="185"/>
      <c r="E120" s="185"/>
      <c r="F120" s="185"/>
      <c r="G120" s="185"/>
      <c r="H120" s="185"/>
      <c r="I120" s="185"/>
    </row>
  </sheetData>
  <autoFilter ref="I12:I66"/>
  <mergeCells count="29">
    <mergeCell ref="A116:I116"/>
    <mergeCell ref="A117:I117"/>
    <mergeCell ref="A118:I118"/>
    <mergeCell ref="A119:I119"/>
    <mergeCell ref="A120:I120"/>
    <mergeCell ref="R71:U71"/>
    <mergeCell ref="C114:E114"/>
    <mergeCell ref="A88:I88"/>
    <mergeCell ref="A100:I100"/>
    <mergeCell ref="B101:G101"/>
    <mergeCell ref="B102:G102"/>
    <mergeCell ref="A104:I104"/>
    <mergeCell ref="A105:I105"/>
    <mergeCell ref="A106:I106"/>
    <mergeCell ref="A108:I108"/>
    <mergeCell ref="C110:E110"/>
    <mergeCell ref="C111:E111"/>
    <mergeCell ref="C113:E113"/>
    <mergeCell ref="A84:I84"/>
    <mergeCell ref="A3:I3"/>
    <mergeCell ref="A4:I4"/>
    <mergeCell ref="A5:I5"/>
    <mergeCell ref="A8:I8"/>
    <mergeCell ref="A10:I10"/>
    <mergeCell ref="A14:I14"/>
    <mergeCell ref="A15:I15"/>
    <mergeCell ref="A28:I28"/>
    <mergeCell ref="A45:I45"/>
    <mergeCell ref="A56:I5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5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91</v>
      </c>
      <c r="I1" s="27"/>
      <c r="J1" s="1"/>
      <c r="K1" s="1"/>
      <c r="L1" s="1"/>
      <c r="M1" s="1"/>
    </row>
    <row r="2" spans="1:13" ht="15.75" customHeight="1">
      <c r="A2" s="29" t="s">
        <v>64</v>
      </c>
      <c r="J2" s="2"/>
      <c r="K2" s="2"/>
      <c r="L2" s="2"/>
      <c r="M2" s="2"/>
    </row>
    <row r="3" spans="1:13" ht="15.75" customHeight="1">
      <c r="A3" s="172" t="s">
        <v>154</v>
      </c>
      <c r="B3" s="172"/>
      <c r="C3" s="172"/>
      <c r="D3" s="172"/>
      <c r="E3" s="172"/>
      <c r="F3" s="172"/>
      <c r="G3" s="172"/>
      <c r="H3" s="172"/>
      <c r="I3" s="172"/>
      <c r="J3" s="3"/>
      <c r="K3" s="3"/>
      <c r="L3" s="3"/>
    </row>
    <row r="4" spans="1:13" ht="31.5" customHeight="1">
      <c r="A4" s="173" t="s">
        <v>129</v>
      </c>
      <c r="B4" s="173"/>
      <c r="C4" s="173"/>
      <c r="D4" s="173"/>
      <c r="E4" s="173"/>
      <c r="F4" s="173"/>
      <c r="G4" s="173"/>
      <c r="H4" s="173"/>
      <c r="I4" s="173"/>
    </row>
    <row r="5" spans="1:13" ht="15.75" customHeight="1">
      <c r="A5" s="172" t="s">
        <v>171</v>
      </c>
      <c r="B5" s="174"/>
      <c r="C5" s="174"/>
      <c r="D5" s="174"/>
      <c r="E5" s="174"/>
      <c r="F5" s="174"/>
      <c r="G5" s="174"/>
      <c r="H5" s="174"/>
      <c r="I5" s="174"/>
      <c r="J5" s="2"/>
      <c r="K5" s="2"/>
      <c r="L5" s="2"/>
      <c r="M5" s="2"/>
    </row>
    <row r="6" spans="1:13" ht="15.75" customHeight="1">
      <c r="A6" s="2"/>
      <c r="B6" s="66"/>
      <c r="C6" s="66"/>
      <c r="D6" s="66"/>
      <c r="E6" s="66"/>
      <c r="F6" s="66"/>
      <c r="G6" s="66"/>
      <c r="H6" s="66"/>
      <c r="I6" s="31">
        <v>42794</v>
      </c>
      <c r="J6" s="2"/>
      <c r="K6" s="2"/>
      <c r="L6" s="2"/>
      <c r="M6" s="2"/>
    </row>
    <row r="7" spans="1:13" ht="15.75" customHeight="1">
      <c r="B7" s="61"/>
      <c r="C7" s="61"/>
      <c r="D7" s="6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75" t="s">
        <v>166</v>
      </c>
      <c r="B8" s="175"/>
      <c r="C8" s="175"/>
      <c r="D8" s="175"/>
      <c r="E8" s="175"/>
      <c r="F8" s="175"/>
      <c r="G8" s="175"/>
      <c r="H8" s="175"/>
      <c r="I8" s="17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76" t="s">
        <v>247</v>
      </c>
      <c r="B10" s="176"/>
      <c r="C10" s="176"/>
      <c r="D10" s="176"/>
      <c r="E10" s="176"/>
      <c r="F10" s="176"/>
      <c r="G10" s="176"/>
      <c r="H10" s="176"/>
      <c r="I10" s="17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68" t="s">
        <v>61</v>
      </c>
      <c r="B14" s="168"/>
      <c r="C14" s="168"/>
      <c r="D14" s="168"/>
      <c r="E14" s="168"/>
      <c r="F14" s="168"/>
      <c r="G14" s="168"/>
      <c r="H14" s="168"/>
      <c r="I14" s="168"/>
      <c r="J14" s="8"/>
      <c r="K14" s="8"/>
      <c r="L14" s="8"/>
      <c r="M14" s="8"/>
    </row>
    <row r="15" spans="1:13" ht="15.75" customHeight="1">
      <c r="A15" s="179" t="s">
        <v>4</v>
      </c>
      <c r="B15" s="179"/>
      <c r="C15" s="179"/>
      <c r="D15" s="179"/>
      <c r="E15" s="179"/>
      <c r="F15" s="179"/>
      <c r="G15" s="179"/>
      <c r="H15" s="179"/>
      <c r="I15" s="179"/>
      <c r="J15" s="8"/>
      <c r="K15" s="8"/>
      <c r="L15" s="8"/>
      <c r="M15" s="8"/>
    </row>
    <row r="16" spans="1:13" ht="15.75" customHeight="1">
      <c r="A16" s="30">
        <v>1</v>
      </c>
      <c r="B16" s="79" t="s">
        <v>92</v>
      </c>
      <c r="C16" s="80" t="s">
        <v>102</v>
      </c>
      <c r="D16" s="79" t="s">
        <v>130</v>
      </c>
      <c r="E16" s="81">
        <v>92.5</v>
      </c>
      <c r="F16" s="82">
        <f>SUM(E16*156/100)</f>
        <v>144.30000000000001</v>
      </c>
      <c r="G16" s="82">
        <v>175.38</v>
      </c>
      <c r="H16" s="83">
        <f t="shared" ref="H16:H24" si="0">SUM(F16*G16/1000)</f>
        <v>25.307334000000001</v>
      </c>
      <c r="I16" s="13">
        <f>F16/12*G16</f>
        <v>2108.9445000000001</v>
      </c>
      <c r="J16" s="8"/>
      <c r="K16" s="8"/>
      <c r="L16" s="8"/>
      <c r="M16" s="8"/>
    </row>
    <row r="17" spans="1:13" ht="15.75" customHeight="1">
      <c r="A17" s="30">
        <v>2</v>
      </c>
      <c r="B17" s="79" t="s">
        <v>111</v>
      </c>
      <c r="C17" s="80" t="s">
        <v>102</v>
      </c>
      <c r="D17" s="79" t="s">
        <v>131</v>
      </c>
      <c r="E17" s="81">
        <v>288.8</v>
      </c>
      <c r="F17" s="82">
        <f>SUM(E17*104/100)</f>
        <v>300.35200000000003</v>
      </c>
      <c r="G17" s="82">
        <v>175.38</v>
      </c>
      <c r="H17" s="83">
        <f t="shared" si="0"/>
        <v>52.67573376</v>
      </c>
      <c r="I17" s="13">
        <f>F17/12*G17</f>
        <v>4389.6444800000008</v>
      </c>
      <c r="J17" s="23"/>
      <c r="K17" s="8"/>
      <c r="L17" s="8"/>
      <c r="M17" s="8"/>
    </row>
    <row r="18" spans="1:13" ht="15.75" customHeight="1">
      <c r="A18" s="30">
        <v>3</v>
      </c>
      <c r="B18" s="79" t="s">
        <v>148</v>
      </c>
      <c r="C18" s="80" t="s">
        <v>102</v>
      </c>
      <c r="D18" s="79" t="s">
        <v>167</v>
      </c>
      <c r="E18" s="81">
        <f>SUM(E16+E17)</f>
        <v>381.3</v>
      </c>
      <c r="F18" s="82">
        <f>SUM(E18*12/100)</f>
        <v>45.756</v>
      </c>
      <c r="G18" s="82">
        <v>504.5</v>
      </c>
      <c r="H18" s="83">
        <f t="shared" si="0"/>
        <v>23.083902000000002</v>
      </c>
      <c r="I18" s="13">
        <f>F18/12*G18</f>
        <v>1923.6585</v>
      </c>
      <c r="J18" s="23"/>
      <c r="K18" s="8"/>
      <c r="L18" s="8"/>
      <c r="M18" s="8"/>
    </row>
    <row r="19" spans="1:13" ht="15.75" hidden="1" customHeight="1">
      <c r="A19" s="30">
        <v>4</v>
      </c>
      <c r="B19" s="79" t="s">
        <v>112</v>
      </c>
      <c r="C19" s="80" t="s">
        <v>113</v>
      </c>
      <c r="D19" s="79" t="s">
        <v>114</v>
      </c>
      <c r="E19" s="81">
        <v>19.2</v>
      </c>
      <c r="F19" s="82">
        <f>SUM(E19/10)</f>
        <v>1.92</v>
      </c>
      <c r="G19" s="82">
        <v>170.16</v>
      </c>
      <c r="H19" s="83">
        <f t="shared" si="0"/>
        <v>0.32670719999999998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79" t="s">
        <v>101</v>
      </c>
      <c r="C20" s="80" t="s">
        <v>102</v>
      </c>
      <c r="D20" s="79" t="s">
        <v>30</v>
      </c>
      <c r="E20" s="81">
        <v>27.3</v>
      </c>
      <c r="F20" s="82">
        <f>SUM(E20*12/100)</f>
        <v>3.2760000000000002</v>
      </c>
      <c r="G20" s="82">
        <v>217.88</v>
      </c>
      <c r="H20" s="83">
        <f t="shared" si="0"/>
        <v>0.71377488</v>
      </c>
      <c r="I20" s="13">
        <f>F20/12*G20</f>
        <v>59.48124</v>
      </c>
      <c r="J20" s="23"/>
      <c r="K20" s="8"/>
      <c r="L20" s="8"/>
      <c r="M20" s="8"/>
    </row>
    <row r="21" spans="1:13" ht="15.75" customHeight="1">
      <c r="A21" s="30">
        <v>5</v>
      </c>
      <c r="B21" s="79" t="s">
        <v>109</v>
      </c>
      <c r="C21" s="80" t="s">
        <v>102</v>
      </c>
      <c r="D21" s="79" t="s">
        <v>30</v>
      </c>
      <c r="E21" s="81">
        <v>9.08</v>
      </c>
      <c r="F21" s="82">
        <f>SUM(E21*12/100)</f>
        <v>1.0896000000000001</v>
      </c>
      <c r="G21" s="82">
        <v>216.12</v>
      </c>
      <c r="H21" s="83">
        <f t="shared" si="0"/>
        <v>0.23548435200000004</v>
      </c>
      <c r="I21" s="13">
        <f>F21/12*G21</f>
        <v>19.623696000000002</v>
      </c>
      <c r="J21" s="23"/>
      <c r="K21" s="8"/>
      <c r="L21" s="8"/>
      <c r="M21" s="8"/>
    </row>
    <row r="22" spans="1:13" ht="15.75" hidden="1" customHeight="1">
      <c r="A22" s="30">
        <v>7</v>
      </c>
      <c r="B22" s="79" t="s">
        <v>103</v>
      </c>
      <c r="C22" s="80" t="s">
        <v>54</v>
      </c>
      <c r="D22" s="79" t="s">
        <v>114</v>
      </c>
      <c r="E22" s="84">
        <v>12.6</v>
      </c>
      <c r="F22" s="82">
        <f>SUM(E22/100)</f>
        <v>0.126</v>
      </c>
      <c r="G22" s="82">
        <v>44.29</v>
      </c>
      <c r="H22" s="83">
        <f t="shared" si="0"/>
        <v>5.5805400000000002E-3</v>
      </c>
      <c r="I22" s="13">
        <v>0</v>
      </c>
      <c r="J22" s="23"/>
      <c r="K22" s="8"/>
      <c r="L22" s="8"/>
      <c r="M22" s="8"/>
    </row>
    <row r="23" spans="1:13" ht="15.75" customHeight="1">
      <c r="A23" s="30">
        <v>6</v>
      </c>
      <c r="B23" s="79" t="s">
        <v>104</v>
      </c>
      <c r="C23" s="80" t="s">
        <v>54</v>
      </c>
      <c r="D23" s="79" t="s">
        <v>105</v>
      </c>
      <c r="E23" s="81">
        <v>20</v>
      </c>
      <c r="F23" s="82">
        <f>E23*12/100</f>
        <v>2.4</v>
      </c>
      <c r="G23" s="82">
        <v>389.72</v>
      </c>
      <c r="H23" s="83">
        <f t="shared" si="0"/>
        <v>0.93532799999999994</v>
      </c>
      <c r="I23" s="13">
        <f>F23/12*G23</f>
        <v>77.944000000000003</v>
      </c>
      <c r="J23" s="23"/>
      <c r="K23" s="8"/>
      <c r="L23" s="8"/>
      <c r="M23" s="8"/>
    </row>
    <row r="24" spans="1:13" ht="15.75" hidden="1" customHeight="1">
      <c r="A24" s="30">
        <v>9</v>
      </c>
      <c r="B24" s="79" t="s">
        <v>106</v>
      </c>
      <c r="C24" s="80" t="s">
        <v>54</v>
      </c>
      <c r="D24" s="79" t="s">
        <v>114</v>
      </c>
      <c r="E24" s="81">
        <v>17</v>
      </c>
      <c r="F24" s="82">
        <f>SUM(E24/100)</f>
        <v>0.17</v>
      </c>
      <c r="G24" s="82">
        <v>520.79999999999995</v>
      </c>
      <c r="H24" s="83">
        <f t="shared" si="0"/>
        <v>8.8536000000000004E-2</v>
      </c>
      <c r="I24" s="13">
        <v>0</v>
      </c>
      <c r="J24" s="23"/>
      <c r="K24" s="8"/>
      <c r="L24" s="8"/>
      <c r="M24" s="8"/>
    </row>
    <row r="25" spans="1:13" ht="15.75" customHeight="1">
      <c r="A25" s="30">
        <v>7</v>
      </c>
      <c r="B25" s="79" t="s">
        <v>66</v>
      </c>
      <c r="C25" s="80" t="s">
        <v>33</v>
      </c>
      <c r="D25" s="79" t="s">
        <v>89</v>
      </c>
      <c r="E25" s="81">
        <v>0.1</v>
      </c>
      <c r="F25" s="82">
        <f>SUM(E25*365)</f>
        <v>36.5</v>
      </c>
      <c r="G25" s="82">
        <v>147.03</v>
      </c>
      <c r="H25" s="83">
        <f>SUM(F25*G25/1000)</f>
        <v>5.3665950000000002</v>
      </c>
      <c r="I25" s="13">
        <f>F25/12*G25</f>
        <v>447.21625</v>
      </c>
      <c r="J25" s="23"/>
      <c r="K25" s="8"/>
      <c r="L25" s="8"/>
      <c r="M25" s="8"/>
    </row>
    <row r="26" spans="1:13" ht="15.75" customHeight="1">
      <c r="A26" s="30">
        <v>8</v>
      </c>
      <c r="B26" s="89" t="s">
        <v>23</v>
      </c>
      <c r="C26" s="80" t="s">
        <v>24</v>
      </c>
      <c r="D26" s="79" t="s">
        <v>89</v>
      </c>
      <c r="E26" s="81">
        <v>3053.4</v>
      </c>
      <c r="F26" s="82">
        <f>SUM(E26*12)</f>
        <v>36640.800000000003</v>
      </c>
      <c r="G26" s="82">
        <v>4.55</v>
      </c>
      <c r="H26" s="83">
        <f>SUM(F26*G26/1000)</f>
        <v>166.71564000000001</v>
      </c>
      <c r="I26" s="13">
        <f>F26/12*G26</f>
        <v>13892.97</v>
      </c>
      <c r="J26" s="24"/>
    </row>
    <row r="27" spans="1:13" ht="15.75" customHeight="1">
      <c r="A27" s="180" t="s">
        <v>168</v>
      </c>
      <c r="B27" s="181"/>
      <c r="C27" s="181"/>
      <c r="D27" s="181"/>
      <c r="E27" s="181"/>
      <c r="F27" s="181"/>
      <c r="G27" s="181"/>
      <c r="H27" s="181"/>
      <c r="I27" s="182"/>
      <c r="J27" s="23"/>
      <c r="K27" s="8"/>
      <c r="L27" s="8"/>
      <c r="M27" s="8"/>
    </row>
    <row r="28" spans="1:13" ht="15.75" hidden="1" customHeight="1">
      <c r="A28" s="30"/>
      <c r="B28" s="107" t="s">
        <v>28</v>
      </c>
      <c r="C28" s="80"/>
      <c r="D28" s="79"/>
      <c r="E28" s="81"/>
      <c r="F28" s="82"/>
      <c r="G28" s="82"/>
      <c r="H28" s="86"/>
      <c r="I28" s="87"/>
      <c r="J28" s="23"/>
      <c r="K28" s="8"/>
      <c r="L28" s="8"/>
      <c r="M28" s="8"/>
    </row>
    <row r="29" spans="1:13" ht="31.5" hidden="1" customHeight="1">
      <c r="A29" s="30">
        <v>9</v>
      </c>
      <c r="B29" s="79" t="s">
        <v>115</v>
      </c>
      <c r="C29" s="80" t="s">
        <v>116</v>
      </c>
      <c r="D29" s="79" t="s">
        <v>139</v>
      </c>
      <c r="E29" s="82">
        <v>561.6</v>
      </c>
      <c r="F29" s="82">
        <f>SUM(E29*52/1000)</f>
        <v>29.203200000000002</v>
      </c>
      <c r="G29" s="82">
        <v>155.88999999999999</v>
      </c>
      <c r="H29" s="83">
        <f t="shared" ref="H29:H34" si="1">SUM(F29*G29/1000)</f>
        <v>4.5524868479999991</v>
      </c>
      <c r="I29" s="13">
        <f t="shared" ref="I29:I32" si="2">F29/6*G29</f>
        <v>758.74780799999996</v>
      </c>
      <c r="J29" s="23"/>
      <c r="K29" s="8"/>
      <c r="L29" s="8"/>
      <c r="M29" s="8"/>
    </row>
    <row r="30" spans="1:13" ht="31.5" hidden="1" customHeight="1">
      <c r="A30" s="30">
        <v>10</v>
      </c>
      <c r="B30" s="79" t="s">
        <v>149</v>
      </c>
      <c r="C30" s="80" t="s">
        <v>116</v>
      </c>
      <c r="D30" s="79" t="s">
        <v>140</v>
      </c>
      <c r="E30" s="82">
        <v>205.7</v>
      </c>
      <c r="F30" s="82">
        <f>SUM(E30*78/1000)</f>
        <v>16.044599999999999</v>
      </c>
      <c r="G30" s="82">
        <v>258.63</v>
      </c>
      <c r="H30" s="83">
        <f t="shared" si="1"/>
        <v>4.1496148979999994</v>
      </c>
      <c r="I30" s="13">
        <f t="shared" si="2"/>
        <v>691.60248299999989</v>
      </c>
      <c r="J30" s="23"/>
      <c r="K30" s="8"/>
      <c r="L30" s="8"/>
      <c r="M30" s="8"/>
    </row>
    <row r="31" spans="1:13" ht="15.75" hidden="1" customHeight="1">
      <c r="A31" s="30">
        <v>11</v>
      </c>
      <c r="B31" s="79" t="s">
        <v>27</v>
      </c>
      <c r="C31" s="80" t="s">
        <v>116</v>
      </c>
      <c r="D31" s="79" t="s">
        <v>55</v>
      </c>
      <c r="E31" s="82">
        <v>561.6</v>
      </c>
      <c r="F31" s="82">
        <f>SUM(E31/1000)</f>
        <v>0.56159999999999999</v>
      </c>
      <c r="G31" s="82">
        <v>3020.33</v>
      </c>
      <c r="H31" s="83">
        <f t="shared" si="1"/>
        <v>1.6962173279999999</v>
      </c>
      <c r="I31" s="13">
        <f>F31*G31</f>
        <v>1696.217328</v>
      </c>
      <c r="J31" s="23"/>
      <c r="K31" s="8"/>
      <c r="L31" s="8"/>
      <c r="M31" s="8"/>
    </row>
    <row r="32" spans="1:13" ht="15.75" hidden="1" customHeight="1">
      <c r="A32" s="30">
        <v>11</v>
      </c>
      <c r="B32" s="79" t="s">
        <v>117</v>
      </c>
      <c r="C32" s="80" t="s">
        <v>31</v>
      </c>
      <c r="D32" s="79" t="s">
        <v>65</v>
      </c>
      <c r="E32" s="88">
        <v>0.33333333333333331</v>
      </c>
      <c r="F32" s="82">
        <f>155/3</f>
        <v>51.666666666666664</v>
      </c>
      <c r="G32" s="82">
        <v>56.69</v>
      </c>
      <c r="H32" s="83">
        <f>SUM(G32*155/3/1000)</f>
        <v>2.9289833333333331</v>
      </c>
      <c r="I32" s="13">
        <f t="shared" si="2"/>
        <v>488.16388888888883</v>
      </c>
      <c r="J32" s="23"/>
      <c r="K32" s="8"/>
      <c r="L32" s="8"/>
      <c r="M32" s="8"/>
    </row>
    <row r="33" spans="1:14" ht="15.75" hidden="1" customHeight="1">
      <c r="A33" s="30"/>
      <c r="B33" s="79" t="s">
        <v>67</v>
      </c>
      <c r="C33" s="80" t="s">
        <v>33</v>
      </c>
      <c r="D33" s="79" t="s">
        <v>69</v>
      </c>
      <c r="E33" s="81"/>
      <c r="F33" s="82">
        <v>2</v>
      </c>
      <c r="G33" s="82">
        <v>191.32</v>
      </c>
      <c r="H33" s="83">
        <f t="shared" si="1"/>
        <v>0.38263999999999998</v>
      </c>
      <c r="I33" s="13">
        <v>0</v>
      </c>
      <c r="J33" s="23"/>
      <c r="K33" s="8"/>
      <c r="L33" s="8"/>
      <c r="M33" s="8"/>
    </row>
    <row r="34" spans="1:14" ht="15.75" hidden="1" customHeight="1">
      <c r="A34" s="30"/>
      <c r="B34" s="79" t="s">
        <v>68</v>
      </c>
      <c r="C34" s="80" t="s">
        <v>32</v>
      </c>
      <c r="D34" s="79" t="s">
        <v>69</v>
      </c>
      <c r="E34" s="81"/>
      <c r="F34" s="82">
        <v>1</v>
      </c>
      <c r="G34" s="82">
        <v>1136.33</v>
      </c>
      <c r="H34" s="83">
        <f t="shared" si="1"/>
        <v>1.1363299999999998</v>
      </c>
      <c r="I34" s="13">
        <v>0</v>
      </c>
      <c r="J34" s="23"/>
      <c r="K34" s="8"/>
    </row>
    <row r="35" spans="1:14" ht="15.75" customHeight="1">
      <c r="A35" s="30"/>
      <c r="B35" s="107" t="s">
        <v>5</v>
      </c>
      <c r="C35" s="80"/>
      <c r="D35" s="79"/>
      <c r="E35" s="81"/>
      <c r="F35" s="82"/>
      <c r="G35" s="82"/>
      <c r="H35" s="86" t="s">
        <v>142</v>
      </c>
      <c r="I35" s="87"/>
      <c r="J35" s="24"/>
    </row>
    <row r="36" spans="1:14" ht="15.75" customHeight="1">
      <c r="A36" s="30">
        <v>9</v>
      </c>
      <c r="B36" s="79" t="s">
        <v>26</v>
      </c>
      <c r="C36" s="80" t="s">
        <v>32</v>
      </c>
      <c r="D36" s="79"/>
      <c r="E36" s="81"/>
      <c r="F36" s="82">
        <v>3</v>
      </c>
      <c r="G36" s="82">
        <v>1527.22</v>
      </c>
      <c r="H36" s="83">
        <f t="shared" ref="H36:H38" si="3">SUM(F36*G36/1000)</f>
        <v>4.5816600000000003</v>
      </c>
      <c r="I36" s="13">
        <f t="shared" ref="I36:I41" si="4">F36/6*G36</f>
        <v>763.61</v>
      </c>
      <c r="J36" s="24"/>
    </row>
    <row r="37" spans="1:14" ht="15.75" customHeight="1">
      <c r="A37" s="30">
        <v>10</v>
      </c>
      <c r="B37" s="79" t="s">
        <v>70</v>
      </c>
      <c r="C37" s="80" t="s">
        <v>29</v>
      </c>
      <c r="D37" s="79" t="s">
        <v>134</v>
      </c>
      <c r="E37" s="82">
        <v>205.7</v>
      </c>
      <c r="F37" s="82">
        <f>SUM(E37*20/1000)</f>
        <v>4.1139999999999999</v>
      </c>
      <c r="G37" s="82">
        <v>2102.71</v>
      </c>
      <c r="H37" s="83">
        <f t="shared" si="3"/>
        <v>8.6505489400000002</v>
      </c>
      <c r="I37" s="13">
        <f t="shared" si="4"/>
        <v>1441.7581566666665</v>
      </c>
      <c r="J37" s="24"/>
    </row>
    <row r="38" spans="1:14" ht="15.75" customHeight="1">
      <c r="A38" s="30">
        <v>11</v>
      </c>
      <c r="B38" s="79" t="s">
        <v>71</v>
      </c>
      <c r="C38" s="80" t="s">
        <v>29</v>
      </c>
      <c r="D38" s="79" t="s">
        <v>135</v>
      </c>
      <c r="E38" s="81">
        <v>89.1</v>
      </c>
      <c r="F38" s="82">
        <f>SUM(E38*155/1000)</f>
        <v>13.810499999999999</v>
      </c>
      <c r="G38" s="82">
        <v>350.75</v>
      </c>
      <c r="H38" s="83">
        <f t="shared" si="3"/>
        <v>4.8440328749999999</v>
      </c>
      <c r="I38" s="13">
        <f t="shared" si="4"/>
        <v>807.3388124999999</v>
      </c>
      <c r="J38" s="24"/>
    </row>
    <row r="39" spans="1:14" ht="47.25" customHeight="1">
      <c r="A39" s="30">
        <v>12</v>
      </c>
      <c r="B39" s="79" t="s">
        <v>88</v>
      </c>
      <c r="C39" s="80" t="s">
        <v>116</v>
      </c>
      <c r="D39" s="79" t="s">
        <v>136</v>
      </c>
      <c r="E39" s="82">
        <v>48</v>
      </c>
      <c r="F39" s="82">
        <f>SUM(E39*50/1000)</f>
        <v>2.4</v>
      </c>
      <c r="G39" s="82">
        <v>5803.28</v>
      </c>
      <c r="H39" s="83">
        <f>SUM(F39*G39/1000)</f>
        <v>13.927871999999999</v>
      </c>
      <c r="I39" s="13">
        <f t="shared" si="4"/>
        <v>2321.3119999999999</v>
      </c>
      <c r="J39" s="24"/>
    </row>
    <row r="40" spans="1:14" ht="15.75" hidden="1" customHeight="1">
      <c r="A40" s="30">
        <v>13</v>
      </c>
      <c r="B40" s="79" t="s">
        <v>118</v>
      </c>
      <c r="C40" s="80" t="s">
        <v>116</v>
      </c>
      <c r="D40" s="79" t="s">
        <v>72</v>
      </c>
      <c r="E40" s="82">
        <v>89</v>
      </c>
      <c r="F40" s="82">
        <f>SUM(E40*45/1000)</f>
        <v>4.0049999999999999</v>
      </c>
      <c r="G40" s="82">
        <v>428.7</v>
      </c>
      <c r="H40" s="83">
        <f t="shared" ref="H40:H41" si="5">SUM(F40*G40/1000)</f>
        <v>1.7169435</v>
      </c>
      <c r="I40" s="13">
        <f t="shared" si="4"/>
        <v>286.15724999999998</v>
      </c>
      <c r="J40" s="24"/>
      <c r="L40" s="20"/>
      <c r="M40" s="21"/>
      <c r="N40" s="22"/>
    </row>
    <row r="41" spans="1:14" ht="15.75" customHeight="1">
      <c r="A41" s="108">
        <v>13</v>
      </c>
      <c r="B41" s="93" t="s">
        <v>73</v>
      </c>
      <c r="C41" s="94" t="s">
        <v>33</v>
      </c>
      <c r="D41" s="93"/>
      <c r="E41" s="90"/>
      <c r="F41" s="95">
        <v>0.9</v>
      </c>
      <c r="G41" s="95">
        <v>798</v>
      </c>
      <c r="H41" s="96">
        <f t="shared" si="5"/>
        <v>0.71820000000000006</v>
      </c>
      <c r="I41" s="109">
        <f t="shared" si="4"/>
        <v>119.69999999999999</v>
      </c>
      <c r="J41" s="24"/>
      <c r="L41" s="20"/>
      <c r="M41" s="21"/>
      <c r="N41" s="22"/>
    </row>
    <row r="42" spans="1:14" ht="15.75" customHeight="1">
      <c r="A42" s="186" t="s">
        <v>150</v>
      </c>
      <c r="B42" s="187"/>
      <c r="C42" s="187"/>
      <c r="D42" s="187"/>
      <c r="E42" s="187"/>
      <c r="F42" s="187"/>
      <c r="G42" s="187"/>
      <c r="H42" s="187"/>
      <c r="I42" s="188"/>
      <c r="J42" s="24"/>
      <c r="L42" s="20"/>
      <c r="M42" s="21"/>
      <c r="N42" s="22"/>
    </row>
    <row r="43" spans="1:14" ht="15.75" hidden="1" customHeight="1">
      <c r="A43" s="110"/>
      <c r="B43" s="111" t="s">
        <v>119</v>
      </c>
      <c r="C43" s="112" t="s">
        <v>116</v>
      </c>
      <c r="D43" s="111" t="s">
        <v>43</v>
      </c>
      <c r="E43" s="113">
        <v>1632.75</v>
      </c>
      <c r="F43" s="114">
        <f>SUM(E43*2/1000)</f>
        <v>3.2654999999999998</v>
      </c>
      <c r="G43" s="115">
        <v>809.74</v>
      </c>
      <c r="H43" s="116">
        <f t="shared" ref="H43:H52" si="6">SUM(F43*G43/1000)</f>
        <v>2.6442059699999998</v>
      </c>
      <c r="I43" s="115">
        <v>0</v>
      </c>
      <c r="J43" s="24"/>
      <c r="L43" s="20"/>
      <c r="M43" s="21"/>
      <c r="N43" s="22"/>
    </row>
    <row r="44" spans="1:14" ht="15.75" hidden="1" customHeight="1">
      <c r="A44" s="30"/>
      <c r="B44" s="79" t="s">
        <v>36</v>
      </c>
      <c r="C44" s="80" t="s">
        <v>116</v>
      </c>
      <c r="D44" s="79" t="s">
        <v>43</v>
      </c>
      <c r="E44" s="81">
        <v>53.75</v>
      </c>
      <c r="F44" s="82">
        <f>SUM(E44*2/1000)</f>
        <v>0.1075</v>
      </c>
      <c r="G44" s="13">
        <v>579.48</v>
      </c>
      <c r="H44" s="83">
        <f t="shared" si="6"/>
        <v>6.2294099999999998E-2</v>
      </c>
      <c r="I44" s="13">
        <v>0</v>
      </c>
      <c r="J44" s="24"/>
      <c r="L44" s="20"/>
      <c r="M44" s="21"/>
      <c r="N44" s="22"/>
    </row>
    <row r="45" spans="1:14" ht="15.75" hidden="1" customHeight="1">
      <c r="A45" s="30"/>
      <c r="B45" s="79" t="s">
        <v>37</v>
      </c>
      <c r="C45" s="80" t="s">
        <v>116</v>
      </c>
      <c r="D45" s="79" t="s">
        <v>43</v>
      </c>
      <c r="E45" s="81">
        <v>2285.6</v>
      </c>
      <c r="F45" s="82">
        <f>SUM(E45*2/1000)</f>
        <v>4.5712000000000002</v>
      </c>
      <c r="G45" s="13">
        <v>579.48</v>
      </c>
      <c r="H45" s="83">
        <f t="shared" si="6"/>
        <v>2.6489189760000005</v>
      </c>
      <c r="I45" s="13">
        <v>0</v>
      </c>
      <c r="J45" s="24"/>
      <c r="L45" s="20"/>
      <c r="M45" s="21"/>
      <c r="N45" s="22"/>
    </row>
    <row r="46" spans="1:14" ht="15.75" hidden="1" customHeight="1">
      <c r="A46" s="30"/>
      <c r="B46" s="79" t="s">
        <v>38</v>
      </c>
      <c r="C46" s="80" t="s">
        <v>116</v>
      </c>
      <c r="D46" s="79" t="s">
        <v>43</v>
      </c>
      <c r="E46" s="81">
        <v>1860</v>
      </c>
      <c r="F46" s="82">
        <f>SUM(E46*2/1000)</f>
        <v>3.72</v>
      </c>
      <c r="G46" s="13">
        <v>606.77</v>
      </c>
      <c r="H46" s="83">
        <f t="shared" si="6"/>
        <v>2.2571844000000003</v>
      </c>
      <c r="I46" s="13">
        <v>0</v>
      </c>
      <c r="J46" s="24"/>
      <c r="L46" s="20"/>
      <c r="M46" s="21"/>
      <c r="N46" s="22"/>
    </row>
    <row r="47" spans="1:14" ht="15.75" hidden="1" customHeight="1">
      <c r="A47" s="30"/>
      <c r="B47" s="79" t="s">
        <v>34</v>
      </c>
      <c r="C47" s="80" t="s">
        <v>35</v>
      </c>
      <c r="D47" s="79" t="s">
        <v>43</v>
      </c>
      <c r="E47" s="81">
        <v>120.49</v>
      </c>
      <c r="F47" s="82">
        <f>SUM(E47*2/100)</f>
        <v>2.4097999999999997</v>
      </c>
      <c r="G47" s="13">
        <v>72.81</v>
      </c>
      <c r="H47" s="83">
        <f t="shared" si="6"/>
        <v>0.17545753799999997</v>
      </c>
      <c r="I47" s="13">
        <v>0</v>
      </c>
      <c r="J47" s="24"/>
      <c r="L47" s="20"/>
      <c r="M47" s="21"/>
      <c r="N47" s="22"/>
    </row>
    <row r="48" spans="1:14" ht="15.75" customHeight="1">
      <c r="A48" s="30">
        <v>14</v>
      </c>
      <c r="B48" s="79" t="s">
        <v>58</v>
      </c>
      <c r="C48" s="80" t="s">
        <v>116</v>
      </c>
      <c r="D48" s="79" t="s">
        <v>153</v>
      </c>
      <c r="E48" s="81">
        <v>1728</v>
      </c>
      <c r="F48" s="82">
        <f>SUM(E48*5/1000)</f>
        <v>8.64</v>
      </c>
      <c r="G48" s="13">
        <v>1213.55</v>
      </c>
      <c r="H48" s="83">
        <f t="shared" si="6"/>
        <v>10.485072000000001</v>
      </c>
      <c r="I48" s="13">
        <f>F48/5*G48</f>
        <v>2097.0144</v>
      </c>
      <c r="J48" s="24"/>
      <c r="L48" s="20"/>
      <c r="M48" s="21"/>
      <c r="N48" s="22"/>
    </row>
    <row r="49" spans="1:22" ht="31.5" hidden="1" customHeight="1">
      <c r="A49" s="30"/>
      <c r="B49" s="79" t="s">
        <v>120</v>
      </c>
      <c r="C49" s="80" t="s">
        <v>116</v>
      </c>
      <c r="D49" s="79" t="s">
        <v>43</v>
      </c>
      <c r="E49" s="81">
        <v>1728</v>
      </c>
      <c r="F49" s="82">
        <f>SUM(E49*2/1000)</f>
        <v>3.456</v>
      </c>
      <c r="G49" s="13">
        <v>1213.55</v>
      </c>
      <c r="H49" s="83">
        <f t="shared" si="6"/>
        <v>4.1940287999999999</v>
      </c>
      <c r="I49" s="13">
        <v>0</v>
      </c>
      <c r="J49" s="24"/>
      <c r="L49" s="20"/>
      <c r="M49" s="21"/>
      <c r="N49" s="22"/>
    </row>
    <row r="50" spans="1:22" ht="31.5" hidden="1" customHeight="1">
      <c r="A50" s="30"/>
      <c r="B50" s="79" t="s">
        <v>143</v>
      </c>
      <c r="C50" s="80" t="s">
        <v>39</v>
      </c>
      <c r="D50" s="79" t="s">
        <v>43</v>
      </c>
      <c r="E50" s="81">
        <v>20</v>
      </c>
      <c r="F50" s="82">
        <f>SUM(E50*2/100)</f>
        <v>0.4</v>
      </c>
      <c r="G50" s="13">
        <v>2730.49</v>
      </c>
      <c r="H50" s="83">
        <f t="shared" si="6"/>
        <v>1.0921959999999999</v>
      </c>
      <c r="I50" s="13">
        <v>0</v>
      </c>
      <c r="J50" s="24"/>
      <c r="L50" s="20"/>
      <c r="M50" s="21"/>
      <c r="N50" s="22"/>
    </row>
    <row r="51" spans="1:22" ht="15.75" hidden="1" customHeight="1">
      <c r="A51" s="30"/>
      <c r="B51" s="79" t="s">
        <v>40</v>
      </c>
      <c r="C51" s="80" t="s">
        <v>41</v>
      </c>
      <c r="D51" s="79" t="s">
        <v>43</v>
      </c>
      <c r="E51" s="81">
        <v>1</v>
      </c>
      <c r="F51" s="82">
        <v>0.02</v>
      </c>
      <c r="G51" s="13">
        <v>5652.13</v>
      </c>
      <c r="H51" s="83">
        <f t="shared" si="6"/>
        <v>0.11304260000000001</v>
      </c>
      <c r="I51" s="13">
        <v>0</v>
      </c>
      <c r="J51" s="24"/>
      <c r="L51" s="20"/>
      <c r="M51" s="21"/>
      <c r="N51" s="22"/>
    </row>
    <row r="52" spans="1:22" ht="15.75" hidden="1" customHeight="1">
      <c r="A52" s="30">
        <v>16</v>
      </c>
      <c r="B52" s="79" t="s">
        <v>42</v>
      </c>
      <c r="C52" s="80" t="s">
        <v>97</v>
      </c>
      <c r="D52" s="79" t="s">
        <v>74</v>
      </c>
      <c r="E52" s="81">
        <v>128</v>
      </c>
      <c r="F52" s="82">
        <f>SUM(E52)*3</f>
        <v>384</v>
      </c>
      <c r="G52" s="13">
        <v>65.67</v>
      </c>
      <c r="H52" s="83">
        <f t="shared" si="6"/>
        <v>25.217279999999999</v>
      </c>
      <c r="I52" s="13">
        <f>24*G52</f>
        <v>1576.08</v>
      </c>
      <c r="J52" s="24"/>
      <c r="L52" s="20"/>
      <c r="M52" s="21"/>
      <c r="N52" s="22"/>
    </row>
    <row r="53" spans="1:22" ht="15.75" customHeight="1">
      <c r="A53" s="180" t="s">
        <v>151</v>
      </c>
      <c r="B53" s="181"/>
      <c r="C53" s="181"/>
      <c r="D53" s="181"/>
      <c r="E53" s="181"/>
      <c r="F53" s="181"/>
      <c r="G53" s="181"/>
      <c r="H53" s="181"/>
      <c r="I53" s="182"/>
      <c r="J53" s="24"/>
      <c r="L53" s="20"/>
      <c r="M53" s="21"/>
      <c r="N53" s="22"/>
    </row>
    <row r="54" spans="1:22" ht="15.75" customHeight="1">
      <c r="A54" s="30"/>
      <c r="B54" s="107" t="s">
        <v>44</v>
      </c>
      <c r="C54" s="80"/>
      <c r="D54" s="79"/>
      <c r="E54" s="81"/>
      <c r="F54" s="82"/>
      <c r="G54" s="82"/>
      <c r="H54" s="86"/>
      <c r="I54" s="87"/>
      <c r="J54" s="24"/>
      <c r="L54" s="20"/>
      <c r="M54" s="21"/>
      <c r="N54" s="22"/>
    </row>
    <row r="55" spans="1:22" ht="31.5" customHeight="1">
      <c r="A55" s="30">
        <v>15</v>
      </c>
      <c r="B55" s="79" t="s">
        <v>121</v>
      </c>
      <c r="C55" s="80" t="s">
        <v>102</v>
      </c>
      <c r="D55" s="79" t="s">
        <v>122</v>
      </c>
      <c r="E55" s="81">
        <v>163.30000000000001</v>
      </c>
      <c r="F55" s="82">
        <f>SUM(E55*6/100)</f>
        <v>9.798</v>
      </c>
      <c r="G55" s="13">
        <v>1547.28</v>
      </c>
      <c r="H55" s="83">
        <f>SUM(F55*G55/1000)</f>
        <v>15.160249439999999</v>
      </c>
      <c r="I55" s="13">
        <f>F55/6*G55</f>
        <v>2526.7082399999999</v>
      </c>
      <c r="J55" s="24"/>
      <c r="L55" s="20"/>
      <c r="M55" s="21"/>
      <c r="N55" s="22"/>
    </row>
    <row r="56" spans="1:22" ht="15.75" customHeight="1">
      <c r="A56" s="30"/>
      <c r="B56" s="107" t="s">
        <v>45</v>
      </c>
      <c r="C56" s="80"/>
      <c r="D56" s="79"/>
      <c r="E56" s="81"/>
      <c r="F56" s="82"/>
      <c r="G56" s="82"/>
      <c r="H56" s="83" t="s">
        <v>142</v>
      </c>
      <c r="I56" s="87"/>
      <c r="J56" s="24"/>
      <c r="L56" s="20"/>
      <c r="M56" s="21"/>
      <c r="N56" s="22"/>
    </row>
    <row r="57" spans="1:22" ht="15.75" hidden="1" customHeight="1">
      <c r="A57" s="30"/>
      <c r="B57" s="79" t="s">
        <v>46</v>
      </c>
      <c r="C57" s="80" t="s">
        <v>102</v>
      </c>
      <c r="D57" s="79" t="s">
        <v>55</v>
      </c>
      <c r="E57" s="90">
        <v>1155.2</v>
      </c>
      <c r="F57" s="91">
        <v>11.6</v>
      </c>
      <c r="G57" s="13">
        <v>793.61</v>
      </c>
      <c r="H57" s="92">
        <v>9.1679999999999993</v>
      </c>
      <c r="I57" s="13">
        <v>0</v>
      </c>
      <c r="J57" s="24"/>
      <c r="L57" s="20"/>
      <c r="M57" s="21"/>
      <c r="N57" s="22"/>
    </row>
    <row r="58" spans="1:22" ht="15.75" customHeight="1">
      <c r="A58" s="30">
        <v>16</v>
      </c>
      <c r="B58" s="93" t="s">
        <v>98</v>
      </c>
      <c r="C58" s="94" t="s">
        <v>25</v>
      </c>
      <c r="D58" s="93" t="s">
        <v>30</v>
      </c>
      <c r="E58" s="90">
        <v>255.2</v>
      </c>
      <c r="F58" s="95">
        <v>3062.4</v>
      </c>
      <c r="G58" s="75">
        <v>2.6</v>
      </c>
      <c r="H58" s="96">
        <f>G58*F58/1000</f>
        <v>7.9622400000000004</v>
      </c>
      <c r="I58" s="13">
        <f>F58/12*G58</f>
        <v>663.5200000000001</v>
      </c>
      <c r="J58" s="24"/>
      <c r="L58" s="20"/>
      <c r="M58" s="21"/>
      <c r="N58" s="22"/>
    </row>
    <row r="59" spans="1:22" ht="15.75" customHeight="1">
      <c r="A59" s="30"/>
      <c r="B59" s="117" t="s">
        <v>47</v>
      </c>
      <c r="C59" s="94"/>
      <c r="D59" s="93"/>
      <c r="E59" s="90"/>
      <c r="F59" s="95"/>
      <c r="G59" s="95"/>
      <c r="H59" s="96" t="s">
        <v>142</v>
      </c>
      <c r="I59" s="87"/>
      <c r="J59" s="24"/>
      <c r="L59" s="20"/>
      <c r="M59" s="21"/>
      <c r="N59" s="22"/>
    </row>
    <row r="60" spans="1:22" ht="15.75" customHeight="1">
      <c r="A60" s="30">
        <v>17</v>
      </c>
      <c r="B60" s="14" t="s">
        <v>48</v>
      </c>
      <c r="C60" s="16" t="s">
        <v>97</v>
      </c>
      <c r="D60" s="14" t="s">
        <v>69</v>
      </c>
      <c r="E60" s="19">
        <v>5</v>
      </c>
      <c r="F60" s="82">
        <v>5</v>
      </c>
      <c r="G60" s="13">
        <v>222.4</v>
      </c>
      <c r="H60" s="97">
        <f t="shared" ref="H60:H67" si="7">SUM(F60*G60/1000)</f>
        <v>1.1120000000000001</v>
      </c>
      <c r="I60" s="13">
        <f>G60*4</f>
        <v>889.6</v>
      </c>
      <c r="J60" s="24"/>
      <c r="L60" s="20"/>
    </row>
    <row r="61" spans="1:22" ht="15.75" hidden="1" customHeight="1">
      <c r="A61" s="30"/>
      <c r="B61" s="14" t="s">
        <v>49</v>
      </c>
      <c r="C61" s="16" t="s">
        <v>97</v>
      </c>
      <c r="D61" s="14" t="s">
        <v>69</v>
      </c>
      <c r="E61" s="19">
        <v>4</v>
      </c>
      <c r="F61" s="82">
        <v>4</v>
      </c>
      <c r="G61" s="13">
        <v>76.25</v>
      </c>
      <c r="H61" s="97">
        <f t="shared" si="7"/>
        <v>0.30499999999999999</v>
      </c>
      <c r="I61" s="13">
        <v>0</v>
      </c>
      <c r="J61" s="24"/>
      <c r="L61" s="20"/>
    </row>
    <row r="62" spans="1:22" ht="15.75" hidden="1" customHeight="1">
      <c r="A62" s="30"/>
      <c r="B62" s="14" t="s">
        <v>50</v>
      </c>
      <c r="C62" s="16" t="s">
        <v>123</v>
      </c>
      <c r="D62" s="14" t="s">
        <v>55</v>
      </c>
      <c r="E62" s="81">
        <v>15552</v>
      </c>
      <c r="F62" s="13">
        <f>SUM(E62/100)</f>
        <v>155.52000000000001</v>
      </c>
      <c r="G62" s="13">
        <v>212.15</v>
      </c>
      <c r="H62" s="97">
        <f t="shared" si="7"/>
        <v>32.993568000000003</v>
      </c>
      <c r="I62" s="13">
        <v>0</v>
      </c>
    </row>
    <row r="63" spans="1:22" ht="15.75" hidden="1" customHeight="1">
      <c r="A63" s="30"/>
      <c r="B63" s="14" t="s">
        <v>51</v>
      </c>
      <c r="C63" s="16" t="s">
        <v>124</v>
      </c>
      <c r="D63" s="14"/>
      <c r="E63" s="81">
        <v>15552</v>
      </c>
      <c r="F63" s="13">
        <f>SUM(E63/1000)</f>
        <v>15.552</v>
      </c>
      <c r="G63" s="13">
        <v>165.21</v>
      </c>
      <c r="H63" s="97">
        <f t="shared" si="7"/>
        <v>2.5693459200000004</v>
      </c>
      <c r="I63" s="13">
        <v>0</v>
      </c>
    </row>
    <row r="64" spans="1:22" ht="15.75" hidden="1" customHeight="1">
      <c r="A64" s="30"/>
      <c r="B64" s="14" t="s">
        <v>52</v>
      </c>
      <c r="C64" s="16" t="s">
        <v>81</v>
      </c>
      <c r="D64" s="14" t="s">
        <v>55</v>
      </c>
      <c r="E64" s="81">
        <v>2432</v>
      </c>
      <c r="F64" s="13">
        <f>SUM(E64/100)</f>
        <v>24.32</v>
      </c>
      <c r="G64" s="13">
        <v>2074.63</v>
      </c>
      <c r="H64" s="97">
        <f t="shared" si="7"/>
        <v>50.455001600000003</v>
      </c>
      <c r="I64" s="13">
        <v>0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hidden="1" customHeight="1">
      <c r="A65" s="30"/>
      <c r="B65" s="98" t="s">
        <v>75</v>
      </c>
      <c r="C65" s="16" t="s">
        <v>33</v>
      </c>
      <c r="D65" s="14"/>
      <c r="E65" s="81">
        <v>34.5</v>
      </c>
      <c r="F65" s="13">
        <f>SUM(E65)</f>
        <v>34.5</v>
      </c>
      <c r="G65" s="13">
        <v>45.32</v>
      </c>
      <c r="H65" s="97">
        <f t="shared" si="7"/>
        <v>1.5635399999999999</v>
      </c>
      <c r="I65" s="13">
        <v>0</v>
      </c>
      <c r="J65" s="26"/>
      <c r="K65" s="26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31.5" hidden="1" customHeight="1">
      <c r="A66" s="30"/>
      <c r="B66" s="98" t="s">
        <v>76</v>
      </c>
      <c r="C66" s="16" t="s">
        <v>33</v>
      </c>
      <c r="D66" s="14"/>
      <c r="E66" s="81">
        <f>E65</f>
        <v>34.5</v>
      </c>
      <c r="F66" s="13">
        <f>SUM(E66)</f>
        <v>34.5</v>
      </c>
      <c r="G66" s="13">
        <v>42.28</v>
      </c>
      <c r="H66" s="97">
        <f t="shared" si="7"/>
        <v>1.4586600000000001</v>
      </c>
      <c r="I66" s="13">
        <v>0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30"/>
      <c r="B67" s="14" t="s">
        <v>59</v>
      </c>
      <c r="C67" s="16" t="s">
        <v>60</v>
      </c>
      <c r="D67" s="14" t="s">
        <v>55</v>
      </c>
      <c r="E67" s="19">
        <v>4</v>
      </c>
      <c r="F67" s="82">
        <f>SUM(E67)</f>
        <v>4</v>
      </c>
      <c r="G67" s="13">
        <v>49.88</v>
      </c>
      <c r="H67" s="97">
        <f t="shared" si="7"/>
        <v>0.19952</v>
      </c>
      <c r="I67" s="13">
        <v>0</v>
      </c>
      <c r="J67" s="5"/>
      <c r="K67" s="5"/>
      <c r="L67" s="5"/>
      <c r="M67" s="5"/>
      <c r="N67" s="5"/>
      <c r="O67" s="5"/>
      <c r="P67" s="5"/>
      <c r="Q67" s="5"/>
      <c r="R67" s="183"/>
      <c r="S67" s="183"/>
      <c r="T67" s="183"/>
      <c r="U67" s="183"/>
    </row>
    <row r="68" spans="1:21" ht="15.75" customHeight="1">
      <c r="A68" s="30"/>
      <c r="B68" s="67" t="s">
        <v>77</v>
      </c>
      <c r="C68" s="16"/>
      <c r="D68" s="14"/>
      <c r="E68" s="19"/>
      <c r="F68" s="13"/>
      <c r="G68" s="13"/>
      <c r="H68" s="97" t="s">
        <v>142</v>
      </c>
      <c r="I68" s="87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1" ht="15.75" customHeight="1">
      <c r="A69" s="30">
        <v>18</v>
      </c>
      <c r="B69" s="14" t="s">
        <v>78</v>
      </c>
      <c r="C69" s="16" t="s">
        <v>79</v>
      </c>
      <c r="D69" s="14"/>
      <c r="E69" s="19">
        <v>4</v>
      </c>
      <c r="F69" s="13">
        <v>0.4</v>
      </c>
      <c r="G69" s="13">
        <v>501.62</v>
      </c>
      <c r="H69" s="97">
        <f>SUM(F69*G69/1000)</f>
        <v>0.20064800000000002</v>
      </c>
      <c r="I69" s="13">
        <f>G69*0.7</f>
        <v>351.13399999999996</v>
      </c>
    </row>
    <row r="70" spans="1:21" ht="15.75" hidden="1" customHeight="1">
      <c r="A70" s="30"/>
      <c r="B70" s="14" t="s">
        <v>137</v>
      </c>
      <c r="C70" s="16" t="s">
        <v>97</v>
      </c>
      <c r="D70" s="14"/>
      <c r="E70" s="19">
        <v>1</v>
      </c>
      <c r="F70" s="13">
        <f>E70</f>
        <v>1</v>
      </c>
      <c r="G70" s="13">
        <v>852.99</v>
      </c>
      <c r="H70" s="97">
        <f>SUM(F70*G70/1000)</f>
        <v>0.85299000000000003</v>
      </c>
      <c r="I70" s="13">
        <v>0</v>
      </c>
    </row>
    <row r="71" spans="1:21" ht="15.75" hidden="1" customHeight="1">
      <c r="A71" s="30"/>
      <c r="B71" s="101" t="s">
        <v>80</v>
      </c>
      <c r="C71" s="16"/>
      <c r="D71" s="14"/>
      <c r="E71" s="19"/>
      <c r="F71" s="19"/>
      <c r="G71" s="19"/>
      <c r="H71" s="19"/>
      <c r="I71" s="87"/>
    </row>
    <row r="72" spans="1:21" ht="15.75" hidden="1" customHeight="1">
      <c r="A72" s="30"/>
      <c r="B72" s="53" t="s">
        <v>127</v>
      </c>
      <c r="C72" s="16" t="s">
        <v>81</v>
      </c>
      <c r="D72" s="14"/>
      <c r="E72" s="19"/>
      <c r="F72" s="13">
        <v>0.1</v>
      </c>
      <c r="G72" s="13">
        <v>2759.44</v>
      </c>
      <c r="H72" s="100">
        <f t="shared" ref="H72" si="8">SUM(F72*G72/1000)</f>
        <v>0.27594400000000002</v>
      </c>
      <c r="I72" s="13">
        <v>0</v>
      </c>
    </row>
    <row r="73" spans="1:21" ht="15.75" hidden="1" customHeight="1">
      <c r="A73" s="30"/>
      <c r="B73" s="67" t="s">
        <v>125</v>
      </c>
      <c r="C73" s="101"/>
      <c r="D73" s="32"/>
      <c r="E73" s="33"/>
      <c r="F73" s="102"/>
      <c r="G73" s="102"/>
      <c r="H73" s="103">
        <f>SUM(H55:H72)</f>
        <v>124.27670696000001</v>
      </c>
      <c r="I73" s="85"/>
    </row>
    <row r="74" spans="1:21" ht="15.75" hidden="1" customHeight="1">
      <c r="A74" s="108"/>
      <c r="B74" s="93" t="s">
        <v>126</v>
      </c>
      <c r="C74" s="118"/>
      <c r="D74" s="119"/>
      <c r="E74" s="104"/>
      <c r="F74" s="109">
        <f>232/10</f>
        <v>23.2</v>
      </c>
      <c r="G74" s="109">
        <v>11370</v>
      </c>
      <c r="H74" s="120">
        <f>G74*F74/1000</f>
        <v>263.78399999999999</v>
      </c>
      <c r="I74" s="109">
        <v>0</v>
      </c>
    </row>
    <row r="75" spans="1:21" ht="15.75" customHeight="1">
      <c r="A75" s="186" t="s">
        <v>152</v>
      </c>
      <c r="B75" s="187"/>
      <c r="C75" s="187"/>
      <c r="D75" s="187"/>
      <c r="E75" s="187"/>
      <c r="F75" s="187"/>
      <c r="G75" s="187"/>
      <c r="H75" s="187"/>
      <c r="I75" s="188"/>
    </row>
    <row r="76" spans="1:21" ht="15.75" customHeight="1">
      <c r="A76" s="110">
        <v>19</v>
      </c>
      <c r="B76" s="111" t="s">
        <v>128</v>
      </c>
      <c r="C76" s="121" t="s">
        <v>56</v>
      </c>
      <c r="D76" s="122" t="s">
        <v>57</v>
      </c>
      <c r="E76" s="115">
        <v>3053.4</v>
      </c>
      <c r="F76" s="115">
        <f>SUM(E76*12)</f>
        <v>36640.800000000003</v>
      </c>
      <c r="G76" s="115">
        <v>2.1</v>
      </c>
      <c r="H76" s="123">
        <f>SUM(F76*G76/1000)</f>
        <v>76.94568000000001</v>
      </c>
      <c r="I76" s="115">
        <f>F76/12*G76</f>
        <v>6412.14</v>
      </c>
    </row>
    <row r="77" spans="1:21" ht="31.5" customHeight="1">
      <c r="A77" s="30">
        <v>20</v>
      </c>
      <c r="B77" s="14" t="s">
        <v>82</v>
      </c>
      <c r="C77" s="16"/>
      <c r="D77" s="122" t="s">
        <v>57</v>
      </c>
      <c r="E77" s="81">
        <f>E76</f>
        <v>3053.4</v>
      </c>
      <c r="F77" s="13">
        <f>E77*12</f>
        <v>36640.800000000003</v>
      </c>
      <c r="G77" s="13">
        <v>1.63</v>
      </c>
      <c r="H77" s="100">
        <f>F77*G77/1000</f>
        <v>59.724504000000003</v>
      </c>
      <c r="I77" s="13">
        <f>F77/12*G77</f>
        <v>4977.0419999999995</v>
      </c>
    </row>
    <row r="78" spans="1:21" ht="15.75" customHeight="1">
      <c r="A78" s="30"/>
      <c r="B78" s="44" t="s">
        <v>85</v>
      </c>
      <c r="C78" s="101"/>
      <c r="D78" s="99"/>
      <c r="E78" s="102"/>
      <c r="F78" s="102"/>
      <c r="G78" s="102"/>
      <c r="H78" s="103">
        <f>SUM(H77)</f>
        <v>59.724504000000003</v>
      </c>
      <c r="I78" s="102">
        <f>I16+I17+I18+I20+I21+I23+I25+I26+I36+I37+I38+I39+I41+I48+I55+I58+I60+I69+I76+I77</f>
        <v>46290.360275166655</v>
      </c>
    </row>
    <row r="79" spans="1:21" ht="15.75" customHeight="1">
      <c r="A79" s="169" t="s">
        <v>62</v>
      </c>
      <c r="B79" s="170"/>
      <c r="C79" s="170"/>
      <c r="D79" s="170"/>
      <c r="E79" s="170"/>
      <c r="F79" s="170"/>
      <c r="G79" s="170"/>
      <c r="H79" s="170"/>
      <c r="I79" s="171"/>
    </row>
    <row r="80" spans="1:21" ht="15.75" customHeight="1">
      <c r="A80" s="30">
        <v>21</v>
      </c>
      <c r="B80" s="135" t="s">
        <v>107</v>
      </c>
      <c r="C80" s="136" t="s">
        <v>97</v>
      </c>
      <c r="D80" s="53"/>
      <c r="E80" s="37"/>
      <c r="F80" s="37">
        <v>390</v>
      </c>
      <c r="G80" s="37">
        <v>53.42</v>
      </c>
      <c r="H80" s="134">
        <f>G80*F80/1000</f>
        <v>20.8338</v>
      </c>
      <c r="I80" s="13">
        <f>G80*65</f>
        <v>3472.3</v>
      </c>
    </row>
    <row r="81" spans="1:9" ht="31.5" customHeight="1">
      <c r="A81" s="30">
        <v>22</v>
      </c>
      <c r="B81" s="135" t="s">
        <v>172</v>
      </c>
      <c r="C81" s="136" t="s">
        <v>97</v>
      </c>
      <c r="D81" s="53"/>
      <c r="E81" s="37"/>
      <c r="F81" s="37">
        <v>7</v>
      </c>
      <c r="G81" s="37">
        <v>671.73</v>
      </c>
      <c r="H81" s="134">
        <f>G81*F81/1000</f>
        <v>4.7021100000000002</v>
      </c>
      <c r="I81" s="13">
        <f>G81*(4+2)</f>
        <v>4030.38</v>
      </c>
    </row>
    <row r="82" spans="1:9" ht="15.75" customHeight="1">
      <c r="A82" s="30">
        <v>23</v>
      </c>
      <c r="B82" s="58" t="s">
        <v>177</v>
      </c>
      <c r="C82" s="59" t="s">
        <v>97</v>
      </c>
      <c r="D82" s="40"/>
      <c r="E82" s="18"/>
      <c r="F82" s="37">
        <v>4</v>
      </c>
      <c r="G82" s="37">
        <v>22</v>
      </c>
      <c r="H82" s="134">
        <f t="shared" ref="H82:H88" si="9">G82*F82/1000</f>
        <v>8.7999999999999995E-2</v>
      </c>
      <c r="I82" s="13">
        <f>G82*(2+1)</f>
        <v>66</v>
      </c>
    </row>
    <row r="83" spans="1:9" ht="15.75" customHeight="1">
      <c r="A83" s="30">
        <v>24</v>
      </c>
      <c r="B83" s="58" t="s">
        <v>173</v>
      </c>
      <c r="C83" s="59" t="s">
        <v>97</v>
      </c>
      <c r="D83" s="40"/>
      <c r="E83" s="18"/>
      <c r="F83" s="37">
        <v>4</v>
      </c>
      <c r="G83" s="37">
        <v>62</v>
      </c>
      <c r="H83" s="134">
        <f t="shared" si="9"/>
        <v>0.248</v>
      </c>
      <c r="I83" s="13">
        <f>G83*(1+1)</f>
        <v>124</v>
      </c>
    </row>
    <row r="84" spans="1:9" ht="15.75" customHeight="1">
      <c r="A84" s="30">
        <v>25</v>
      </c>
      <c r="B84" s="58" t="s">
        <v>178</v>
      </c>
      <c r="C84" s="59" t="s">
        <v>97</v>
      </c>
      <c r="D84" s="40"/>
      <c r="E84" s="18"/>
      <c r="F84" s="37">
        <v>3</v>
      </c>
      <c r="G84" s="37">
        <v>30</v>
      </c>
      <c r="H84" s="134">
        <f t="shared" si="9"/>
        <v>0.09</v>
      </c>
      <c r="I84" s="13">
        <f>G84*(2+1)</f>
        <v>90</v>
      </c>
    </row>
    <row r="85" spans="1:9" ht="15.75" customHeight="1">
      <c r="A85" s="30">
        <v>26</v>
      </c>
      <c r="B85" s="135" t="s">
        <v>179</v>
      </c>
      <c r="C85" s="136" t="s">
        <v>97</v>
      </c>
      <c r="D85" s="138"/>
      <c r="E85" s="37"/>
      <c r="F85" s="37">
        <v>2</v>
      </c>
      <c r="G85" s="37">
        <v>46</v>
      </c>
      <c r="H85" s="134">
        <f t="shared" si="9"/>
        <v>9.1999999999999998E-2</v>
      </c>
      <c r="I85" s="13">
        <f>G85</f>
        <v>46</v>
      </c>
    </row>
    <row r="86" spans="1:9" ht="15.75" customHeight="1">
      <c r="A86" s="30">
        <v>27</v>
      </c>
      <c r="B86" s="135" t="s">
        <v>174</v>
      </c>
      <c r="C86" s="136" t="s">
        <v>97</v>
      </c>
      <c r="D86" s="138"/>
      <c r="E86" s="37"/>
      <c r="F86" s="37">
        <v>2</v>
      </c>
      <c r="G86" s="37">
        <v>12</v>
      </c>
      <c r="H86" s="134">
        <f t="shared" si="9"/>
        <v>2.4E-2</v>
      </c>
      <c r="I86" s="13">
        <f t="shared" ref="I86" si="10">G86</f>
        <v>12</v>
      </c>
    </row>
    <row r="87" spans="1:9" ht="15.75" customHeight="1">
      <c r="A87" s="30">
        <v>28</v>
      </c>
      <c r="B87" s="135" t="s">
        <v>175</v>
      </c>
      <c r="C87" s="136" t="s">
        <v>176</v>
      </c>
      <c r="D87" s="138"/>
      <c r="E87" s="37"/>
      <c r="F87" s="37">
        <v>2</v>
      </c>
      <c r="G87" s="37">
        <v>612.79</v>
      </c>
      <c r="H87" s="134">
        <f t="shared" si="9"/>
        <v>1.2255799999999999</v>
      </c>
      <c r="I87" s="13">
        <f>G87*2</f>
        <v>1225.58</v>
      </c>
    </row>
    <row r="88" spans="1:9" ht="15.75" customHeight="1">
      <c r="A88" s="30">
        <v>29</v>
      </c>
      <c r="B88" s="58" t="s">
        <v>180</v>
      </c>
      <c r="C88" s="59" t="s">
        <v>97</v>
      </c>
      <c r="D88" s="40"/>
      <c r="E88" s="18"/>
      <c r="F88" s="37">
        <v>1</v>
      </c>
      <c r="G88" s="37">
        <v>22</v>
      </c>
      <c r="H88" s="134">
        <f t="shared" si="9"/>
        <v>2.1999999999999999E-2</v>
      </c>
      <c r="I88" s="13">
        <f>G88</f>
        <v>22</v>
      </c>
    </row>
    <row r="89" spans="1:9" ht="31.5" customHeight="1">
      <c r="A89" s="30">
        <v>30</v>
      </c>
      <c r="B89" s="58" t="s">
        <v>87</v>
      </c>
      <c r="C89" s="59" t="s">
        <v>39</v>
      </c>
      <c r="D89" s="138"/>
      <c r="E89" s="37"/>
      <c r="F89" s="37">
        <f>2/100</f>
        <v>0.02</v>
      </c>
      <c r="G89" s="37">
        <v>3581.13</v>
      </c>
      <c r="H89" s="134">
        <f>F89*G89/1000</f>
        <v>7.1622600000000008E-2</v>
      </c>
      <c r="I89" s="13">
        <f>G89*0.01</f>
        <v>35.811300000000003</v>
      </c>
    </row>
    <row r="90" spans="1:9" ht="15.75" customHeight="1">
      <c r="A90" s="30">
        <v>31</v>
      </c>
      <c r="B90" s="58" t="s">
        <v>86</v>
      </c>
      <c r="C90" s="59" t="s">
        <v>97</v>
      </c>
      <c r="D90" s="138"/>
      <c r="E90" s="37"/>
      <c r="F90" s="37">
        <v>3</v>
      </c>
      <c r="G90" s="37">
        <v>189.88</v>
      </c>
      <c r="H90" s="134">
        <f>F90*G90/1000</f>
        <v>0.56964000000000004</v>
      </c>
      <c r="I90" s="13">
        <f>G90</f>
        <v>189.88</v>
      </c>
    </row>
    <row r="91" spans="1:9" ht="31.5" customHeight="1">
      <c r="A91" s="30">
        <v>32</v>
      </c>
      <c r="B91" s="58" t="s">
        <v>84</v>
      </c>
      <c r="C91" s="59" t="s">
        <v>97</v>
      </c>
      <c r="D91" s="53"/>
      <c r="E91" s="13"/>
      <c r="F91" s="13">
        <v>1</v>
      </c>
      <c r="G91" s="13">
        <v>83.36</v>
      </c>
      <c r="H91" s="100">
        <f>F91*G91/1000</f>
        <v>8.3360000000000004E-2</v>
      </c>
      <c r="I91" s="13">
        <f>G91</f>
        <v>83.36</v>
      </c>
    </row>
    <row r="92" spans="1:9" ht="15.75" customHeight="1">
      <c r="A92" s="30"/>
      <c r="B92" s="51" t="s">
        <v>53</v>
      </c>
      <c r="C92" s="47"/>
      <c r="D92" s="55"/>
      <c r="E92" s="47">
        <v>1</v>
      </c>
      <c r="F92" s="47"/>
      <c r="G92" s="47"/>
      <c r="H92" s="47"/>
      <c r="I92" s="33">
        <f>SUM(I80:I91)</f>
        <v>9397.3112999999994</v>
      </c>
    </row>
    <row r="93" spans="1:9" ht="15.75" customHeight="1">
      <c r="A93" s="30"/>
      <c r="B93" s="53" t="s">
        <v>83</v>
      </c>
      <c r="C93" s="15"/>
      <c r="D93" s="15"/>
      <c r="E93" s="48"/>
      <c r="F93" s="48"/>
      <c r="G93" s="49"/>
      <c r="H93" s="49"/>
      <c r="I93" s="18">
        <v>0</v>
      </c>
    </row>
    <row r="94" spans="1:9" ht="15.75" customHeight="1">
      <c r="A94" s="56"/>
      <c r="B94" s="52" t="s">
        <v>170</v>
      </c>
      <c r="C94" s="36"/>
      <c r="D94" s="36"/>
      <c r="E94" s="36"/>
      <c r="F94" s="36"/>
      <c r="G94" s="36"/>
      <c r="H94" s="36"/>
      <c r="I94" s="50">
        <f>I78+I92</f>
        <v>55687.671575166656</v>
      </c>
    </row>
    <row r="95" spans="1:9" ht="15.75">
      <c r="A95" s="184" t="s">
        <v>250</v>
      </c>
      <c r="B95" s="184"/>
      <c r="C95" s="184"/>
      <c r="D95" s="184"/>
      <c r="E95" s="184"/>
      <c r="F95" s="184"/>
      <c r="G95" s="184"/>
      <c r="H95" s="184"/>
      <c r="I95" s="184"/>
    </row>
    <row r="96" spans="1:9" ht="15.75">
      <c r="A96" s="62"/>
      <c r="B96" s="193" t="s">
        <v>251</v>
      </c>
      <c r="C96" s="193"/>
      <c r="D96" s="193"/>
      <c r="E96" s="193"/>
      <c r="F96" s="193"/>
      <c r="G96" s="193"/>
      <c r="H96" s="78"/>
      <c r="I96" s="3"/>
    </row>
    <row r="97" spans="1:9">
      <c r="A97" s="65"/>
      <c r="B97" s="190" t="s">
        <v>6</v>
      </c>
      <c r="C97" s="190"/>
      <c r="D97" s="190"/>
      <c r="E97" s="190"/>
      <c r="F97" s="190"/>
      <c r="G97" s="190"/>
      <c r="H97" s="25"/>
      <c r="I97" s="5"/>
    </row>
    <row r="98" spans="1:9" ht="15.75" customHeight="1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 customHeight="1">
      <c r="A99" s="194" t="s">
        <v>7</v>
      </c>
      <c r="B99" s="194"/>
      <c r="C99" s="194"/>
      <c r="D99" s="194"/>
      <c r="E99" s="194"/>
      <c r="F99" s="194"/>
      <c r="G99" s="194"/>
      <c r="H99" s="194"/>
      <c r="I99" s="194"/>
    </row>
    <row r="100" spans="1:9" ht="15.75" customHeight="1">
      <c r="A100" s="194" t="s">
        <v>8</v>
      </c>
      <c r="B100" s="194"/>
      <c r="C100" s="194"/>
      <c r="D100" s="194"/>
      <c r="E100" s="194"/>
      <c r="F100" s="194"/>
      <c r="G100" s="194"/>
      <c r="H100" s="194"/>
      <c r="I100" s="194"/>
    </row>
    <row r="101" spans="1:9" ht="15.75" customHeight="1">
      <c r="A101" s="177" t="s">
        <v>63</v>
      </c>
      <c r="B101" s="177"/>
      <c r="C101" s="177"/>
      <c r="D101" s="177"/>
      <c r="E101" s="177"/>
      <c r="F101" s="177"/>
      <c r="G101" s="177"/>
      <c r="H101" s="177"/>
      <c r="I101" s="177"/>
    </row>
    <row r="102" spans="1:9" ht="7.5" customHeight="1">
      <c r="A102" s="11"/>
    </row>
    <row r="103" spans="1:9" ht="15.75" customHeight="1">
      <c r="A103" s="178" t="s">
        <v>9</v>
      </c>
      <c r="B103" s="178"/>
      <c r="C103" s="178"/>
      <c r="D103" s="178"/>
      <c r="E103" s="178"/>
      <c r="F103" s="178"/>
      <c r="G103" s="178"/>
      <c r="H103" s="178"/>
      <c r="I103" s="178"/>
    </row>
    <row r="104" spans="1:9" ht="15.75" customHeight="1">
      <c r="A104" s="4"/>
    </row>
    <row r="105" spans="1:9" ht="15.75" customHeight="1">
      <c r="B105" s="61" t="s">
        <v>10</v>
      </c>
      <c r="C105" s="189" t="s">
        <v>96</v>
      </c>
      <c r="D105" s="189"/>
      <c r="E105" s="189"/>
      <c r="F105" s="76"/>
      <c r="I105" s="64"/>
    </row>
    <row r="106" spans="1:9" ht="15.75" customHeight="1">
      <c r="A106" s="65"/>
      <c r="C106" s="190" t="s">
        <v>11</v>
      </c>
      <c r="D106" s="190"/>
      <c r="E106" s="190"/>
      <c r="F106" s="25"/>
      <c r="I106" s="63" t="s">
        <v>12</v>
      </c>
    </row>
    <row r="107" spans="1:9" ht="15.75" customHeight="1">
      <c r="A107" s="26"/>
      <c r="C107" s="12"/>
      <c r="D107" s="12"/>
      <c r="G107" s="12"/>
      <c r="H107" s="12"/>
    </row>
    <row r="108" spans="1:9" ht="15.75" customHeight="1">
      <c r="B108" s="61" t="s">
        <v>13</v>
      </c>
      <c r="C108" s="191"/>
      <c r="D108" s="191"/>
      <c r="E108" s="191"/>
      <c r="F108" s="77"/>
      <c r="I108" s="64"/>
    </row>
    <row r="109" spans="1:9" ht="15.75" customHeight="1">
      <c r="A109" s="65"/>
      <c r="C109" s="183" t="s">
        <v>11</v>
      </c>
      <c r="D109" s="183"/>
      <c r="E109" s="183"/>
      <c r="F109" s="65"/>
      <c r="I109" s="63" t="s">
        <v>12</v>
      </c>
    </row>
    <row r="110" spans="1:9" ht="15.75" customHeight="1">
      <c r="A110" s="4" t="s">
        <v>14</v>
      </c>
    </row>
    <row r="111" spans="1:9">
      <c r="A111" s="192" t="s">
        <v>15</v>
      </c>
      <c r="B111" s="192"/>
      <c r="C111" s="192"/>
      <c r="D111" s="192"/>
      <c r="E111" s="192"/>
      <c r="F111" s="192"/>
      <c r="G111" s="192"/>
      <c r="H111" s="192"/>
      <c r="I111" s="192"/>
    </row>
    <row r="112" spans="1:9" ht="45" customHeight="1">
      <c r="A112" s="185" t="s">
        <v>16</v>
      </c>
      <c r="B112" s="185"/>
      <c r="C112" s="185"/>
      <c r="D112" s="185"/>
      <c r="E112" s="185"/>
      <c r="F112" s="185"/>
      <c r="G112" s="185"/>
      <c r="H112" s="185"/>
      <c r="I112" s="185"/>
    </row>
    <row r="113" spans="1:9" ht="30" customHeight="1">
      <c r="A113" s="185" t="s">
        <v>17</v>
      </c>
      <c r="B113" s="185"/>
      <c r="C113" s="185"/>
      <c r="D113" s="185"/>
      <c r="E113" s="185"/>
      <c r="F113" s="185"/>
      <c r="G113" s="185"/>
      <c r="H113" s="185"/>
      <c r="I113" s="185"/>
    </row>
    <row r="114" spans="1:9" ht="30" customHeight="1">
      <c r="A114" s="185" t="s">
        <v>21</v>
      </c>
      <c r="B114" s="185"/>
      <c r="C114" s="185"/>
      <c r="D114" s="185"/>
      <c r="E114" s="185"/>
      <c r="F114" s="185"/>
      <c r="G114" s="185"/>
      <c r="H114" s="185"/>
      <c r="I114" s="185"/>
    </row>
    <row r="115" spans="1:9" ht="15" customHeight="1">
      <c r="A115" s="185" t="s">
        <v>20</v>
      </c>
      <c r="B115" s="185"/>
      <c r="C115" s="185"/>
      <c r="D115" s="185"/>
      <c r="E115" s="185"/>
      <c r="F115" s="185"/>
      <c r="G115" s="185"/>
      <c r="H115" s="185"/>
      <c r="I115" s="185"/>
    </row>
  </sheetData>
  <autoFilter ref="I12:I62"/>
  <mergeCells count="29">
    <mergeCell ref="A112:I112"/>
    <mergeCell ref="A113:I113"/>
    <mergeCell ref="A114:I114"/>
    <mergeCell ref="A115:I115"/>
    <mergeCell ref="A103:I103"/>
    <mergeCell ref="C105:E105"/>
    <mergeCell ref="C106:E106"/>
    <mergeCell ref="C108:E108"/>
    <mergeCell ref="C109:E109"/>
    <mergeCell ref="A111:I111"/>
    <mergeCell ref="A101:I101"/>
    <mergeCell ref="A15:I15"/>
    <mergeCell ref="A27:I27"/>
    <mergeCell ref="A42:I42"/>
    <mergeCell ref="A53:I53"/>
    <mergeCell ref="A79:I79"/>
    <mergeCell ref="A95:I95"/>
    <mergeCell ref="B96:G96"/>
    <mergeCell ref="B97:G97"/>
    <mergeCell ref="A99:I99"/>
    <mergeCell ref="A100:I100"/>
    <mergeCell ref="R67:U67"/>
    <mergeCell ref="A75:I75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1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91</v>
      </c>
      <c r="I1" s="27"/>
      <c r="J1" s="1"/>
      <c r="K1" s="1"/>
      <c r="L1" s="1"/>
      <c r="M1" s="1"/>
    </row>
    <row r="2" spans="1:13" ht="15.75" customHeight="1">
      <c r="A2" s="29" t="s">
        <v>64</v>
      </c>
      <c r="J2" s="2"/>
      <c r="K2" s="2"/>
      <c r="L2" s="2"/>
      <c r="M2" s="2"/>
    </row>
    <row r="3" spans="1:13" ht="15.75" customHeight="1">
      <c r="A3" s="172" t="s">
        <v>155</v>
      </c>
      <c r="B3" s="172"/>
      <c r="C3" s="172"/>
      <c r="D3" s="172"/>
      <c r="E3" s="172"/>
      <c r="F3" s="172"/>
      <c r="G3" s="172"/>
      <c r="H3" s="172"/>
      <c r="I3" s="172"/>
      <c r="J3" s="3"/>
      <c r="K3" s="3"/>
      <c r="L3" s="3"/>
    </row>
    <row r="4" spans="1:13" ht="31.5" customHeight="1">
      <c r="A4" s="173" t="s">
        <v>129</v>
      </c>
      <c r="B4" s="173"/>
      <c r="C4" s="173"/>
      <c r="D4" s="173"/>
      <c r="E4" s="173"/>
      <c r="F4" s="173"/>
      <c r="G4" s="173"/>
      <c r="H4" s="173"/>
      <c r="I4" s="173"/>
    </row>
    <row r="5" spans="1:13" ht="15.75" customHeight="1">
      <c r="A5" s="172" t="s">
        <v>181</v>
      </c>
      <c r="B5" s="174"/>
      <c r="C5" s="174"/>
      <c r="D5" s="174"/>
      <c r="E5" s="174"/>
      <c r="F5" s="174"/>
      <c r="G5" s="174"/>
      <c r="H5" s="174"/>
      <c r="I5" s="174"/>
      <c r="J5" s="2"/>
      <c r="K5" s="2"/>
      <c r="L5" s="2"/>
      <c r="M5" s="2"/>
    </row>
    <row r="6" spans="1:13" ht="15.75" customHeight="1">
      <c r="A6" s="2"/>
      <c r="B6" s="66"/>
      <c r="C6" s="66"/>
      <c r="D6" s="66"/>
      <c r="E6" s="66"/>
      <c r="F6" s="66"/>
      <c r="G6" s="66"/>
      <c r="H6" s="66"/>
      <c r="I6" s="31">
        <v>42825</v>
      </c>
      <c r="J6" s="2"/>
      <c r="K6" s="2"/>
      <c r="L6" s="2"/>
      <c r="M6" s="2"/>
    </row>
    <row r="7" spans="1:13" ht="15.75" customHeight="1">
      <c r="B7" s="61"/>
      <c r="C7" s="61"/>
      <c r="D7" s="6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75" t="s">
        <v>166</v>
      </c>
      <c r="B8" s="175"/>
      <c r="C8" s="175"/>
      <c r="D8" s="175"/>
      <c r="E8" s="175"/>
      <c r="F8" s="175"/>
      <c r="G8" s="175"/>
      <c r="H8" s="175"/>
      <c r="I8" s="17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76" t="s">
        <v>247</v>
      </c>
      <c r="B10" s="176"/>
      <c r="C10" s="176"/>
      <c r="D10" s="176"/>
      <c r="E10" s="176"/>
      <c r="F10" s="176"/>
      <c r="G10" s="176"/>
      <c r="H10" s="176"/>
      <c r="I10" s="17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68" t="s">
        <v>61</v>
      </c>
      <c r="B14" s="168"/>
      <c r="C14" s="168"/>
      <c r="D14" s="168"/>
      <c r="E14" s="168"/>
      <c r="F14" s="168"/>
      <c r="G14" s="168"/>
      <c r="H14" s="168"/>
      <c r="I14" s="168"/>
      <c r="J14" s="8"/>
      <c r="K14" s="8"/>
      <c r="L14" s="8"/>
      <c r="M14" s="8"/>
    </row>
    <row r="15" spans="1:13" ht="15.75" customHeight="1">
      <c r="A15" s="179" t="s">
        <v>4</v>
      </c>
      <c r="B15" s="179"/>
      <c r="C15" s="179"/>
      <c r="D15" s="179"/>
      <c r="E15" s="179"/>
      <c r="F15" s="179"/>
      <c r="G15" s="179"/>
      <c r="H15" s="179"/>
      <c r="I15" s="179"/>
      <c r="J15" s="8"/>
      <c r="K15" s="8"/>
      <c r="L15" s="8"/>
      <c r="M15" s="8"/>
    </row>
    <row r="16" spans="1:13" ht="15.75" customHeight="1">
      <c r="A16" s="30">
        <v>1</v>
      </c>
      <c r="B16" s="79" t="s">
        <v>92</v>
      </c>
      <c r="C16" s="80" t="s">
        <v>102</v>
      </c>
      <c r="D16" s="79" t="s">
        <v>130</v>
      </c>
      <c r="E16" s="81">
        <v>92.5</v>
      </c>
      <c r="F16" s="82">
        <f>SUM(E16*156/100)</f>
        <v>144.30000000000001</v>
      </c>
      <c r="G16" s="82">
        <v>175.38</v>
      </c>
      <c r="H16" s="83">
        <f t="shared" ref="H16:H24" si="0">SUM(F16*G16/1000)</f>
        <v>25.307334000000001</v>
      </c>
      <c r="I16" s="13">
        <f>F16/12*G16</f>
        <v>2108.9445000000001</v>
      </c>
      <c r="J16" s="8"/>
      <c r="K16" s="8"/>
      <c r="L16" s="8"/>
      <c r="M16" s="8"/>
    </row>
    <row r="17" spans="1:13" ht="15.75" customHeight="1">
      <c r="A17" s="30">
        <v>2</v>
      </c>
      <c r="B17" s="79" t="s">
        <v>111</v>
      </c>
      <c r="C17" s="80" t="s">
        <v>102</v>
      </c>
      <c r="D17" s="79" t="s">
        <v>131</v>
      </c>
      <c r="E17" s="81">
        <v>288.8</v>
      </c>
      <c r="F17" s="82">
        <f>SUM(E17*104/100)</f>
        <v>300.35200000000003</v>
      </c>
      <c r="G17" s="82">
        <v>175.38</v>
      </c>
      <c r="H17" s="83">
        <f t="shared" si="0"/>
        <v>52.67573376</v>
      </c>
      <c r="I17" s="13">
        <f>F17/12*G17</f>
        <v>4389.6444800000008</v>
      </c>
      <c r="J17" s="23"/>
      <c r="K17" s="8"/>
      <c r="L17" s="8"/>
      <c r="M17" s="8"/>
    </row>
    <row r="18" spans="1:13" ht="15.75" customHeight="1">
      <c r="A18" s="30">
        <v>3</v>
      </c>
      <c r="B18" s="79" t="s">
        <v>148</v>
      </c>
      <c r="C18" s="80" t="s">
        <v>102</v>
      </c>
      <c r="D18" s="79" t="s">
        <v>167</v>
      </c>
      <c r="E18" s="81">
        <f>SUM(E16+E17)</f>
        <v>381.3</v>
      </c>
      <c r="F18" s="82">
        <f>SUM(E18*12/100)</f>
        <v>45.756</v>
      </c>
      <c r="G18" s="82">
        <v>504.5</v>
      </c>
      <c r="H18" s="83">
        <f t="shared" si="0"/>
        <v>23.083902000000002</v>
      </c>
      <c r="I18" s="13">
        <f>F18/12*G18</f>
        <v>1923.6585</v>
      </c>
      <c r="J18" s="23"/>
      <c r="K18" s="8"/>
      <c r="L18" s="8"/>
      <c r="M18" s="8"/>
    </row>
    <row r="19" spans="1:13" ht="15.75" hidden="1" customHeight="1">
      <c r="A19" s="30">
        <v>4</v>
      </c>
      <c r="B19" s="79" t="s">
        <v>112</v>
      </c>
      <c r="C19" s="80" t="s">
        <v>113</v>
      </c>
      <c r="D19" s="79" t="s">
        <v>114</v>
      </c>
      <c r="E19" s="81">
        <v>19.2</v>
      </c>
      <c r="F19" s="82">
        <f>SUM(E19/10)</f>
        <v>1.92</v>
      </c>
      <c r="G19" s="82">
        <v>170.16</v>
      </c>
      <c r="H19" s="83">
        <f t="shared" si="0"/>
        <v>0.32670719999999998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79" t="s">
        <v>101</v>
      </c>
      <c r="C20" s="80" t="s">
        <v>102</v>
      </c>
      <c r="D20" s="79" t="s">
        <v>30</v>
      </c>
      <c r="E20" s="81">
        <v>27.3</v>
      </c>
      <c r="F20" s="82">
        <f>SUM(E20*12/100)</f>
        <v>3.2760000000000002</v>
      </c>
      <c r="G20" s="82">
        <v>217.88</v>
      </c>
      <c r="H20" s="83">
        <f t="shared" si="0"/>
        <v>0.71377488</v>
      </c>
      <c r="I20" s="13">
        <f>F20/12*G20</f>
        <v>59.48124</v>
      </c>
      <c r="J20" s="23"/>
      <c r="K20" s="8"/>
      <c r="L20" s="8"/>
      <c r="M20" s="8"/>
    </row>
    <row r="21" spans="1:13" ht="15.75" customHeight="1">
      <c r="A21" s="30">
        <v>5</v>
      </c>
      <c r="B21" s="79" t="s">
        <v>109</v>
      </c>
      <c r="C21" s="80" t="s">
        <v>102</v>
      </c>
      <c r="D21" s="79" t="s">
        <v>30</v>
      </c>
      <c r="E21" s="81">
        <v>9.08</v>
      </c>
      <c r="F21" s="82">
        <f>SUM(E21*12/100)</f>
        <v>1.0896000000000001</v>
      </c>
      <c r="G21" s="82">
        <v>216.12</v>
      </c>
      <c r="H21" s="83">
        <f t="shared" si="0"/>
        <v>0.23548435200000004</v>
      </c>
      <c r="I21" s="13">
        <f>F21/12*G21</f>
        <v>19.623696000000002</v>
      </c>
      <c r="J21" s="23"/>
      <c r="K21" s="8"/>
      <c r="L21" s="8"/>
      <c r="M21" s="8"/>
    </row>
    <row r="22" spans="1:13" ht="15.75" hidden="1" customHeight="1">
      <c r="A22" s="30">
        <v>7</v>
      </c>
      <c r="B22" s="79" t="s">
        <v>103</v>
      </c>
      <c r="C22" s="80" t="s">
        <v>54</v>
      </c>
      <c r="D22" s="79" t="s">
        <v>114</v>
      </c>
      <c r="E22" s="84">
        <v>12.6</v>
      </c>
      <c r="F22" s="82">
        <f>SUM(E22/100)</f>
        <v>0.126</v>
      </c>
      <c r="G22" s="82">
        <v>44.29</v>
      </c>
      <c r="H22" s="83">
        <f t="shared" si="0"/>
        <v>5.5805400000000002E-3</v>
      </c>
      <c r="I22" s="13">
        <v>0</v>
      </c>
      <c r="J22" s="23"/>
      <c r="K22" s="8"/>
      <c r="L22" s="8"/>
      <c r="M22" s="8"/>
    </row>
    <row r="23" spans="1:13" ht="15.75" customHeight="1">
      <c r="A23" s="30">
        <v>6</v>
      </c>
      <c r="B23" s="79" t="s">
        <v>104</v>
      </c>
      <c r="C23" s="80" t="s">
        <v>54</v>
      </c>
      <c r="D23" s="79" t="s">
        <v>105</v>
      </c>
      <c r="E23" s="81">
        <v>20</v>
      </c>
      <c r="F23" s="82">
        <f>E23*12/100</f>
        <v>2.4</v>
      </c>
      <c r="G23" s="82">
        <v>389.72</v>
      </c>
      <c r="H23" s="83">
        <f t="shared" si="0"/>
        <v>0.93532799999999994</v>
      </c>
      <c r="I23" s="13">
        <f>F23/12*G23</f>
        <v>77.944000000000003</v>
      </c>
      <c r="J23" s="23"/>
      <c r="K23" s="8"/>
      <c r="L23" s="8"/>
      <c r="M23" s="8"/>
    </row>
    <row r="24" spans="1:13" ht="15.75" hidden="1" customHeight="1">
      <c r="A24" s="30">
        <v>9</v>
      </c>
      <c r="B24" s="79" t="s">
        <v>106</v>
      </c>
      <c r="C24" s="80" t="s">
        <v>54</v>
      </c>
      <c r="D24" s="79" t="s">
        <v>114</v>
      </c>
      <c r="E24" s="81">
        <v>17</v>
      </c>
      <c r="F24" s="82">
        <f>SUM(E24/100)</f>
        <v>0.17</v>
      </c>
      <c r="G24" s="82">
        <v>520.79999999999995</v>
      </c>
      <c r="H24" s="83">
        <f t="shared" si="0"/>
        <v>8.8536000000000004E-2</v>
      </c>
      <c r="I24" s="13">
        <v>0</v>
      </c>
      <c r="J24" s="23"/>
      <c r="K24" s="8"/>
      <c r="L24" s="8"/>
      <c r="M24" s="8"/>
    </row>
    <row r="25" spans="1:13" ht="15.75" customHeight="1">
      <c r="A25" s="30">
        <v>7</v>
      </c>
      <c r="B25" s="79" t="s">
        <v>66</v>
      </c>
      <c r="C25" s="80" t="s">
        <v>33</v>
      </c>
      <c r="D25" s="79" t="s">
        <v>89</v>
      </c>
      <c r="E25" s="81">
        <v>0.1</v>
      </c>
      <c r="F25" s="82">
        <f>SUM(E25*365)</f>
        <v>36.5</v>
      </c>
      <c r="G25" s="82">
        <v>147.03</v>
      </c>
      <c r="H25" s="83">
        <f>SUM(F25*G25/1000)</f>
        <v>5.3665950000000002</v>
      </c>
      <c r="I25" s="13">
        <f>F25/12*G25</f>
        <v>447.21625</v>
      </c>
      <c r="J25" s="23"/>
      <c r="K25" s="8"/>
      <c r="L25" s="8"/>
      <c r="M25" s="8"/>
    </row>
    <row r="26" spans="1:13" ht="15.75" customHeight="1">
      <c r="A26" s="30">
        <v>8</v>
      </c>
      <c r="B26" s="89" t="s">
        <v>23</v>
      </c>
      <c r="C26" s="80" t="s">
        <v>24</v>
      </c>
      <c r="D26" s="79" t="s">
        <v>89</v>
      </c>
      <c r="E26" s="81">
        <v>3053.4</v>
      </c>
      <c r="F26" s="82">
        <f>SUM(E26*12)</f>
        <v>36640.800000000003</v>
      </c>
      <c r="G26" s="82">
        <v>4.55</v>
      </c>
      <c r="H26" s="83">
        <f>SUM(F26*G26/1000)</f>
        <v>166.71564000000001</v>
      </c>
      <c r="I26" s="13">
        <f>F26/12*G26</f>
        <v>13892.97</v>
      </c>
      <c r="J26" s="24"/>
    </row>
    <row r="27" spans="1:13" ht="15.75" customHeight="1">
      <c r="A27" s="180" t="s">
        <v>168</v>
      </c>
      <c r="B27" s="181"/>
      <c r="C27" s="181"/>
      <c r="D27" s="181"/>
      <c r="E27" s="181"/>
      <c r="F27" s="181"/>
      <c r="G27" s="181"/>
      <c r="H27" s="181"/>
      <c r="I27" s="182"/>
      <c r="J27" s="23"/>
      <c r="K27" s="8"/>
      <c r="L27" s="8"/>
      <c r="M27" s="8"/>
    </row>
    <row r="28" spans="1:13" ht="15.75" hidden="1" customHeight="1">
      <c r="A28" s="30"/>
      <c r="B28" s="107" t="s">
        <v>28</v>
      </c>
      <c r="C28" s="80"/>
      <c r="D28" s="79"/>
      <c r="E28" s="81"/>
      <c r="F28" s="82"/>
      <c r="G28" s="82"/>
      <c r="H28" s="86"/>
      <c r="I28" s="87"/>
      <c r="J28" s="23"/>
      <c r="K28" s="8"/>
      <c r="L28" s="8"/>
      <c r="M28" s="8"/>
    </row>
    <row r="29" spans="1:13" ht="31.5" hidden="1" customHeight="1">
      <c r="A29" s="30">
        <v>9</v>
      </c>
      <c r="B29" s="79" t="s">
        <v>115</v>
      </c>
      <c r="C29" s="80" t="s">
        <v>116</v>
      </c>
      <c r="D29" s="79" t="s">
        <v>139</v>
      </c>
      <c r="E29" s="82">
        <v>561.6</v>
      </c>
      <c r="F29" s="82">
        <f>SUM(E29*52/1000)</f>
        <v>29.203200000000002</v>
      </c>
      <c r="G29" s="82">
        <v>155.88999999999999</v>
      </c>
      <c r="H29" s="83">
        <f t="shared" ref="H29:H34" si="1">SUM(F29*G29/1000)</f>
        <v>4.5524868479999991</v>
      </c>
      <c r="I29" s="13">
        <f t="shared" ref="I29:I32" si="2">F29/6*G29</f>
        <v>758.74780799999996</v>
      </c>
      <c r="J29" s="23"/>
      <c r="K29" s="8"/>
      <c r="L29" s="8"/>
      <c r="M29" s="8"/>
    </row>
    <row r="30" spans="1:13" ht="31.5" hidden="1" customHeight="1">
      <c r="A30" s="30">
        <v>10</v>
      </c>
      <c r="B30" s="79" t="s">
        <v>149</v>
      </c>
      <c r="C30" s="80" t="s">
        <v>116</v>
      </c>
      <c r="D30" s="79" t="s">
        <v>140</v>
      </c>
      <c r="E30" s="82">
        <v>205.7</v>
      </c>
      <c r="F30" s="82">
        <f>SUM(E30*78/1000)</f>
        <v>16.044599999999999</v>
      </c>
      <c r="G30" s="82">
        <v>258.63</v>
      </c>
      <c r="H30" s="83">
        <f t="shared" si="1"/>
        <v>4.1496148979999994</v>
      </c>
      <c r="I30" s="13">
        <f t="shared" si="2"/>
        <v>691.60248299999989</v>
      </c>
      <c r="J30" s="23"/>
      <c r="K30" s="8"/>
      <c r="L30" s="8"/>
      <c r="M30" s="8"/>
    </row>
    <row r="31" spans="1:13" ht="15.75" hidden="1" customHeight="1">
      <c r="A31" s="30">
        <v>11</v>
      </c>
      <c r="B31" s="79" t="s">
        <v>27</v>
      </c>
      <c r="C31" s="80" t="s">
        <v>116</v>
      </c>
      <c r="D31" s="79" t="s">
        <v>55</v>
      </c>
      <c r="E31" s="82">
        <v>561.6</v>
      </c>
      <c r="F31" s="82">
        <f>SUM(E31/1000)</f>
        <v>0.56159999999999999</v>
      </c>
      <c r="G31" s="82">
        <v>3020.33</v>
      </c>
      <c r="H31" s="83">
        <f t="shared" si="1"/>
        <v>1.6962173279999999</v>
      </c>
      <c r="I31" s="13">
        <f>F31*G31</f>
        <v>1696.217328</v>
      </c>
      <c r="J31" s="23"/>
      <c r="K31" s="8"/>
      <c r="L31" s="8"/>
      <c r="M31" s="8"/>
    </row>
    <row r="32" spans="1:13" ht="15.75" hidden="1" customHeight="1">
      <c r="A32" s="30">
        <v>11</v>
      </c>
      <c r="B32" s="79" t="s">
        <v>117</v>
      </c>
      <c r="C32" s="80" t="s">
        <v>31</v>
      </c>
      <c r="D32" s="79" t="s">
        <v>65</v>
      </c>
      <c r="E32" s="88">
        <v>0.33333333333333331</v>
      </c>
      <c r="F32" s="82">
        <f>155/3</f>
        <v>51.666666666666664</v>
      </c>
      <c r="G32" s="82">
        <v>56.69</v>
      </c>
      <c r="H32" s="83">
        <f>SUM(G32*155/3/1000)</f>
        <v>2.9289833333333331</v>
      </c>
      <c r="I32" s="13">
        <f t="shared" si="2"/>
        <v>488.16388888888883</v>
      </c>
      <c r="J32" s="23"/>
      <c r="K32" s="8"/>
      <c r="L32" s="8"/>
      <c r="M32" s="8"/>
    </row>
    <row r="33" spans="1:14" ht="15.75" hidden="1" customHeight="1">
      <c r="A33" s="30"/>
      <c r="B33" s="79" t="s">
        <v>67</v>
      </c>
      <c r="C33" s="80" t="s">
        <v>33</v>
      </c>
      <c r="D33" s="79" t="s">
        <v>69</v>
      </c>
      <c r="E33" s="81"/>
      <c r="F33" s="82">
        <v>2</v>
      </c>
      <c r="G33" s="82">
        <v>191.32</v>
      </c>
      <c r="H33" s="83">
        <f t="shared" si="1"/>
        <v>0.38263999999999998</v>
      </c>
      <c r="I33" s="13">
        <v>0</v>
      </c>
      <c r="J33" s="23"/>
      <c r="K33" s="8"/>
      <c r="L33" s="8"/>
      <c r="M33" s="8"/>
    </row>
    <row r="34" spans="1:14" ht="15.75" hidden="1" customHeight="1">
      <c r="A34" s="30"/>
      <c r="B34" s="79" t="s">
        <v>68</v>
      </c>
      <c r="C34" s="80" t="s">
        <v>32</v>
      </c>
      <c r="D34" s="79" t="s">
        <v>69</v>
      </c>
      <c r="E34" s="81"/>
      <c r="F34" s="82">
        <v>1</v>
      </c>
      <c r="G34" s="82">
        <v>1136.33</v>
      </c>
      <c r="H34" s="83">
        <f t="shared" si="1"/>
        <v>1.1363299999999998</v>
      </c>
      <c r="I34" s="13">
        <v>0</v>
      </c>
      <c r="J34" s="23"/>
      <c r="K34" s="8"/>
    </row>
    <row r="35" spans="1:14" ht="15.75" customHeight="1">
      <c r="A35" s="30"/>
      <c r="B35" s="107" t="s">
        <v>5</v>
      </c>
      <c r="C35" s="80"/>
      <c r="D35" s="79"/>
      <c r="E35" s="81"/>
      <c r="F35" s="82"/>
      <c r="G35" s="82"/>
      <c r="H35" s="86" t="s">
        <v>142</v>
      </c>
      <c r="I35" s="87"/>
      <c r="J35" s="24"/>
    </row>
    <row r="36" spans="1:14" ht="15.75" customHeight="1">
      <c r="A36" s="30">
        <v>9</v>
      </c>
      <c r="B36" s="79" t="s">
        <v>26</v>
      </c>
      <c r="C36" s="80" t="s">
        <v>32</v>
      </c>
      <c r="D36" s="79"/>
      <c r="E36" s="81"/>
      <c r="F36" s="82">
        <v>3</v>
      </c>
      <c r="G36" s="82">
        <v>1527.22</v>
      </c>
      <c r="H36" s="83">
        <f t="shared" ref="H36:H38" si="3">SUM(F36*G36/1000)</f>
        <v>4.5816600000000003</v>
      </c>
      <c r="I36" s="13">
        <f t="shared" ref="I36:I41" si="4">F36/6*G36</f>
        <v>763.61</v>
      </c>
      <c r="J36" s="24"/>
    </row>
    <row r="37" spans="1:14" ht="15.75" customHeight="1">
      <c r="A37" s="30">
        <v>10</v>
      </c>
      <c r="B37" s="79" t="s">
        <v>70</v>
      </c>
      <c r="C37" s="80" t="s">
        <v>29</v>
      </c>
      <c r="D37" s="79" t="s">
        <v>134</v>
      </c>
      <c r="E37" s="82">
        <v>205.7</v>
      </c>
      <c r="F37" s="82">
        <f>SUM(E37*20/1000)</f>
        <v>4.1139999999999999</v>
      </c>
      <c r="G37" s="82">
        <v>2102.71</v>
      </c>
      <c r="H37" s="83">
        <f t="shared" si="3"/>
        <v>8.6505489400000002</v>
      </c>
      <c r="I37" s="13">
        <f t="shared" si="4"/>
        <v>1441.7581566666665</v>
      </c>
      <c r="J37" s="24"/>
    </row>
    <row r="38" spans="1:14" ht="15.75" customHeight="1">
      <c r="A38" s="30">
        <v>11</v>
      </c>
      <c r="B38" s="79" t="s">
        <v>71</v>
      </c>
      <c r="C38" s="80" t="s">
        <v>29</v>
      </c>
      <c r="D38" s="79" t="s">
        <v>135</v>
      </c>
      <c r="E38" s="81">
        <v>89.1</v>
      </c>
      <c r="F38" s="82">
        <f>SUM(E38*155/1000)</f>
        <v>13.810499999999999</v>
      </c>
      <c r="G38" s="82">
        <v>350.75</v>
      </c>
      <c r="H38" s="83">
        <f t="shared" si="3"/>
        <v>4.8440328749999999</v>
      </c>
      <c r="I38" s="13">
        <f t="shared" si="4"/>
        <v>807.3388124999999</v>
      </c>
      <c r="J38" s="24"/>
    </row>
    <row r="39" spans="1:14" ht="47.25" customHeight="1">
      <c r="A39" s="30">
        <v>12</v>
      </c>
      <c r="B39" s="79" t="s">
        <v>88</v>
      </c>
      <c r="C39" s="80" t="s">
        <v>116</v>
      </c>
      <c r="D39" s="79" t="s">
        <v>136</v>
      </c>
      <c r="E39" s="82">
        <v>48</v>
      </c>
      <c r="F39" s="82">
        <f>SUM(E39*50/1000)</f>
        <v>2.4</v>
      </c>
      <c r="G39" s="82">
        <v>5803.28</v>
      </c>
      <c r="H39" s="83">
        <f>SUM(F39*G39/1000)</f>
        <v>13.927871999999999</v>
      </c>
      <c r="I39" s="13">
        <f t="shared" si="4"/>
        <v>2321.3119999999999</v>
      </c>
      <c r="J39" s="24"/>
    </row>
    <row r="40" spans="1:14" ht="15.75" customHeight="1">
      <c r="A40" s="30">
        <v>13</v>
      </c>
      <c r="B40" s="79" t="s">
        <v>118</v>
      </c>
      <c r="C40" s="80" t="s">
        <v>116</v>
      </c>
      <c r="D40" s="35" t="s">
        <v>252</v>
      </c>
      <c r="E40" s="34">
        <v>89</v>
      </c>
      <c r="F40" s="195">
        <f>SUM(E40*15/1000)</f>
        <v>1.335</v>
      </c>
      <c r="G40" s="34">
        <v>428.7</v>
      </c>
      <c r="H40" s="196">
        <f t="shared" ref="H40" si="5">SUM(F40*G40/1000)</f>
        <v>0.57231449999999995</v>
      </c>
      <c r="I40" s="13">
        <f>F40/2*G40</f>
        <v>286.15724999999998</v>
      </c>
      <c r="J40" s="24"/>
      <c r="L40" s="20"/>
      <c r="M40" s="21"/>
      <c r="N40" s="22"/>
    </row>
    <row r="41" spans="1:14" ht="15.75" customHeight="1">
      <c r="A41" s="108">
        <v>14</v>
      </c>
      <c r="B41" s="93" t="s">
        <v>73</v>
      </c>
      <c r="C41" s="94" t="s">
        <v>33</v>
      </c>
      <c r="D41" s="93"/>
      <c r="E41" s="90"/>
      <c r="F41" s="95">
        <v>0.9</v>
      </c>
      <c r="G41" s="95">
        <v>798</v>
      </c>
      <c r="H41" s="96">
        <f t="shared" ref="H40:H41" si="6">SUM(F41*G41/1000)</f>
        <v>0.71820000000000006</v>
      </c>
      <c r="I41" s="109">
        <f t="shared" si="4"/>
        <v>119.69999999999999</v>
      </c>
      <c r="J41" s="24"/>
      <c r="L41" s="20"/>
      <c r="M41" s="21"/>
      <c r="N41" s="22"/>
    </row>
    <row r="42" spans="1:14" ht="15.75" hidden="1" customHeight="1">
      <c r="A42" s="186" t="s">
        <v>150</v>
      </c>
      <c r="B42" s="187"/>
      <c r="C42" s="187"/>
      <c r="D42" s="187"/>
      <c r="E42" s="187"/>
      <c r="F42" s="187"/>
      <c r="G42" s="187"/>
      <c r="H42" s="187"/>
      <c r="I42" s="188"/>
      <c r="J42" s="24"/>
      <c r="L42" s="20"/>
      <c r="M42" s="21"/>
      <c r="N42" s="22"/>
    </row>
    <row r="43" spans="1:14" ht="15.75" hidden="1" customHeight="1">
      <c r="A43" s="110"/>
      <c r="B43" s="111" t="s">
        <v>119</v>
      </c>
      <c r="C43" s="112" t="s">
        <v>116</v>
      </c>
      <c r="D43" s="111" t="s">
        <v>43</v>
      </c>
      <c r="E43" s="113">
        <v>1632.75</v>
      </c>
      <c r="F43" s="114">
        <f>SUM(E43*2/1000)</f>
        <v>3.2654999999999998</v>
      </c>
      <c r="G43" s="115">
        <v>809.74</v>
      </c>
      <c r="H43" s="116">
        <f t="shared" ref="H43:H52" si="7">SUM(F43*G43/1000)</f>
        <v>2.6442059699999998</v>
      </c>
      <c r="I43" s="115">
        <v>0</v>
      </c>
      <c r="J43" s="24"/>
      <c r="L43" s="20"/>
      <c r="M43" s="21"/>
      <c r="N43" s="22"/>
    </row>
    <row r="44" spans="1:14" ht="15.75" hidden="1" customHeight="1">
      <c r="A44" s="30"/>
      <c r="B44" s="79" t="s">
        <v>36</v>
      </c>
      <c r="C44" s="80" t="s">
        <v>116</v>
      </c>
      <c r="D44" s="79" t="s">
        <v>43</v>
      </c>
      <c r="E44" s="81">
        <v>53.75</v>
      </c>
      <c r="F44" s="82">
        <f>SUM(E44*2/1000)</f>
        <v>0.1075</v>
      </c>
      <c r="G44" s="13">
        <v>579.48</v>
      </c>
      <c r="H44" s="83">
        <f t="shared" si="7"/>
        <v>6.2294099999999998E-2</v>
      </c>
      <c r="I44" s="13">
        <v>0</v>
      </c>
      <c r="J44" s="24"/>
      <c r="L44" s="20"/>
      <c r="M44" s="21"/>
      <c r="N44" s="22"/>
    </row>
    <row r="45" spans="1:14" ht="15.75" hidden="1" customHeight="1">
      <c r="A45" s="30"/>
      <c r="B45" s="79" t="s">
        <v>37</v>
      </c>
      <c r="C45" s="80" t="s">
        <v>116</v>
      </c>
      <c r="D45" s="79" t="s">
        <v>43</v>
      </c>
      <c r="E45" s="81">
        <v>2285.6</v>
      </c>
      <c r="F45" s="82">
        <f>SUM(E45*2/1000)</f>
        <v>4.5712000000000002</v>
      </c>
      <c r="G45" s="13">
        <v>579.48</v>
      </c>
      <c r="H45" s="83">
        <f t="shared" si="7"/>
        <v>2.6489189760000005</v>
      </c>
      <c r="I45" s="13">
        <v>0</v>
      </c>
      <c r="J45" s="24"/>
      <c r="L45" s="20"/>
      <c r="M45" s="21"/>
      <c r="N45" s="22"/>
    </row>
    <row r="46" spans="1:14" ht="15.75" hidden="1" customHeight="1">
      <c r="A46" s="30"/>
      <c r="B46" s="79" t="s">
        <v>38</v>
      </c>
      <c r="C46" s="80" t="s">
        <v>116</v>
      </c>
      <c r="D46" s="79" t="s">
        <v>43</v>
      </c>
      <c r="E46" s="81">
        <v>1860</v>
      </c>
      <c r="F46" s="82">
        <f>SUM(E46*2/1000)</f>
        <v>3.72</v>
      </c>
      <c r="G46" s="13">
        <v>606.77</v>
      </c>
      <c r="H46" s="83">
        <f t="shared" si="7"/>
        <v>2.2571844000000003</v>
      </c>
      <c r="I46" s="13">
        <v>0</v>
      </c>
      <c r="J46" s="24"/>
      <c r="L46" s="20"/>
      <c r="M46" s="21"/>
      <c r="N46" s="22"/>
    </row>
    <row r="47" spans="1:14" ht="15.75" hidden="1" customHeight="1">
      <c r="A47" s="30"/>
      <c r="B47" s="79" t="s">
        <v>34</v>
      </c>
      <c r="C47" s="80" t="s">
        <v>35</v>
      </c>
      <c r="D47" s="79" t="s">
        <v>43</v>
      </c>
      <c r="E47" s="81">
        <v>120.49</v>
      </c>
      <c r="F47" s="82">
        <f>SUM(E47*2/100)</f>
        <v>2.4097999999999997</v>
      </c>
      <c r="G47" s="13">
        <v>72.81</v>
      </c>
      <c r="H47" s="83">
        <f t="shared" si="7"/>
        <v>0.17545753799999997</v>
      </c>
      <c r="I47" s="13">
        <v>0</v>
      </c>
      <c r="J47" s="24"/>
      <c r="L47" s="20"/>
      <c r="M47" s="21"/>
      <c r="N47" s="22"/>
    </row>
    <row r="48" spans="1:14" ht="15.75" hidden="1" customHeight="1">
      <c r="A48" s="30">
        <v>15</v>
      </c>
      <c r="B48" s="79" t="s">
        <v>58</v>
      </c>
      <c r="C48" s="80" t="s">
        <v>116</v>
      </c>
      <c r="D48" s="79" t="s">
        <v>153</v>
      </c>
      <c r="E48" s="81">
        <v>1728</v>
      </c>
      <c r="F48" s="82">
        <f>SUM(E48*5/1000)</f>
        <v>8.64</v>
      </c>
      <c r="G48" s="13">
        <v>1213.55</v>
      </c>
      <c r="H48" s="83">
        <f t="shared" si="7"/>
        <v>10.485072000000001</v>
      </c>
      <c r="I48" s="13">
        <f>F48/5*G48</f>
        <v>2097.0144</v>
      </c>
      <c r="J48" s="24"/>
      <c r="L48" s="20"/>
      <c r="M48" s="21"/>
      <c r="N48" s="22"/>
    </row>
    <row r="49" spans="1:22" ht="31.5" hidden="1" customHeight="1">
      <c r="A49" s="30"/>
      <c r="B49" s="79" t="s">
        <v>120</v>
      </c>
      <c r="C49" s="80" t="s">
        <v>116</v>
      </c>
      <c r="D49" s="79" t="s">
        <v>43</v>
      </c>
      <c r="E49" s="81">
        <v>1728</v>
      </c>
      <c r="F49" s="82">
        <f>SUM(E49*2/1000)</f>
        <v>3.456</v>
      </c>
      <c r="G49" s="13">
        <v>1213.55</v>
      </c>
      <c r="H49" s="83">
        <f t="shared" si="7"/>
        <v>4.1940287999999999</v>
      </c>
      <c r="I49" s="13">
        <v>0</v>
      </c>
      <c r="J49" s="24"/>
      <c r="L49" s="20"/>
      <c r="M49" s="21"/>
      <c r="N49" s="22"/>
    </row>
    <row r="50" spans="1:22" ht="31.5" hidden="1" customHeight="1">
      <c r="A50" s="30"/>
      <c r="B50" s="79" t="s">
        <v>143</v>
      </c>
      <c r="C50" s="80" t="s">
        <v>39</v>
      </c>
      <c r="D50" s="79" t="s">
        <v>43</v>
      </c>
      <c r="E50" s="81">
        <v>20</v>
      </c>
      <c r="F50" s="82">
        <f>SUM(E50*2/100)</f>
        <v>0.4</v>
      </c>
      <c r="G50" s="13">
        <v>2730.49</v>
      </c>
      <c r="H50" s="83">
        <f t="shared" si="7"/>
        <v>1.0921959999999999</v>
      </c>
      <c r="I50" s="13">
        <v>0</v>
      </c>
      <c r="J50" s="24"/>
      <c r="L50" s="20"/>
      <c r="M50" s="21"/>
      <c r="N50" s="22"/>
    </row>
    <row r="51" spans="1:22" ht="15.75" hidden="1" customHeight="1">
      <c r="A51" s="30"/>
      <c r="B51" s="79" t="s">
        <v>40</v>
      </c>
      <c r="C51" s="80" t="s">
        <v>41</v>
      </c>
      <c r="D51" s="79" t="s">
        <v>43</v>
      </c>
      <c r="E51" s="81">
        <v>1</v>
      </c>
      <c r="F51" s="82">
        <v>0.02</v>
      </c>
      <c r="G51" s="13">
        <v>5652.13</v>
      </c>
      <c r="H51" s="83">
        <f t="shared" si="7"/>
        <v>0.11304260000000001</v>
      </c>
      <c r="I51" s="13">
        <v>0</v>
      </c>
      <c r="J51" s="24"/>
      <c r="L51" s="20"/>
      <c r="M51" s="21"/>
      <c r="N51" s="22"/>
    </row>
    <row r="52" spans="1:22" ht="15.75" hidden="1" customHeight="1">
      <c r="A52" s="108">
        <v>16</v>
      </c>
      <c r="B52" s="93" t="s">
        <v>42</v>
      </c>
      <c r="C52" s="94" t="s">
        <v>97</v>
      </c>
      <c r="D52" s="93" t="s">
        <v>74</v>
      </c>
      <c r="E52" s="90">
        <v>128</v>
      </c>
      <c r="F52" s="95">
        <f>SUM(E52)*3</f>
        <v>384</v>
      </c>
      <c r="G52" s="109">
        <v>65.67</v>
      </c>
      <c r="H52" s="96">
        <f t="shared" si="7"/>
        <v>25.217279999999999</v>
      </c>
      <c r="I52" s="109">
        <f>24*G52</f>
        <v>1576.08</v>
      </c>
      <c r="J52" s="24"/>
      <c r="L52" s="20"/>
      <c r="M52" s="21"/>
      <c r="N52" s="22"/>
    </row>
    <row r="53" spans="1:22" ht="15.75" customHeight="1">
      <c r="A53" s="186" t="s">
        <v>156</v>
      </c>
      <c r="B53" s="187"/>
      <c r="C53" s="187"/>
      <c r="D53" s="187"/>
      <c r="E53" s="187"/>
      <c r="F53" s="187"/>
      <c r="G53" s="187"/>
      <c r="H53" s="187"/>
      <c r="I53" s="188"/>
      <c r="J53" s="24"/>
      <c r="L53" s="20"/>
      <c r="M53" s="21"/>
      <c r="N53" s="22"/>
    </row>
    <row r="54" spans="1:22" ht="15.75" customHeight="1">
      <c r="A54" s="110"/>
      <c r="B54" s="124" t="s">
        <v>44</v>
      </c>
      <c r="C54" s="112"/>
      <c r="D54" s="111"/>
      <c r="E54" s="113"/>
      <c r="F54" s="114"/>
      <c r="G54" s="114"/>
      <c r="H54" s="125"/>
      <c r="I54" s="126"/>
      <c r="J54" s="24"/>
      <c r="L54" s="20"/>
      <c r="M54" s="21"/>
      <c r="N54" s="22"/>
    </row>
    <row r="55" spans="1:22" ht="31.5" customHeight="1">
      <c r="A55" s="30">
        <v>15</v>
      </c>
      <c r="B55" s="79" t="s">
        <v>121</v>
      </c>
      <c r="C55" s="80" t="s">
        <v>102</v>
      </c>
      <c r="D55" s="79" t="s">
        <v>122</v>
      </c>
      <c r="E55" s="81">
        <v>163.30000000000001</v>
      </c>
      <c r="F55" s="82">
        <f>SUM(E55*6/100)</f>
        <v>9.798</v>
      </c>
      <c r="G55" s="13">
        <v>1547.28</v>
      </c>
      <c r="H55" s="83">
        <f>SUM(F55*G55/1000)</f>
        <v>15.160249439999999</v>
      </c>
      <c r="I55" s="13">
        <f>F55/6*G55</f>
        <v>2526.7082399999999</v>
      </c>
      <c r="J55" s="24"/>
      <c r="L55" s="20"/>
      <c r="M55" s="21"/>
      <c r="N55" s="22"/>
    </row>
    <row r="56" spans="1:22" ht="15.75" customHeight="1">
      <c r="A56" s="30"/>
      <c r="B56" s="107" t="s">
        <v>45</v>
      </c>
      <c r="C56" s="80"/>
      <c r="D56" s="79"/>
      <c r="E56" s="81"/>
      <c r="F56" s="82"/>
      <c r="G56" s="82"/>
      <c r="H56" s="83" t="s">
        <v>142</v>
      </c>
      <c r="I56" s="87"/>
      <c r="J56" s="24"/>
      <c r="L56" s="20"/>
      <c r="M56" s="21"/>
      <c r="N56" s="22"/>
    </row>
    <row r="57" spans="1:22" ht="15.75" hidden="1" customHeight="1">
      <c r="A57" s="30"/>
      <c r="B57" s="79" t="s">
        <v>46</v>
      </c>
      <c r="C57" s="80" t="s">
        <v>102</v>
      </c>
      <c r="D57" s="79" t="s">
        <v>55</v>
      </c>
      <c r="E57" s="90">
        <v>1155.2</v>
      </c>
      <c r="F57" s="91">
        <v>11.6</v>
      </c>
      <c r="G57" s="13">
        <v>793.61</v>
      </c>
      <c r="H57" s="92">
        <v>9.1679999999999993</v>
      </c>
      <c r="I57" s="13">
        <v>0</v>
      </c>
      <c r="J57" s="24"/>
      <c r="L57" s="20"/>
      <c r="M57" s="21"/>
      <c r="N57" s="22"/>
    </row>
    <row r="58" spans="1:22" ht="15.75" customHeight="1">
      <c r="A58" s="30">
        <v>16</v>
      </c>
      <c r="B58" s="93" t="s">
        <v>98</v>
      </c>
      <c r="C58" s="94" t="s">
        <v>25</v>
      </c>
      <c r="D58" s="93" t="s">
        <v>30</v>
      </c>
      <c r="E58" s="90">
        <v>255.2</v>
      </c>
      <c r="F58" s="95">
        <v>3062.4</v>
      </c>
      <c r="G58" s="75">
        <v>2.6</v>
      </c>
      <c r="H58" s="96">
        <f>G58*F58/1000</f>
        <v>7.9622400000000004</v>
      </c>
      <c r="I58" s="13">
        <f>F58/12*G58</f>
        <v>663.5200000000001</v>
      </c>
      <c r="J58" s="24"/>
      <c r="L58" s="20"/>
      <c r="M58" s="21"/>
      <c r="N58" s="22"/>
    </row>
    <row r="59" spans="1:22" ht="15.75" hidden="1" customHeight="1">
      <c r="A59" s="30"/>
      <c r="B59" s="117" t="s">
        <v>47</v>
      </c>
      <c r="C59" s="94"/>
      <c r="D59" s="93"/>
      <c r="E59" s="90"/>
      <c r="F59" s="95"/>
      <c r="G59" s="95"/>
      <c r="H59" s="96" t="s">
        <v>142</v>
      </c>
      <c r="I59" s="87"/>
      <c r="J59" s="24"/>
      <c r="L59" s="20"/>
      <c r="M59" s="21"/>
      <c r="N59" s="22"/>
    </row>
    <row r="60" spans="1:22" ht="15.75" hidden="1" customHeight="1">
      <c r="A60" s="30"/>
      <c r="B60" s="14" t="s">
        <v>48</v>
      </c>
      <c r="C60" s="16" t="s">
        <v>97</v>
      </c>
      <c r="D60" s="14" t="s">
        <v>141</v>
      </c>
      <c r="E60" s="19">
        <v>5</v>
      </c>
      <c r="F60" s="82">
        <v>5</v>
      </c>
      <c r="G60" s="13">
        <v>222.4</v>
      </c>
      <c r="H60" s="97">
        <f t="shared" ref="H60:H67" si="8">SUM(F60*G60/1000)</f>
        <v>1.1120000000000001</v>
      </c>
      <c r="I60" s="13">
        <v>0</v>
      </c>
      <c r="J60" s="24"/>
      <c r="L60" s="20"/>
    </row>
    <row r="61" spans="1:22" ht="15.75" hidden="1" customHeight="1">
      <c r="A61" s="30"/>
      <c r="B61" s="14" t="s">
        <v>49</v>
      </c>
      <c r="C61" s="16" t="s">
        <v>97</v>
      </c>
      <c r="D61" s="14" t="s">
        <v>141</v>
      </c>
      <c r="E61" s="19">
        <v>4</v>
      </c>
      <c r="F61" s="82">
        <v>4</v>
      </c>
      <c r="G61" s="13">
        <v>76.25</v>
      </c>
      <c r="H61" s="97">
        <f t="shared" si="8"/>
        <v>0.30499999999999999</v>
      </c>
      <c r="I61" s="13">
        <v>0</v>
      </c>
      <c r="J61" s="24"/>
      <c r="L61" s="20"/>
    </row>
    <row r="62" spans="1:22" ht="15.75" hidden="1" customHeight="1">
      <c r="A62" s="30"/>
      <c r="B62" s="14" t="s">
        <v>50</v>
      </c>
      <c r="C62" s="16" t="s">
        <v>123</v>
      </c>
      <c r="D62" s="14" t="s">
        <v>55</v>
      </c>
      <c r="E62" s="81">
        <v>15552</v>
      </c>
      <c r="F62" s="13">
        <f>SUM(E62/100)</f>
        <v>155.52000000000001</v>
      </c>
      <c r="G62" s="13">
        <v>212.15</v>
      </c>
      <c r="H62" s="97">
        <f t="shared" si="8"/>
        <v>32.993568000000003</v>
      </c>
      <c r="I62" s="13">
        <v>0</v>
      </c>
    </row>
    <row r="63" spans="1:22" ht="15.75" hidden="1" customHeight="1">
      <c r="A63" s="30"/>
      <c r="B63" s="14" t="s">
        <v>51</v>
      </c>
      <c r="C63" s="16" t="s">
        <v>124</v>
      </c>
      <c r="D63" s="14"/>
      <c r="E63" s="81">
        <v>15552</v>
      </c>
      <c r="F63" s="13">
        <f>SUM(E63/1000)</f>
        <v>15.552</v>
      </c>
      <c r="G63" s="13">
        <v>165.21</v>
      </c>
      <c r="H63" s="97">
        <f t="shared" si="8"/>
        <v>2.5693459200000004</v>
      </c>
      <c r="I63" s="13">
        <v>0</v>
      </c>
    </row>
    <row r="64" spans="1:22" ht="15.75" hidden="1" customHeight="1">
      <c r="A64" s="30"/>
      <c r="B64" s="14" t="s">
        <v>52</v>
      </c>
      <c r="C64" s="16" t="s">
        <v>81</v>
      </c>
      <c r="D64" s="14" t="s">
        <v>55</v>
      </c>
      <c r="E64" s="81">
        <v>2432</v>
      </c>
      <c r="F64" s="13">
        <f>SUM(E64/100)</f>
        <v>24.32</v>
      </c>
      <c r="G64" s="13">
        <v>2074.63</v>
      </c>
      <c r="H64" s="97">
        <f t="shared" si="8"/>
        <v>50.455001600000003</v>
      </c>
      <c r="I64" s="13">
        <v>0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hidden="1" customHeight="1">
      <c r="A65" s="30"/>
      <c r="B65" s="98" t="s">
        <v>75</v>
      </c>
      <c r="C65" s="16" t="s">
        <v>33</v>
      </c>
      <c r="D65" s="14"/>
      <c r="E65" s="81">
        <v>34.5</v>
      </c>
      <c r="F65" s="13">
        <f>SUM(E65)</f>
        <v>34.5</v>
      </c>
      <c r="G65" s="13">
        <v>45.32</v>
      </c>
      <c r="H65" s="97">
        <f t="shared" si="8"/>
        <v>1.5635399999999999</v>
      </c>
      <c r="I65" s="13">
        <v>0</v>
      </c>
      <c r="J65" s="26"/>
      <c r="K65" s="26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31.5" hidden="1" customHeight="1">
      <c r="A66" s="30"/>
      <c r="B66" s="98" t="s">
        <v>76</v>
      </c>
      <c r="C66" s="16" t="s">
        <v>33</v>
      </c>
      <c r="D66" s="14"/>
      <c r="E66" s="81">
        <f>E65</f>
        <v>34.5</v>
      </c>
      <c r="F66" s="13">
        <f>SUM(E66)</f>
        <v>34.5</v>
      </c>
      <c r="G66" s="13">
        <v>42.28</v>
      </c>
      <c r="H66" s="97">
        <f t="shared" si="8"/>
        <v>1.4586600000000001</v>
      </c>
      <c r="I66" s="13">
        <v>0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30"/>
      <c r="B67" s="14" t="s">
        <v>59</v>
      </c>
      <c r="C67" s="16" t="s">
        <v>60</v>
      </c>
      <c r="D67" s="14" t="s">
        <v>55</v>
      </c>
      <c r="E67" s="19">
        <v>4</v>
      </c>
      <c r="F67" s="82">
        <f>SUM(E67)</f>
        <v>4</v>
      </c>
      <c r="G67" s="13">
        <v>49.88</v>
      </c>
      <c r="H67" s="97">
        <f t="shared" si="8"/>
        <v>0.19952</v>
      </c>
      <c r="I67" s="13">
        <v>0</v>
      </c>
      <c r="J67" s="5"/>
      <c r="K67" s="5"/>
      <c r="L67" s="5"/>
      <c r="M67" s="5"/>
      <c r="N67" s="5"/>
      <c r="O67" s="5"/>
      <c r="P67" s="5"/>
      <c r="Q67" s="5"/>
      <c r="R67" s="183"/>
      <c r="S67" s="183"/>
      <c r="T67" s="183"/>
      <c r="U67" s="183"/>
    </row>
    <row r="68" spans="1:21" ht="15.75" customHeight="1">
      <c r="A68" s="30"/>
      <c r="B68" s="67" t="s">
        <v>77</v>
      </c>
      <c r="C68" s="16"/>
      <c r="D68" s="14"/>
      <c r="E68" s="19"/>
      <c r="F68" s="13"/>
      <c r="G68" s="13"/>
      <c r="H68" s="97" t="s">
        <v>142</v>
      </c>
      <c r="I68" s="87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1" ht="15.75" customHeight="1">
      <c r="A69" s="30">
        <v>17</v>
      </c>
      <c r="B69" s="14" t="s">
        <v>78</v>
      </c>
      <c r="C69" s="16" t="s">
        <v>79</v>
      </c>
      <c r="D69" s="14"/>
      <c r="E69" s="19">
        <v>4</v>
      </c>
      <c r="F69" s="13">
        <v>0.4</v>
      </c>
      <c r="G69" s="13">
        <v>501.62</v>
      </c>
      <c r="H69" s="97">
        <f>SUM(F69*G69/1000)</f>
        <v>0.20064800000000002</v>
      </c>
      <c r="I69" s="13">
        <f>G69*0.3</f>
        <v>150.48599999999999</v>
      </c>
    </row>
    <row r="70" spans="1:21" ht="15.75" hidden="1" customHeight="1">
      <c r="A70" s="30"/>
      <c r="B70" s="14" t="s">
        <v>137</v>
      </c>
      <c r="C70" s="16" t="s">
        <v>97</v>
      </c>
      <c r="D70" s="14"/>
      <c r="E70" s="19">
        <v>1</v>
      </c>
      <c r="F70" s="13">
        <f>E70</f>
        <v>1</v>
      </c>
      <c r="G70" s="13">
        <v>852.99</v>
      </c>
      <c r="H70" s="97">
        <f>SUM(F70*G70/1000)</f>
        <v>0.85299000000000003</v>
      </c>
      <c r="I70" s="13">
        <v>0</v>
      </c>
    </row>
    <row r="71" spans="1:21" ht="15.75" hidden="1" customHeight="1">
      <c r="A71" s="30"/>
      <c r="B71" s="101" t="s">
        <v>80</v>
      </c>
      <c r="C71" s="16"/>
      <c r="D71" s="14"/>
      <c r="E71" s="19"/>
      <c r="F71" s="19"/>
      <c r="G71" s="19"/>
      <c r="H71" s="19"/>
      <c r="I71" s="87"/>
    </row>
    <row r="72" spans="1:21" ht="15.75" hidden="1" customHeight="1">
      <c r="A72" s="30"/>
      <c r="B72" s="53" t="s">
        <v>127</v>
      </c>
      <c r="C72" s="16" t="s">
        <v>81</v>
      </c>
      <c r="D72" s="14"/>
      <c r="E72" s="19"/>
      <c r="F72" s="13">
        <v>0.1</v>
      </c>
      <c r="G72" s="13">
        <v>2759.44</v>
      </c>
      <c r="H72" s="100">
        <f t="shared" ref="H72" si="9">SUM(F72*G72/1000)</f>
        <v>0.27594400000000002</v>
      </c>
      <c r="I72" s="13">
        <v>0</v>
      </c>
    </row>
    <row r="73" spans="1:21" ht="15.75" customHeight="1">
      <c r="A73" s="30"/>
      <c r="B73" s="67" t="s">
        <v>125</v>
      </c>
      <c r="C73" s="101"/>
      <c r="D73" s="32"/>
      <c r="E73" s="33"/>
      <c r="F73" s="102"/>
      <c r="G73" s="102"/>
      <c r="H73" s="103">
        <f>SUM(H55:H72)</f>
        <v>124.27670696000001</v>
      </c>
      <c r="I73" s="85"/>
    </row>
    <row r="74" spans="1:21" ht="15.75" customHeight="1">
      <c r="A74" s="108">
        <v>18</v>
      </c>
      <c r="B74" s="93" t="s">
        <v>126</v>
      </c>
      <c r="C74" s="118"/>
      <c r="D74" s="119"/>
      <c r="E74" s="104"/>
      <c r="F74" s="109">
        <f>232/10</f>
        <v>23.2</v>
      </c>
      <c r="G74" s="39">
        <v>12361.2</v>
      </c>
      <c r="H74" s="120">
        <f>G74*F74/1000</f>
        <v>286.77984000000004</v>
      </c>
      <c r="I74" s="109">
        <f>G74</f>
        <v>12361.2</v>
      </c>
    </row>
    <row r="75" spans="1:21" ht="15.75" customHeight="1">
      <c r="A75" s="186" t="s">
        <v>157</v>
      </c>
      <c r="B75" s="187"/>
      <c r="C75" s="187"/>
      <c r="D75" s="187"/>
      <c r="E75" s="187"/>
      <c r="F75" s="187"/>
      <c r="G75" s="187"/>
      <c r="H75" s="187"/>
      <c r="I75" s="188"/>
    </row>
    <row r="76" spans="1:21" ht="15.75" customHeight="1">
      <c r="A76" s="110">
        <v>19</v>
      </c>
      <c r="B76" s="111" t="s">
        <v>128</v>
      </c>
      <c r="C76" s="121" t="s">
        <v>56</v>
      </c>
      <c r="D76" s="122" t="s">
        <v>57</v>
      </c>
      <c r="E76" s="115">
        <v>3053.4</v>
      </c>
      <c r="F76" s="115">
        <f>SUM(E76*12)</f>
        <v>36640.800000000003</v>
      </c>
      <c r="G76" s="115">
        <v>2.1</v>
      </c>
      <c r="H76" s="123">
        <f>SUM(F76*G76/1000)</f>
        <v>76.94568000000001</v>
      </c>
      <c r="I76" s="115">
        <f>F76/12*G76</f>
        <v>6412.14</v>
      </c>
    </row>
    <row r="77" spans="1:21" ht="31.5" customHeight="1">
      <c r="A77" s="30">
        <v>20</v>
      </c>
      <c r="B77" s="14" t="s">
        <v>82</v>
      </c>
      <c r="C77" s="16"/>
      <c r="D77" s="122" t="s">
        <v>57</v>
      </c>
      <c r="E77" s="81">
        <f>E76</f>
        <v>3053.4</v>
      </c>
      <c r="F77" s="13">
        <f>E77*12</f>
        <v>36640.800000000003</v>
      </c>
      <c r="G77" s="13">
        <v>1.63</v>
      </c>
      <c r="H77" s="100">
        <f>F77*G77/1000</f>
        <v>59.724504000000003</v>
      </c>
      <c r="I77" s="13">
        <f>F77/12*G77</f>
        <v>4977.0419999999995</v>
      </c>
    </row>
    <row r="78" spans="1:21" ht="15.75" customHeight="1">
      <c r="A78" s="30"/>
      <c r="B78" s="44" t="s">
        <v>85</v>
      </c>
      <c r="C78" s="101"/>
      <c r="D78" s="99"/>
      <c r="E78" s="102"/>
      <c r="F78" s="102"/>
      <c r="G78" s="102"/>
      <c r="H78" s="103">
        <f>SUM(H77)</f>
        <v>59.724504000000003</v>
      </c>
      <c r="I78" s="102">
        <f>I16+I17+I18+I20+I21+I23+I25+I26+I36+I37+I38+I39+I40+I41+I55+I58+I69+I74+I76+I77</f>
        <v>55750.455125166671</v>
      </c>
    </row>
    <row r="79" spans="1:21" ht="15.75" customHeight="1">
      <c r="A79" s="169" t="s">
        <v>62</v>
      </c>
      <c r="B79" s="170"/>
      <c r="C79" s="170"/>
      <c r="D79" s="170"/>
      <c r="E79" s="170"/>
      <c r="F79" s="170"/>
      <c r="G79" s="170"/>
      <c r="H79" s="170"/>
      <c r="I79" s="171"/>
    </row>
    <row r="80" spans="1:21" ht="15.75" customHeight="1">
      <c r="A80" s="30">
        <v>21</v>
      </c>
      <c r="B80" s="58" t="s">
        <v>107</v>
      </c>
      <c r="C80" s="59" t="s">
        <v>97</v>
      </c>
      <c r="D80" s="53"/>
      <c r="E80" s="13"/>
      <c r="F80" s="13">
        <v>390</v>
      </c>
      <c r="G80" s="13">
        <v>53.42</v>
      </c>
      <c r="H80" s="100">
        <f>G80*F80/1000</f>
        <v>20.8338</v>
      </c>
      <c r="I80" s="13">
        <f>G80*65</f>
        <v>3472.3</v>
      </c>
    </row>
    <row r="81" spans="1:9" ht="31.5" customHeight="1">
      <c r="A81" s="30">
        <v>22</v>
      </c>
      <c r="B81" s="58" t="s">
        <v>87</v>
      </c>
      <c r="C81" s="59" t="s">
        <v>39</v>
      </c>
      <c r="D81" s="53"/>
      <c r="E81" s="13"/>
      <c r="F81" s="13">
        <f>2/100</f>
        <v>0.02</v>
      </c>
      <c r="G81" s="13">
        <v>3581.13</v>
      </c>
      <c r="H81" s="100">
        <f>F81*G81/1000</f>
        <v>7.1622600000000008E-2</v>
      </c>
      <c r="I81" s="13">
        <f>G81*0.01</f>
        <v>35.811300000000003</v>
      </c>
    </row>
    <row r="82" spans="1:9" ht="15.75" customHeight="1">
      <c r="A82" s="30">
        <v>23</v>
      </c>
      <c r="B82" s="58" t="s">
        <v>86</v>
      </c>
      <c r="C82" s="59" t="s">
        <v>97</v>
      </c>
      <c r="D82" s="53"/>
      <c r="E82" s="13"/>
      <c r="F82" s="13">
        <v>3</v>
      </c>
      <c r="G82" s="13">
        <v>189.88</v>
      </c>
      <c r="H82" s="100">
        <f>F82*G82/1000</f>
        <v>0.56964000000000004</v>
      </c>
      <c r="I82" s="13">
        <f>G82</f>
        <v>189.88</v>
      </c>
    </row>
    <row r="83" spans="1:9" ht="31.5" customHeight="1">
      <c r="A83" s="30">
        <v>24</v>
      </c>
      <c r="B83" s="58" t="s">
        <v>182</v>
      </c>
      <c r="C83" s="59" t="s">
        <v>108</v>
      </c>
      <c r="D83" s="138"/>
      <c r="E83" s="37"/>
      <c r="F83" s="37">
        <v>1</v>
      </c>
      <c r="G83" s="37">
        <v>666.24</v>
      </c>
      <c r="H83" s="100">
        <f t="shared" ref="H83:H87" si="10">F83*G83/1000</f>
        <v>0.66624000000000005</v>
      </c>
      <c r="I83" s="13">
        <f>G83</f>
        <v>666.24</v>
      </c>
    </row>
    <row r="84" spans="1:9" ht="15.75" customHeight="1">
      <c r="A84" s="30">
        <v>25</v>
      </c>
      <c r="B84" s="135" t="s">
        <v>183</v>
      </c>
      <c r="C84" s="136" t="s">
        <v>97</v>
      </c>
      <c r="D84" s="138"/>
      <c r="E84" s="37"/>
      <c r="F84" s="37">
        <v>1</v>
      </c>
      <c r="G84" s="37">
        <v>130.96</v>
      </c>
      <c r="H84" s="100">
        <f t="shared" si="10"/>
        <v>0.13096000000000002</v>
      </c>
      <c r="I84" s="13">
        <f t="shared" ref="I84" si="11">G84</f>
        <v>130.96</v>
      </c>
    </row>
    <row r="85" spans="1:9" ht="31.5" customHeight="1">
      <c r="A85" s="30">
        <v>26</v>
      </c>
      <c r="B85" s="139" t="s">
        <v>184</v>
      </c>
      <c r="C85" s="140" t="s">
        <v>97</v>
      </c>
      <c r="D85" s="138"/>
      <c r="E85" s="37"/>
      <c r="F85" s="37">
        <v>2</v>
      </c>
      <c r="G85" s="37">
        <v>715.08</v>
      </c>
      <c r="H85" s="100">
        <f t="shared" si="10"/>
        <v>1.4301600000000001</v>
      </c>
      <c r="I85" s="13">
        <f>G85*2</f>
        <v>1430.16</v>
      </c>
    </row>
    <row r="86" spans="1:9" ht="31.5" customHeight="1">
      <c r="A86" s="30">
        <v>27</v>
      </c>
      <c r="B86" s="139" t="s">
        <v>185</v>
      </c>
      <c r="C86" s="140" t="s">
        <v>97</v>
      </c>
      <c r="D86" s="138"/>
      <c r="E86" s="37"/>
      <c r="F86" s="37">
        <v>1</v>
      </c>
      <c r="G86" s="37">
        <v>1787.7</v>
      </c>
      <c r="H86" s="100">
        <f t="shared" si="10"/>
        <v>1.7877000000000001</v>
      </c>
      <c r="I86" s="13">
        <f>G86</f>
        <v>1787.7</v>
      </c>
    </row>
    <row r="87" spans="1:9" ht="15.75" customHeight="1">
      <c r="A87" s="30">
        <v>28</v>
      </c>
      <c r="B87" s="139" t="s">
        <v>186</v>
      </c>
      <c r="C87" s="140" t="s">
        <v>97</v>
      </c>
      <c r="D87" s="138"/>
      <c r="E87" s="37"/>
      <c r="F87" s="37">
        <v>1</v>
      </c>
      <c r="G87" s="37">
        <v>3575.4</v>
      </c>
      <c r="H87" s="100">
        <f t="shared" si="10"/>
        <v>3.5754000000000001</v>
      </c>
      <c r="I87" s="13">
        <f>G87</f>
        <v>3575.4</v>
      </c>
    </row>
    <row r="88" spans="1:9" ht="15.75" customHeight="1">
      <c r="A88" s="30"/>
      <c r="B88" s="51" t="s">
        <v>53</v>
      </c>
      <c r="C88" s="47"/>
      <c r="D88" s="55"/>
      <c r="E88" s="47">
        <v>1</v>
      </c>
      <c r="F88" s="47"/>
      <c r="G88" s="47"/>
      <c r="H88" s="47"/>
      <c r="I88" s="33">
        <f>SUM(I80:I87)</f>
        <v>11288.451300000001</v>
      </c>
    </row>
    <row r="89" spans="1:9" ht="15.75" customHeight="1">
      <c r="A89" s="30"/>
      <c r="B89" s="53" t="s">
        <v>83</v>
      </c>
      <c r="C89" s="15"/>
      <c r="D89" s="15"/>
      <c r="E89" s="48"/>
      <c r="F89" s="48"/>
      <c r="G89" s="49"/>
      <c r="H89" s="49"/>
      <c r="I89" s="18">
        <v>0</v>
      </c>
    </row>
    <row r="90" spans="1:9" ht="15.75" customHeight="1">
      <c r="A90" s="56"/>
      <c r="B90" s="52" t="s">
        <v>170</v>
      </c>
      <c r="C90" s="36"/>
      <c r="D90" s="36"/>
      <c r="E90" s="36"/>
      <c r="F90" s="36"/>
      <c r="G90" s="36"/>
      <c r="H90" s="36"/>
      <c r="I90" s="50">
        <f>I78+I88</f>
        <v>67038.906425166671</v>
      </c>
    </row>
    <row r="91" spans="1:9" ht="15.75">
      <c r="A91" s="184" t="s">
        <v>187</v>
      </c>
      <c r="B91" s="184"/>
      <c r="C91" s="184"/>
      <c r="D91" s="184"/>
      <c r="E91" s="184"/>
      <c r="F91" s="184"/>
      <c r="G91" s="184"/>
      <c r="H91" s="184"/>
      <c r="I91" s="184"/>
    </row>
    <row r="92" spans="1:9" ht="15.75">
      <c r="A92" s="62"/>
      <c r="B92" s="193" t="s">
        <v>188</v>
      </c>
      <c r="C92" s="193"/>
      <c r="D92" s="193"/>
      <c r="E92" s="193"/>
      <c r="F92" s="193"/>
      <c r="G92" s="193"/>
      <c r="H92" s="78"/>
      <c r="I92" s="3"/>
    </row>
    <row r="93" spans="1:9">
      <c r="A93" s="65"/>
      <c r="B93" s="190" t="s">
        <v>6</v>
      </c>
      <c r="C93" s="190"/>
      <c r="D93" s="190"/>
      <c r="E93" s="190"/>
      <c r="F93" s="190"/>
      <c r="G93" s="190"/>
      <c r="H93" s="25"/>
      <c r="I93" s="5"/>
    </row>
    <row r="94" spans="1:9" ht="15.75" customHeight="1">
      <c r="A94" s="10"/>
      <c r="B94" s="10"/>
      <c r="C94" s="10"/>
      <c r="D94" s="10"/>
      <c r="E94" s="10"/>
      <c r="F94" s="10"/>
      <c r="G94" s="10"/>
      <c r="H94" s="10"/>
      <c r="I94" s="10"/>
    </row>
    <row r="95" spans="1:9" ht="15.75" customHeight="1">
      <c r="A95" s="194" t="s">
        <v>7</v>
      </c>
      <c r="B95" s="194"/>
      <c r="C95" s="194"/>
      <c r="D95" s="194"/>
      <c r="E95" s="194"/>
      <c r="F95" s="194"/>
      <c r="G95" s="194"/>
      <c r="H95" s="194"/>
      <c r="I95" s="194"/>
    </row>
    <row r="96" spans="1:9" ht="15.75" customHeight="1">
      <c r="A96" s="194" t="s">
        <v>8</v>
      </c>
      <c r="B96" s="194"/>
      <c r="C96" s="194"/>
      <c r="D96" s="194"/>
      <c r="E96" s="194"/>
      <c r="F96" s="194"/>
      <c r="G96" s="194"/>
      <c r="H96" s="194"/>
      <c r="I96" s="194"/>
    </row>
    <row r="97" spans="1:9" ht="15.75" customHeight="1">
      <c r="A97" s="177" t="s">
        <v>63</v>
      </c>
      <c r="B97" s="177"/>
      <c r="C97" s="177"/>
      <c r="D97" s="177"/>
      <c r="E97" s="177"/>
      <c r="F97" s="177"/>
      <c r="G97" s="177"/>
      <c r="H97" s="177"/>
      <c r="I97" s="177"/>
    </row>
    <row r="98" spans="1:9" ht="15.75" customHeight="1">
      <c r="A98" s="11"/>
    </row>
    <row r="99" spans="1:9" ht="15.75" customHeight="1">
      <c r="A99" s="178" t="s">
        <v>9</v>
      </c>
      <c r="B99" s="178"/>
      <c r="C99" s="178"/>
      <c r="D99" s="178"/>
      <c r="E99" s="178"/>
      <c r="F99" s="178"/>
      <c r="G99" s="178"/>
      <c r="H99" s="178"/>
      <c r="I99" s="178"/>
    </row>
    <row r="100" spans="1:9" ht="15.75" customHeight="1">
      <c r="A100" s="4"/>
    </row>
    <row r="101" spans="1:9" ht="15.75" customHeight="1">
      <c r="B101" s="61" t="s">
        <v>10</v>
      </c>
      <c r="C101" s="189" t="s">
        <v>96</v>
      </c>
      <c r="D101" s="189"/>
      <c r="E101" s="189"/>
      <c r="F101" s="76"/>
      <c r="I101" s="64"/>
    </row>
    <row r="102" spans="1:9" ht="15.75" customHeight="1">
      <c r="A102" s="65"/>
      <c r="C102" s="190" t="s">
        <v>11</v>
      </c>
      <c r="D102" s="190"/>
      <c r="E102" s="190"/>
      <c r="F102" s="25"/>
      <c r="I102" s="63" t="s">
        <v>12</v>
      </c>
    </row>
    <row r="103" spans="1:9" ht="15.75" customHeight="1">
      <c r="A103" s="26"/>
      <c r="C103" s="12"/>
      <c r="D103" s="12"/>
      <c r="G103" s="12"/>
      <c r="H103" s="12"/>
    </row>
    <row r="104" spans="1:9" ht="15.75" customHeight="1">
      <c r="B104" s="61" t="s">
        <v>13</v>
      </c>
      <c r="C104" s="191"/>
      <c r="D104" s="191"/>
      <c r="E104" s="191"/>
      <c r="F104" s="77"/>
      <c r="I104" s="64"/>
    </row>
    <row r="105" spans="1:9" ht="15.75" customHeight="1">
      <c r="A105" s="65"/>
      <c r="C105" s="183" t="s">
        <v>11</v>
      </c>
      <c r="D105" s="183"/>
      <c r="E105" s="183"/>
      <c r="F105" s="65"/>
      <c r="I105" s="63" t="s">
        <v>12</v>
      </c>
    </row>
    <row r="106" spans="1:9" ht="15.75" customHeight="1">
      <c r="A106" s="4" t="s">
        <v>14</v>
      </c>
    </row>
    <row r="107" spans="1:9">
      <c r="A107" s="192" t="s">
        <v>15</v>
      </c>
      <c r="B107" s="192"/>
      <c r="C107" s="192"/>
      <c r="D107" s="192"/>
      <c r="E107" s="192"/>
      <c r="F107" s="192"/>
      <c r="G107" s="192"/>
      <c r="H107" s="192"/>
      <c r="I107" s="192"/>
    </row>
    <row r="108" spans="1:9" ht="45" customHeight="1">
      <c r="A108" s="185" t="s">
        <v>16</v>
      </c>
      <c r="B108" s="185"/>
      <c r="C108" s="185"/>
      <c r="D108" s="185"/>
      <c r="E108" s="185"/>
      <c r="F108" s="185"/>
      <c r="G108" s="185"/>
      <c r="H108" s="185"/>
      <c r="I108" s="185"/>
    </row>
    <row r="109" spans="1:9" ht="30" customHeight="1">
      <c r="A109" s="185" t="s">
        <v>17</v>
      </c>
      <c r="B109" s="185"/>
      <c r="C109" s="185"/>
      <c r="D109" s="185"/>
      <c r="E109" s="185"/>
      <c r="F109" s="185"/>
      <c r="G109" s="185"/>
      <c r="H109" s="185"/>
      <c r="I109" s="185"/>
    </row>
    <row r="110" spans="1:9" ht="30" customHeight="1">
      <c r="A110" s="185" t="s">
        <v>21</v>
      </c>
      <c r="B110" s="185"/>
      <c r="C110" s="185"/>
      <c r="D110" s="185"/>
      <c r="E110" s="185"/>
      <c r="F110" s="185"/>
      <c r="G110" s="185"/>
      <c r="H110" s="185"/>
      <c r="I110" s="185"/>
    </row>
    <row r="111" spans="1:9" ht="15" customHeight="1">
      <c r="A111" s="185" t="s">
        <v>20</v>
      </c>
      <c r="B111" s="185"/>
      <c r="C111" s="185"/>
      <c r="D111" s="185"/>
      <c r="E111" s="185"/>
      <c r="F111" s="185"/>
      <c r="G111" s="185"/>
      <c r="H111" s="185"/>
      <c r="I111" s="185"/>
    </row>
  </sheetData>
  <autoFilter ref="I12:I62"/>
  <mergeCells count="29">
    <mergeCell ref="A108:I108"/>
    <mergeCell ref="A109:I109"/>
    <mergeCell ref="A110:I110"/>
    <mergeCell ref="A111:I111"/>
    <mergeCell ref="A99:I99"/>
    <mergeCell ref="C101:E101"/>
    <mergeCell ref="C102:E102"/>
    <mergeCell ref="C104:E104"/>
    <mergeCell ref="C105:E105"/>
    <mergeCell ref="A107:I107"/>
    <mergeCell ref="A97:I97"/>
    <mergeCell ref="A15:I15"/>
    <mergeCell ref="A27:I27"/>
    <mergeCell ref="A42:I42"/>
    <mergeCell ref="A53:I53"/>
    <mergeCell ref="A79:I79"/>
    <mergeCell ref="A91:I91"/>
    <mergeCell ref="B92:G92"/>
    <mergeCell ref="B93:G93"/>
    <mergeCell ref="A95:I95"/>
    <mergeCell ref="A96:I96"/>
    <mergeCell ref="R67:U67"/>
    <mergeCell ref="A75:I75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08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91</v>
      </c>
      <c r="I1" s="27"/>
      <c r="J1" s="1"/>
      <c r="K1" s="1"/>
      <c r="L1" s="1"/>
      <c r="M1" s="1"/>
    </row>
    <row r="2" spans="1:13" ht="15.75" customHeight="1">
      <c r="A2" s="29" t="s">
        <v>64</v>
      </c>
      <c r="J2" s="2"/>
      <c r="K2" s="2"/>
      <c r="L2" s="2"/>
      <c r="M2" s="2"/>
    </row>
    <row r="3" spans="1:13" ht="15.75" customHeight="1">
      <c r="A3" s="172" t="s">
        <v>158</v>
      </c>
      <c r="B3" s="172"/>
      <c r="C3" s="172"/>
      <c r="D3" s="172"/>
      <c r="E3" s="172"/>
      <c r="F3" s="172"/>
      <c r="G3" s="172"/>
      <c r="H3" s="172"/>
      <c r="I3" s="172"/>
      <c r="J3" s="3"/>
      <c r="K3" s="3"/>
      <c r="L3" s="3"/>
    </row>
    <row r="4" spans="1:13" ht="31.5" customHeight="1">
      <c r="A4" s="173" t="s">
        <v>129</v>
      </c>
      <c r="B4" s="173"/>
      <c r="C4" s="173"/>
      <c r="D4" s="173"/>
      <c r="E4" s="173"/>
      <c r="F4" s="173"/>
      <c r="G4" s="173"/>
      <c r="H4" s="173"/>
      <c r="I4" s="173"/>
    </row>
    <row r="5" spans="1:13" ht="15.75" customHeight="1">
      <c r="A5" s="172" t="s">
        <v>189</v>
      </c>
      <c r="B5" s="174"/>
      <c r="C5" s="174"/>
      <c r="D5" s="174"/>
      <c r="E5" s="174"/>
      <c r="F5" s="174"/>
      <c r="G5" s="174"/>
      <c r="H5" s="174"/>
      <c r="I5" s="174"/>
      <c r="J5" s="2"/>
      <c r="K5" s="2"/>
      <c r="L5" s="2"/>
      <c r="M5" s="2"/>
    </row>
    <row r="6" spans="1:13" ht="15.75" customHeight="1">
      <c r="A6" s="2"/>
      <c r="B6" s="66"/>
      <c r="C6" s="66"/>
      <c r="D6" s="66"/>
      <c r="E6" s="66"/>
      <c r="F6" s="66"/>
      <c r="G6" s="66"/>
      <c r="H6" s="66"/>
      <c r="I6" s="31">
        <v>42855</v>
      </c>
      <c r="J6" s="2"/>
      <c r="K6" s="2"/>
      <c r="L6" s="2"/>
      <c r="M6" s="2"/>
    </row>
    <row r="7" spans="1:13" ht="15.75" customHeight="1">
      <c r="B7" s="61"/>
      <c r="C7" s="61"/>
      <c r="D7" s="6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75" t="s">
        <v>166</v>
      </c>
      <c r="B8" s="175"/>
      <c r="C8" s="175"/>
      <c r="D8" s="175"/>
      <c r="E8" s="175"/>
      <c r="F8" s="175"/>
      <c r="G8" s="175"/>
      <c r="H8" s="175"/>
      <c r="I8" s="17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76" t="s">
        <v>247</v>
      </c>
      <c r="B10" s="176"/>
      <c r="C10" s="176"/>
      <c r="D10" s="176"/>
      <c r="E10" s="176"/>
      <c r="F10" s="176"/>
      <c r="G10" s="176"/>
      <c r="H10" s="176"/>
      <c r="I10" s="17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68" t="s">
        <v>61</v>
      </c>
      <c r="B14" s="168"/>
      <c r="C14" s="168"/>
      <c r="D14" s="168"/>
      <c r="E14" s="168"/>
      <c r="F14" s="168"/>
      <c r="G14" s="168"/>
      <c r="H14" s="168"/>
      <c r="I14" s="168"/>
      <c r="J14" s="8"/>
      <c r="K14" s="8"/>
      <c r="L14" s="8"/>
      <c r="M14" s="8"/>
    </row>
    <row r="15" spans="1:13" ht="15.75" customHeight="1">
      <c r="A15" s="179" t="s">
        <v>4</v>
      </c>
      <c r="B15" s="179"/>
      <c r="C15" s="179"/>
      <c r="D15" s="179"/>
      <c r="E15" s="179"/>
      <c r="F15" s="179"/>
      <c r="G15" s="179"/>
      <c r="H15" s="179"/>
      <c r="I15" s="179"/>
      <c r="J15" s="8"/>
      <c r="K15" s="8"/>
      <c r="L15" s="8"/>
      <c r="M15" s="8"/>
    </row>
    <row r="16" spans="1:13" ht="15.75" customHeight="1">
      <c r="A16" s="30">
        <v>1</v>
      </c>
      <c r="B16" s="79" t="s">
        <v>92</v>
      </c>
      <c r="C16" s="80" t="s">
        <v>102</v>
      </c>
      <c r="D16" s="79" t="s">
        <v>130</v>
      </c>
      <c r="E16" s="81">
        <v>92.5</v>
      </c>
      <c r="F16" s="82">
        <f>SUM(E16*156/100)</f>
        <v>144.30000000000001</v>
      </c>
      <c r="G16" s="82">
        <v>175.38</v>
      </c>
      <c r="H16" s="83">
        <f t="shared" ref="H16:H24" si="0">SUM(F16*G16/1000)</f>
        <v>25.307334000000001</v>
      </c>
      <c r="I16" s="13">
        <f>F16/12*G16</f>
        <v>2108.9445000000001</v>
      </c>
      <c r="J16" s="8"/>
      <c r="K16" s="8"/>
      <c r="L16" s="8"/>
      <c r="M16" s="8"/>
    </row>
    <row r="17" spans="1:13" ht="15.75" customHeight="1">
      <c r="A17" s="30">
        <v>2</v>
      </c>
      <c r="B17" s="79" t="s">
        <v>111</v>
      </c>
      <c r="C17" s="80" t="s">
        <v>102</v>
      </c>
      <c r="D17" s="79" t="s">
        <v>131</v>
      </c>
      <c r="E17" s="81">
        <v>288.8</v>
      </c>
      <c r="F17" s="82">
        <f>SUM(E17*104/100)</f>
        <v>300.35200000000003</v>
      </c>
      <c r="G17" s="82">
        <v>175.38</v>
      </c>
      <c r="H17" s="83">
        <f t="shared" si="0"/>
        <v>52.67573376</v>
      </c>
      <c r="I17" s="13">
        <f>F17/12*G17</f>
        <v>4389.6444800000008</v>
      </c>
      <c r="J17" s="23"/>
      <c r="K17" s="8"/>
      <c r="L17" s="8"/>
      <c r="M17" s="8"/>
    </row>
    <row r="18" spans="1:13" ht="15.75" customHeight="1">
      <c r="A18" s="30">
        <v>3</v>
      </c>
      <c r="B18" s="79" t="s">
        <v>148</v>
      </c>
      <c r="C18" s="80" t="s">
        <v>102</v>
      </c>
      <c r="D18" s="79" t="s">
        <v>167</v>
      </c>
      <c r="E18" s="81">
        <f>SUM(E16+E17)</f>
        <v>381.3</v>
      </c>
      <c r="F18" s="82">
        <f>SUM(E18*12/100)</f>
        <v>45.756</v>
      </c>
      <c r="G18" s="82">
        <v>504.5</v>
      </c>
      <c r="H18" s="83">
        <f t="shared" si="0"/>
        <v>23.083902000000002</v>
      </c>
      <c r="I18" s="13">
        <f>F18/12*G18</f>
        <v>1923.6585</v>
      </c>
      <c r="J18" s="23"/>
      <c r="K18" s="8"/>
      <c r="L18" s="8"/>
      <c r="M18" s="8"/>
    </row>
    <row r="19" spans="1:13" ht="15.75" hidden="1" customHeight="1">
      <c r="A19" s="30">
        <v>4</v>
      </c>
      <c r="B19" s="79" t="s">
        <v>112</v>
      </c>
      <c r="C19" s="80" t="s">
        <v>113</v>
      </c>
      <c r="D19" s="79" t="s">
        <v>114</v>
      </c>
      <c r="E19" s="81">
        <v>19.2</v>
      </c>
      <c r="F19" s="82">
        <f>SUM(E19/10)</f>
        <v>1.92</v>
      </c>
      <c r="G19" s="82">
        <v>170.16</v>
      </c>
      <c r="H19" s="83">
        <f t="shared" si="0"/>
        <v>0.32670719999999998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79" t="s">
        <v>101</v>
      </c>
      <c r="C20" s="80" t="s">
        <v>102</v>
      </c>
      <c r="D20" s="79" t="s">
        <v>30</v>
      </c>
      <c r="E20" s="81">
        <v>27.3</v>
      </c>
      <c r="F20" s="82">
        <f>SUM(E20*12/100)</f>
        <v>3.2760000000000002</v>
      </c>
      <c r="G20" s="82">
        <v>217.88</v>
      </c>
      <c r="H20" s="83">
        <f t="shared" si="0"/>
        <v>0.71377488</v>
      </c>
      <c r="I20" s="13">
        <f>F20/12*G20</f>
        <v>59.48124</v>
      </c>
      <c r="J20" s="23"/>
      <c r="K20" s="8"/>
      <c r="L20" s="8"/>
      <c r="M20" s="8"/>
    </row>
    <row r="21" spans="1:13" ht="15.75" customHeight="1">
      <c r="A21" s="30">
        <v>5</v>
      </c>
      <c r="B21" s="79" t="s">
        <v>109</v>
      </c>
      <c r="C21" s="80" t="s">
        <v>102</v>
      </c>
      <c r="D21" s="79" t="s">
        <v>30</v>
      </c>
      <c r="E21" s="81">
        <v>9.08</v>
      </c>
      <c r="F21" s="82">
        <f>SUM(E21*12/100)</f>
        <v>1.0896000000000001</v>
      </c>
      <c r="G21" s="82">
        <v>216.12</v>
      </c>
      <c r="H21" s="83">
        <f t="shared" si="0"/>
        <v>0.23548435200000004</v>
      </c>
      <c r="I21" s="13">
        <f>F21/12*G21</f>
        <v>19.623696000000002</v>
      </c>
      <c r="J21" s="23"/>
      <c r="K21" s="8"/>
      <c r="L21" s="8"/>
      <c r="M21" s="8"/>
    </row>
    <row r="22" spans="1:13" ht="15.75" hidden="1" customHeight="1">
      <c r="A22" s="30">
        <v>7</v>
      </c>
      <c r="B22" s="79" t="s">
        <v>103</v>
      </c>
      <c r="C22" s="80" t="s">
        <v>54</v>
      </c>
      <c r="D22" s="79" t="s">
        <v>114</v>
      </c>
      <c r="E22" s="84">
        <v>12.6</v>
      </c>
      <c r="F22" s="82">
        <f>SUM(E22/100)</f>
        <v>0.126</v>
      </c>
      <c r="G22" s="82">
        <v>44.29</v>
      </c>
      <c r="H22" s="83">
        <f t="shared" si="0"/>
        <v>5.5805400000000002E-3</v>
      </c>
      <c r="I22" s="13">
        <v>0</v>
      </c>
      <c r="J22" s="23"/>
      <c r="K22" s="8"/>
      <c r="L22" s="8"/>
      <c r="M22" s="8"/>
    </row>
    <row r="23" spans="1:13" ht="15.75" customHeight="1">
      <c r="A23" s="30">
        <v>6</v>
      </c>
      <c r="B23" s="79" t="s">
        <v>104</v>
      </c>
      <c r="C23" s="80" t="s">
        <v>54</v>
      </c>
      <c r="D23" s="79" t="s">
        <v>105</v>
      </c>
      <c r="E23" s="81">
        <v>20</v>
      </c>
      <c r="F23" s="82">
        <f>E23*12/100</f>
        <v>2.4</v>
      </c>
      <c r="G23" s="82">
        <v>389.72</v>
      </c>
      <c r="H23" s="83">
        <f t="shared" si="0"/>
        <v>0.93532799999999994</v>
      </c>
      <c r="I23" s="13">
        <f>F23/12*G23</f>
        <v>77.944000000000003</v>
      </c>
      <c r="J23" s="23"/>
      <c r="K23" s="8"/>
      <c r="L23" s="8"/>
      <c r="M23" s="8"/>
    </row>
    <row r="24" spans="1:13" ht="15.75" hidden="1" customHeight="1">
      <c r="A24" s="30">
        <v>9</v>
      </c>
      <c r="B24" s="79" t="s">
        <v>106</v>
      </c>
      <c r="C24" s="80" t="s">
        <v>54</v>
      </c>
      <c r="D24" s="79" t="s">
        <v>114</v>
      </c>
      <c r="E24" s="81">
        <v>17</v>
      </c>
      <c r="F24" s="82">
        <f>SUM(E24/100)</f>
        <v>0.17</v>
      </c>
      <c r="G24" s="82">
        <v>520.79999999999995</v>
      </c>
      <c r="H24" s="83">
        <f t="shared" si="0"/>
        <v>8.8536000000000004E-2</v>
      </c>
      <c r="I24" s="13">
        <v>0</v>
      </c>
      <c r="J24" s="23"/>
      <c r="K24" s="8"/>
      <c r="L24" s="8"/>
      <c r="M24" s="8"/>
    </row>
    <row r="25" spans="1:13" ht="15.75" customHeight="1">
      <c r="A25" s="30">
        <v>7</v>
      </c>
      <c r="B25" s="79" t="s">
        <v>66</v>
      </c>
      <c r="C25" s="80" t="s">
        <v>33</v>
      </c>
      <c r="D25" s="79" t="s">
        <v>89</v>
      </c>
      <c r="E25" s="81">
        <v>0.1</v>
      </c>
      <c r="F25" s="82">
        <f>SUM(E25*365)</f>
        <v>36.5</v>
      </c>
      <c r="G25" s="82">
        <v>147.03</v>
      </c>
      <c r="H25" s="83">
        <f>SUM(F25*G25/1000)</f>
        <v>5.3665950000000002</v>
      </c>
      <c r="I25" s="13">
        <f>F25/12*G25</f>
        <v>447.21625</v>
      </c>
      <c r="J25" s="23"/>
      <c r="K25" s="8"/>
      <c r="L25" s="8"/>
      <c r="M25" s="8"/>
    </row>
    <row r="26" spans="1:13" ht="15.75" customHeight="1">
      <c r="A26" s="30">
        <v>8</v>
      </c>
      <c r="B26" s="89" t="s">
        <v>23</v>
      </c>
      <c r="C26" s="80" t="s">
        <v>24</v>
      </c>
      <c r="D26" s="79" t="s">
        <v>89</v>
      </c>
      <c r="E26" s="81">
        <v>3053.4</v>
      </c>
      <c r="F26" s="82">
        <f>SUM(E26*12)</f>
        <v>36640.800000000003</v>
      </c>
      <c r="G26" s="82">
        <v>4.55</v>
      </c>
      <c r="H26" s="83">
        <f>SUM(F26*G26/1000)</f>
        <v>166.71564000000001</v>
      </c>
      <c r="I26" s="13">
        <f>F26/12*G26</f>
        <v>13892.97</v>
      </c>
      <c r="J26" s="24"/>
    </row>
    <row r="27" spans="1:13" ht="15.75" customHeight="1">
      <c r="A27" s="180" t="s">
        <v>168</v>
      </c>
      <c r="B27" s="181"/>
      <c r="C27" s="181"/>
      <c r="D27" s="181"/>
      <c r="E27" s="181"/>
      <c r="F27" s="181"/>
      <c r="G27" s="181"/>
      <c r="H27" s="181"/>
      <c r="I27" s="182"/>
      <c r="J27" s="23"/>
      <c r="K27" s="8"/>
      <c r="L27" s="8"/>
      <c r="M27" s="8"/>
    </row>
    <row r="28" spans="1:13" ht="15.75" hidden="1" customHeight="1">
      <c r="A28" s="30"/>
      <c r="B28" s="107" t="s">
        <v>28</v>
      </c>
      <c r="C28" s="80"/>
      <c r="D28" s="79"/>
      <c r="E28" s="81"/>
      <c r="F28" s="82"/>
      <c r="G28" s="82"/>
      <c r="H28" s="86"/>
      <c r="I28" s="87"/>
      <c r="J28" s="23"/>
      <c r="K28" s="8"/>
      <c r="L28" s="8"/>
      <c r="M28" s="8"/>
    </row>
    <row r="29" spans="1:13" ht="31.5" hidden="1" customHeight="1">
      <c r="A29" s="30">
        <v>9</v>
      </c>
      <c r="B29" s="79" t="s">
        <v>115</v>
      </c>
      <c r="C29" s="80" t="s">
        <v>116</v>
      </c>
      <c r="D29" s="79" t="s">
        <v>139</v>
      </c>
      <c r="E29" s="82">
        <v>561.6</v>
      </c>
      <c r="F29" s="82">
        <f>SUM(E29*52/1000)</f>
        <v>29.203200000000002</v>
      </c>
      <c r="G29" s="82">
        <v>155.88999999999999</v>
      </c>
      <c r="H29" s="83">
        <f t="shared" ref="H29:H34" si="1">SUM(F29*G29/1000)</f>
        <v>4.5524868479999991</v>
      </c>
      <c r="I29" s="13">
        <f t="shared" ref="I29:I32" si="2">F29/6*G29</f>
        <v>758.74780799999996</v>
      </c>
      <c r="J29" s="23"/>
      <c r="K29" s="8"/>
      <c r="L29" s="8"/>
      <c r="M29" s="8"/>
    </row>
    <row r="30" spans="1:13" ht="31.5" hidden="1" customHeight="1">
      <c r="A30" s="30">
        <v>10</v>
      </c>
      <c r="B30" s="79" t="s">
        <v>149</v>
      </c>
      <c r="C30" s="80" t="s">
        <v>116</v>
      </c>
      <c r="D30" s="79" t="s">
        <v>140</v>
      </c>
      <c r="E30" s="82">
        <v>205.7</v>
      </c>
      <c r="F30" s="82">
        <f>SUM(E30*78/1000)</f>
        <v>16.044599999999999</v>
      </c>
      <c r="G30" s="82">
        <v>258.63</v>
      </c>
      <c r="H30" s="83">
        <f t="shared" si="1"/>
        <v>4.1496148979999994</v>
      </c>
      <c r="I30" s="13">
        <f t="shared" si="2"/>
        <v>691.60248299999989</v>
      </c>
      <c r="J30" s="23"/>
      <c r="K30" s="8"/>
      <c r="L30" s="8"/>
      <c r="M30" s="8"/>
    </row>
    <row r="31" spans="1:13" ht="15.75" hidden="1" customHeight="1">
      <c r="A31" s="30">
        <v>11</v>
      </c>
      <c r="B31" s="79" t="s">
        <v>27</v>
      </c>
      <c r="C31" s="80" t="s">
        <v>116</v>
      </c>
      <c r="D31" s="79" t="s">
        <v>55</v>
      </c>
      <c r="E31" s="82">
        <v>561.6</v>
      </c>
      <c r="F31" s="82">
        <f>SUM(E31/1000)</f>
        <v>0.56159999999999999</v>
      </c>
      <c r="G31" s="82">
        <v>3020.33</v>
      </c>
      <c r="H31" s="83">
        <f t="shared" si="1"/>
        <v>1.6962173279999999</v>
      </c>
      <c r="I31" s="13">
        <f>F31*G31</f>
        <v>1696.217328</v>
      </c>
      <c r="J31" s="23"/>
      <c r="K31" s="8"/>
      <c r="L31" s="8"/>
      <c r="M31" s="8"/>
    </row>
    <row r="32" spans="1:13" ht="15.75" hidden="1" customHeight="1">
      <c r="A32" s="30">
        <v>11</v>
      </c>
      <c r="B32" s="79" t="s">
        <v>117</v>
      </c>
      <c r="C32" s="80" t="s">
        <v>31</v>
      </c>
      <c r="D32" s="79" t="s">
        <v>65</v>
      </c>
      <c r="E32" s="88">
        <v>0.33333333333333331</v>
      </c>
      <c r="F32" s="82">
        <f>155/3</f>
        <v>51.666666666666664</v>
      </c>
      <c r="G32" s="82">
        <v>56.69</v>
      </c>
      <c r="H32" s="83">
        <f>SUM(G32*155/3/1000)</f>
        <v>2.9289833333333331</v>
      </c>
      <c r="I32" s="13">
        <f t="shared" si="2"/>
        <v>488.16388888888883</v>
      </c>
      <c r="J32" s="23"/>
      <c r="K32" s="8"/>
      <c r="L32" s="8"/>
      <c r="M32" s="8"/>
    </row>
    <row r="33" spans="1:14" ht="15.75" hidden="1" customHeight="1">
      <c r="A33" s="30"/>
      <c r="B33" s="79" t="s">
        <v>67</v>
      </c>
      <c r="C33" s="80" t="s">
        <v>33</v>
      </c>
      <c r="D33" s="79" t="s">
        <v>69</v>
      </c>
      <c r="E33" s="81"/>
      <c r="F33" s="82">
        <v>2</v>
      </c>
      <c r="G33" s="82">
        <v>191.32</v>
      </c>
      <c r="H33" s="83">
        <f t="shared" si="1"/>
        <v>0.38263999999999998</v>
      </c>
      <c r="I33" s="13">
        <v>0</v>
      </c>
      <c r="J33" s="23"/>
      <c r="K33" s="8"/>
      <c r="L33" s="8"/>
      <c r="M33" s="8"/>
    </row>
    <row r="34" spans="1:14" ht="15.75" hidden="1" customHeight="1">
      <c r="A34" s="30"/>
      <c r="B34" s="79" t="s">
        <v>68</v>
      </c>
      <c r="C34" s="80" t="s">
        <v>32</v>
      </c>
      <c r="D34" s="79" t="s">
        <v>69</v>
      </c>
      <c r="E34" s="81"/>
      <c r="F34" s="82">
        <v>1</v>
      </c>
      <c r="G34" s="82">
        <v>1136.33</v>
      </c>
      <c r="H34" s="83">
        <f t="shared" si="1"/>
        <v>1.1363299999999998</v>
      </c>
      <c r="I34" s="13">
        <v>0</v>
      </c>
      <c r="J34" s="23"/>
      <c r="K34" s="8"/>
    </row>
    <row r="35" spans="1:14" ht="15.75" customHeight="1">
      <c r="A35" s="30"/>
      <c r="B35" s="107" t="s">
        <v>5</v>
      </c>
      <c r="C35" s="80"/>
      <c r="D35" s="79"/>
      <c r="E35" s="81"/>
      <c r="F35" s="82"/>
      <c r="G35" s="82"/>
      <c r="H35" s="86" t="s">
        <v>142</v>
      </c>
      <c r="I35" s="87"/>
      <c r="J35" s="24"/>
    </row>
    <row r="36" spans="1:14" ht="15.75" customHeight="1">
      <c r="A36" s="30">
        <v>9</v>
      </c>
      <c r="B36" s="79" t="s">
        <v>26</v>
      </c>
      <c r="C36" s="80" t="s">
        <v>32</v>
      </c>
      <c r="D36" s="79"/>
      <c r="E36" s="81"/>
      <c r="F36" s="82">
        <v>3</v>
      </c>
      <c r="G36" s="82">
        <v>1527.22</v>
      </c>
      <c r="H36" s="83">
        <f t="shared" ref="H36:H38" si="3">SUM(F36*G36/1000)</f>
        <v>4.5816600000000003</v>
      </c>
      <c r="I36" s="13">
        <f t="shared" ref="I36:I41" si="4">F36/6*G36</f>
        <v>763.61</v>
      </c>
      <c r="J36" s="24"/>
    </row>
    <row r="37" spans="1:14" ht="15.75" customHeight="1">
      <c r="A37" s="30">
        <v>10</v>
      </c>
      <c r="B37" s="79" t="s">
        <v>70</v>
      </c>
      <c r="C37" s="80" t="s">
        <v>29</v>
      </c>
      <c r="D37" s="79" t="s">
        <v>134</v>
      </c>
      <c r="E37" s="82">
        <v>205.7</v>
      </c>
      <c r="F37" s="82">
        <f>SUM(E37*20/1000)</f>
        <v>4.1139999999999999</v>
      </c>
      <c r="G37" s="82">
        <v>2102.71</v>
      </c>
      <c r="H37" s="83">
        <f t="shared" si="3"/>
        <v>8.6505489400000002</v>
      </c>
      <c r="I37" s="13">
        <f t="shared" si="4"/>
        <v>1441.7581566666665</v>
      </c>
      <c r="J37" s="24"/>
    </row>
    <row r="38" spans="1:14" ht="15.75" customHeight="1">
      <c r="A38" s="30">
        <v>11</v>
      </c>
      <c r="B38" s="79" t="s">
        <v>71</v>
      </c>
      <c r="C38" s="80" t="s">
        <v>29</v>
      </c>
      <c r="D38" s="79" t="s">
        <v>135</v>
      </c>
      <c r="E38" s="81">
        <v>89.1</v>
      </c>
      <c r="F38" s="82">
        <f>SUM(E38*155/1000)</f>
        <v>13.810499999999999</v>
      </c>
      <c r="G38" s="82">
        <v>350.75</v>
      </c>
      <c r="H38" s="83">
        <f t="shared" si="3"/>
        <v>4.8440328749999999</v>
      </c>
      <c r="I38" s="13">
        <f t="shared" si="4"/>
        <v>807.3388124999999</v>
      </c>
      <c r="J38" s="24"/>
    </row>
    <row r="39" spans="1:14" ht="47.25" customHeight="1">
      <c r="A39" s="30">
        <v>12</v>
      </c>
      <c r="B39" s="79" t="s">
        <v>88</v>
      </c>
      <c r="C39" s="80" t="s">
        <v>116</v>
      </c>
      <c r="D39" s="79" t="s">
        <v>136</v>
      </c>
      <c r="E39" s="82">
        <v>48</v>
      </c>
      <c r="F39" s="82">
        <f>SUM(E39*50/1000)</f>
        <v>2.4</v>
      </c>
      <c r="G39" s="82">
        <v>5803.28</v>
      </c>
      <c r="H39" s="83">
        <f>SUM(F39*G39/1000)</f>
        <v>13.927871999999999</v>
      </c>
      <c r="I39" s="13">
        <f t="shared" si="4"/>
        <v>2321.3119999999999</v>
      </c>
      <c r="J39" s="24"/>
    </row>
    <row r="40" spans="1:14" ht="15.75" customHeight="1">
      <c r="A40" s="30">
        <v>13</v>
      </c>
      <c r="B40" s="79" t="s">
        <v>118</v>
      </c>
      <c r="C40" s="80" t="s">
        <v>116</v>
      </c>
      <c r="D40" s="35" t="s">
        <v>252</v>
      </c>
      <c r="E40" s="34">
        <v>89</v>
      </c>
      <c r="F40" s="195">
        <f>SUM(E40*15/1000)</f>
        <v>1.335</v>
      </c>
      <c r="G40" s="34">
        <v>428.7</v>
      </c>
      <c r="H40" s="196">
        <f t="shared" ref="H40" si="5">SUM(F40*G40/1000)</f>
        <v>0.57231449999999995</v>
      </c>
      <c r="I40" s="13">
        <f>F40/2*G40</f>
        <v>286.15724999999998</v>
      </c>
      <c r="J40" s="24"/>
      <c r="L40" s="20"/>
      <c r="M40" s="21"/>
      <c r="N40" s="22"/>
    </row>
    <row r="41" spans="1:14" ht="15.75" customHeight="1">
      <c r="A41" s="108">
        <v>14</v>
      </c>
      <c r="B41" s="93" t="s">
        <v>73</v>
      </c>
      <c r="C41" s="94" t="s">
        <v>33</v>
      </c>
      <c r="D41" s="93"/>
      <c r="E41" s="90"/>
      <c r="F41" s="95">
        <v>0.9</v>
      </c>
      <c r="G41" s="95">
        <v>798</v>
      </c>
      <c r="H41" s="96">
        <f t="shared" ref="H40:H41" si="6">SUM(F41*G41/1000)</f>
        <v>0.71820000000000006</v>
      </c>
      <c r="I41" s="109">
        <f t="shared" si="4"/>
        <v>119.69999999999999</v>
      </c>
      <c r="J41" s="24"/>
      <c r="L41" s="20"/>
      <c r="M41" s="21"/>
      <c r="N41" s="22"/>
    </row>
    <row r="42" spans="1:14" ht="15.75" customHeight="1">
      <c r="A42" s="186" t="s">
        <v>150</v>
      </c>
      <c r="B42" s="187"/>
      <c r="C42" s="187"/>
      <c r="D42" s="187"/>
      <c r="E42" s="187"/>
      <c r="F42" s="187"/>
      <c r="G42" s="187"/>
      <c r="H42" s="187"/>
      <c r="I42" s="188"/>
      <c r="J42" s="24"/>
      <c r="L42" s="20"/>
      <c r="M42" s="21"/>
      <c r="N42" s="22"/>
    </row>
    <row r="43" spans="1:14" ht="15.75" hidden="1" customHeight="1">
      <c r="A43" s="110"/>
      <c r="B43" s="111" t="s">
        <v>119</v>
      </c>
      <c r="C43" s="112" t="s">
        <v>116</v>
      </c>
      <c r="D43" s="111" t="s">
        <v>43</v>
      </c>
      <c r="E43" s="113">
        <v>1632.75</v>
      </c>
      <c r="F43" s="114">
        <f>SUM(E43*2/1000)</f>
        <v>3.2654999999999998</v>
      </c>
      <c r="G43" s="115">
        <v>809.74</v>
      </c>
      <c r="H43" s="116">
        <f t="shared" ref="H43:H52" si="7">SUM(F43*G43/1000)</f>
        <v>2.6442059699999998</v>
      </c>
      <c r="I43" s="115">
        <v>0</v>
      </c>
      <c r="J43" s="24"/>
      <c r="L43" s="20"/>
      <c r="M43" s="21"/>
      <c r="N43" s="22"/>
    </row>
    <row r="44" spans="1:14" ht="15.75" hidden="1" customHeight="1">
      <c r="A44" s="30"/>
      <c r="B44" s="79" t="s">
        <v>36</v>
      </c>
      <c r="C44" s="80" t="s">
        <v>116</v>
      </c>
      <c r="D44" s="79" t="s">
        <v>43</v>
      </c>
      <c r="E44" s="81">
        <v>53.75</v>
      </c>
      <c r="F44" s="82">
        <f>SUM(E44*2/1000)</f>
        <v>0.1075</v>
      </c>
      <c r="G44" s="13">
        <v>579.48</v>
      </c>
      <c r="H44" s="83">
        <f t="shared" si="7"/>
        <v>6.2294099999999998E-2</v>
      </c>
      <c r="I44" s="13">
        <v>0</v>
      </c>
      <c r="J44" s="24"/>
      <c r="L44" s="20"/>
      <c r="M44" s="21"/>
      <c r="N44" s="22"/>
    </row>
    <row r="45" spans="1:14" ht="15.75" hidden="1" customHeight="1">
      <c r="A45" s="30"/>
      <c r="B45" s="79" t="s">
        <v>37</v>
      </c>
      <c r="C45" s="80" t="s">
        <v>116</v>
      </c>
      <c r="D45" s="79" t="s">
        <v>43</v>
      </c>
      <c r="E45" s="81">
        <v>2285.6</v>
      </c>
      <c r="F45" s="82">
        <f>SUM(E45*2/1000)</f>
        <v>4.5712000000000002</v>
      </c>
      <c r="G45" s="13">
        <v>579.48</v>
      </c>
      <c r="H45" s="83">
        <f t="shared" si="7"/>
        <v>2.6489189760000005</v>
      </c>
      <c r="I45" s="13">
        <v>0</v>
      </c>
      <c r="J45" s="24"/>
      <c r="L45" s="20"/>
      <c r="M45" s="21"/>
      <c r="N45" s="22"/>
    </row>
    <row r="46" spans="1:14" ht="15.75" hidden="1" customHeight="1">
      <c r="A46" s="30"/>
      <c r="B46" s="79" t="s">
        <v>38</v>
      </c>
      <c r="C46" s="80" t="s">
        <v>116</v>
      </c>
      <c r="D46" s="79" t="s">
        <v>43</v>
      </c>
      <c r="E46" s="81">
        <v>1860</v>
      </c>
      <c r="F46" s="82">
        <f>SUM(E46*2/1000)</f>
        <v>3.72</v>
      </c>
      <c r="G46" s="13">
        <v>606.77</v>
      </c>
      <c r="H46" s="83">
        <f t="shared" si="7"/>
        <v>2.2571844000000003</v>
      </c>
      <c r="I46" s="13">
        <v>0</v>
      </c>
      <c r="J46" s="24"/>
      <c r="L46" s="20"/>
      <c r="M46" s="21"/>
      <c r="N46" s="22"/>
    </row>
    <row r="47" spans="1:14" ht="15.75" hidden="1" customHeight="1">
      <c r="A47" s="30"/>
      <c r="B47" s="79" t="s">
        <v>34</v>
      </c>
      <c r="C47" s="80" t="s">
        <v>35</v>
      </c>
      <c r="D47" s="79" t="s">
        <v>43</v>
      </c>
      <c r="E47" s="81">
        <v>120.49</v>
      </c>
      <c r="F47" s="82">
        <f>SUM(E47*2/100)</f>
        <v>2.4097999999999997</v>
      </c>
      <c r="G47" s="13">
        <v>72.81</v>
      </c>
      <c r="H47" s="83">
        <f t="shared" si="7"/>
        <v>0.17545753799999997</v>
      </c>
      <c r="I47" s="13">
        <v>0</v>
      </c>
      <c r="J47" s="24"/>
      <c r="L47" s="20"/>
      <c r="M47" s="21"/>
      <c r="N47" s="22"/>
    </row>
    <row r="48" spans="1:14" ht="15.75" hidden="1" customHeight="1">
      <c r="A48" s="30">
        <v>15</v>
      </c>
      <c r="B48" s="79" t="s">
        <v>58</v>
      </c>
      <c r="C48" s="80" t="s">
        <v>116</v>
      </c>
      <c r="D48" s="79" t="s">
        <v>153</v>
      </c>
      <c r="E48" s="81">
        <v>1728</v>
      </c>
      <c r="F48" s="82">
        <f>SUM(E48*5/1000)</f>
        <v>8.64</v>
      </c>
      <c r="G48" s="13">
        <v>1213.55</v>
      </c>
      <c r="H48" s="83">
        <f t="shared" si="7"/>
        <v>10.485072000000001</v>
      </c>
      <c r="I48" s="13">
        <f>F48/5*G48</f>
        <v>2097.0144</v>
      </c>
      <c r="J48" s="24"/>
      <c r="L48" s="20"/>
      <c r="M48" s="21"/>
      <c r="N48" s="22"/>
    </row>
    <row r="49" spans="1:22" ht="31.5" hidden="1" customHeight="1">
      <c r="A49" s="30"/>
      <c r="B49" s="79" t="s">
        <v>120</v>
      </c>
      <c r="C49" s="80" t="s">
        <v>116</v>
      </c>
      <c r="D49" s="79" t="s">
        <v>43</v>
      </c>
      <c r="E49" s="81">
        <v>1728</v>
      </c>
      <c r="F49" s="82">
        <f>SUM(E49*2/1000)</f>
        <v>3.456</v>
      </c>
      <c r="G49" s="13">
        <v>1213.55</v>
      </c>
      <c r="H49" s="83">
        <f t="shared" si="7"/>
        <v>4.1940287999999999</v>
      </c>
      <c r="I49" s="13">
        <v>0</v>
      </c>
      <c r="J49" s="24"/>
      <c r="L49" s="20"/>
      <c r="M49" s="21"/>
      <c r="N49" s="22"/>
    </row>
    <row r="50" spans="1:22" ht="31.5" hidden="1" customHeight="1">
      <c r="A50" s="108"/>
      <c r="B50" s="93" t="s">
        <v>143</v>
      </c>
      <c r="C50" s="94" t="s">
        <v>39</v>
      </c>
      <c r="D50" s="93" t="s">
        <v>43</v>
      </c>
      <c r="E50" s="90">
        <v>20</v>
      </c>
      <c r="F50" s="95">
        <f>SUM(E50*2/100)</f>
        <v>0.4</v>
      </c>
      <c r="G50" s="109">
        <v>2730.49</v>
      </c>
      <c r="H50" s="96">
        <f t="shared" si="7"/>
        <v>1.0921959999999999</v>
      </c>
      <c r="I50" s="109">
        <v>0</v>
      </c>
      <c r="J50" s="24"/>
      <c r="L50" s="20"/>
      <c r="M50" s="21"/>
      <c r="N50" s="22"/>
    </row>
    <row r="51" spans="1:22" ht="15.75" customHeight="1">
      <c r="A51" s="30">
        <v>15</v>
      </c>
      <c r="B51" s="14" t="s">
        <v>40</v>
      </c>
      <c r="C51" s="16" t="s">
        <v>41</v>
      </c>
      <c r="D51" s="14" t="s">
        <v>43</v>
      </c>
      <c r="E51" s="19">
        <v>1</v>
      </c>
      <c r="F51" s="13">
        <v>0.02</v>
      </c>
      <c r="G51" s="13">
        <v>5652.13</v>
      </c>
      <c r="H51" s="17">
        <f t="shared" si="7"/>
        <v>0.11304260000000001</v>
      </c>
      <c r="I51" s="13">
        <f>F51/2*G51</f>
        <v>56.521300000000004</v>
      </c>
      <c r="J51" s="24"/>
      <c r="L51" s="20"/>
      <c r="M51" s="21"/>
      <c r="N51" s="22"/>
    </row>
    <row r="52" spans="1:22" ht="15.75" hidden="1" customHeight="1">
      <c r="A52" s="30">
        <v>15</v>
      </c>
      <c r="B52" s="14" t="s">
        <v>42</v>
      </c>
      <c r="C52" s="16" t="s">
        <v>97</v>
      </c>
      <c r="D52" s="14" t="s">
        <v>74</v>
      </c>
      <c r="E52" s="19">
        <v>128</v>
      </c>
      <c r="F52" s="13">
        <f>SUM(E52)*3</f>
        <v>384</v>
      </c>
      <c r="G52" s="13">
        <v>65.67</v>
      </c>
      <c r="H52" s="17">
        <f t="shared" si="7"/>
        <v>25.217279999999999</v>
      </c>
      <c r="I52" s="13">
        <f>E52*G52</f>
        <v>8405.76</v>
      </c>
      <c r="J52" s="24"/>
      <c r="L52" s="20"/>
      <c r="M52" s="21"/>
      <c r="N52" s="22"/>
    </row>
    <row r="53" spans="1:22" ht="15.75" customHeight="1">
      <c r="A53" s="179" t="s">
        <v>151</v>
      </c>
      <c r="B53" s="179"/>
      <c r="C53" s="179"/>
      <c r="D53" s="179"/>
      <c r="E53" s="179"/>
      <c r="F53" s="179"/>
      <c r="G53" s="179"/>
      <c r="H53" s="179"/>
      <c r="I53" s="179"/>
      <c r="J53" s="24"/>
      <c r="L53" s="20"/>
      <c r="M53" s="21"/>
      <c r="N53" s="22"/>
    </row>
    <row r="54" spans="1:22" ht="15.75" customHeight="1">
      <c r="A54" s="110"/>
      <c r="B54" s="124" t="s">
        <v>44</v>
      </c>
      <c r="C54" s="112"/>
      <c r="D54" s="111"/>
      <c r="E54" s="113"/>
      <c r="F54" s="114"/>
      <c r="G54" s="114"/>
      <c r="H54" s="125"/>
      <c r="I54" s="126"/>
      <c r="J54" s="24"/>
      <c r="L54" s="20"/>
      <c r="M54" s="21"/>
      <c r="N54" s="22"/>
    </row>
    <row r="55" spans="1:22" ht="31.5" customHeight="1">
      <c r="A55" s="30">
        <v>16</v>
      </c>
      <c r="B55" s="79" t="s">
        <v>121</v>
      </c>
      <c r="C55" s="80" t="s">
        <v>102</v>
      </c>
      <c r="D55" s="79" t="s">
        <v>122</v>
      </c>
      <c r="E55" s="81">
        <v>163.30000000000001</v>
      </c>
      <c r="F55" s="82">
        <f>SUM(E55*6/100)</f>
        <v>9.798</v>
      </c>
      <c r="G55" s="13">
        <v>1547.28</v>
      </c>
      <c r="H55" s="83">
        <f>SUM(F55*G55/1000)</f>
        <v>15.160249439999999</v>
      </c>
      <c r="I55" s="13">
        <f>F55/6*G55</f>
        <v>2526.7082399999999</v>
      </c>
      <c r="J55" s="24"/>
      <c r="L55" s="20"/>
      <c r="M55" s="21"/>
      <c r="N55" s="22"/>
    </row>
    <row r="56" spans="1:22" ht="15.75" customHeight="1">
      <c r="A56" s="30"/>
      <c r="B56" s="107" t="s">
        <v>45</v>
      </c>
      <c r="C56" s="80"/>
      <c r="D56" s="79"/>
      <c r="E56" s="81"/>
      <c r="F56" s="82"/>
      <c r="G56" s="82"/>
      <c r="H56" s="83" t="s">
        <v>142</v>
      </c>
      <c r="I56" s="87"/>
      <c r="J56" s="24"/>
      <c r="L56" s="20"/>
      <c r="M56" s="21"/>
      <c r="N56" s="22"/>
    </row>
    <row r="57" spans="1:22" ht="15.75" hidden="1" customHeight="1">
      <c r="A57" s="30"/>
      <c r="B57" s="79" t="s">
        <v>46</v>
      </c>
      <c r="C57" s="80" t="s">
        <v>102</v>
      </c>
      <c r="D57" s="79" t="s">
        <v>55</v>
      </c>
      <c r="E57" s="90">
        <v>1155.2</v>
      </c>
      <c r="F57" s="91">
        <v>11.6</v>
      </c>
      <c r="G57" s="13">
        <v>793.61</v>
      </c>
      <c r="H57" s="92">
        <v>9.1679999999999993</v>
      </c>
      <c r="I57" s="13">
        <v>0</v>
      </c>
      <c r="J57" s="24"/>
      <c r="L57" s="20"/>
      <c r="M57" s="21"/>
      <c r="N57" s="22"/>
    </row>
    <row r="58" spans="1:22" ht="15.75" customHeight="1">
      <c r="A58" s="30">
        <v>17</v>
      </c>
      <c r="B58" s="93" t="s">
        <v>98</v>
      </c>
      <c r="C58" s="94" t="s">
        <v>25</v>
      </c>
      <c r="D58" s="93" t="s">
        <v>30</v>
      </c>
      <c r="E58" s="90">
        <v>255.2</v>
      </c>
      <c r="F58" s="95">
        <v>3062.4</v>
      </c>
      <c r="G58" s="75">
        <v>2.6</v>
      </c>
      <c r="H58" s="96">
        <f>G58*F58/1000</f>
        <v>7.9622400000000004</v>
      </c>
      <c r="I58" s="13">
        <f>F58/12*G58</f>
        <v>663.5200000000001</v>
      </c>
      <c r="J58" s="24"/>
      <c r="L58" s="20"/>
      <c r="M58" s="21"/>
      <c r="N58" s="22"/>
    </row>
    <row r="59" spans="1:22" ht="15.75" customHeight="1">
      <c r="A59" s="30"/>
      <c r="B59" s="117" t="s">
        <v>47</v>
      </c>
      <c r="C59" s="94"/>
      <c r="D59" s="93"/>
      <c r="E59" s="90"/>
      <c r="F59" s="95"/>
      <c r="G59" s="95"/>
      <c r="H59" s="96" t="s">
        <v>142</v>
      </c>
      <c r="I59" s="87"/>
      <c r="J59" s="24"/>
      <c r="L59" s="20"/>
      <c r="M59" s="21"/>
      <c r="N59" s="22"/>
    </row>
    <row r="60" spans="1:22" ht="15.75" customHeight="1">
      <c r="A60" s="30">
        <v>18</v>
      </c>
      <c r="B60" s="14" t="s">
        <v>48</v>
      </c>
      <c r="C60" s="16" t="s">
        <v>97</v>
      </c>
      <c r="D60" s="14" t="s">
        <v>69</v>
      </c>
      <c r="E60" s="19">
        <v>5</v>
      </c>
      <c r="F60" s="82">
        <v>5</v>
      </c>
      <c r="G60" s="13">
        <v>222.4</v>
      </c>
      <c r="H60" s="97">
        <f t="shared" ref="H60:H67" si="8">SUM(F60*G60/1000)</f>
        <v>1.1120000000000001</v>
      </c>
      <c r="I60" s="13">
        <f>G60</f>
        <v>222.4</v>
      </c>
      <c r="J60" s="24"/>
      <c r="L60" s="20"/>
    </row>
    <row r="61" spans="1:22" ht="15.75" hidden="1" customHeight="1">
      <c r="A61" s="30"/>
      <c r="B61" s="14" t="s">
        <v>49</v>
      </c>
      <c r="C61" s="16" t="s">
        <v>97</v>
      </c>
      <c r="D61" s="14" t="s">
        <v>141</v>
      </c>
      <c r="E61" s="19">
        <v>4</v>
      </c>
      <c r="F61" s="82">
        <v>4</v>
      </c>
      <c r="G61" s="13">
        <v>76.25</v>
      </c>
      <c r="H61" s="97">
        <f t="shared" si="8"/>
        <v>0.30499999999999999</v>
      </c>
      <c r="I61" s="13">
        <v>0</v>
      </c>
      <c r="J61" s="24"/>
      <c r="L61" s="20"/>
    </row>
    <row r="62" spans="1:22" ht="15.75" hidden="1" customHeight="1">
      <c r="A62" s="30"/>
      <c r="B62" s="14" t="s">
        <v>50</v>
      </c>
      <c r="C62" s="16" t="s">
        <v>123</v>
      </c>
      <c r="D62" s="14" t="s">
        <v>55</v>
      </c>
      <c r="E62" s="81">
        <v>15552</v>
      </c>
      <c r="F62" s="13">
        <f>SUM(E62/100)</f>
        <v>155.52000000000001</v>
      </c>
      <c r="G62" s="13">
        <v>212.15</v>
      </c>
      <c r="H62" s="97">
        <f t="shared" si="8"/>
        <v>32.993568000000003</v>
      </c>
      <c r="I62" s="13">
        <v>0</v>
      </c>
    </row>
    <row r="63" spans="1:22" ht="15.75" hidden="1" customHeight="1">
      <c r="A63" s="30"/>
      <c r="B63" s="14" t="s">
        <v>51</v>
      </c>
      <c r="C63" s="16" t="s">
        <v>124</v>
      </c>
      <c r="D63" s="14"/>
      <c r="E63" s="81">
        <v>15552</v>
      </c>
      <c r="F63" s="13">
        <f>SUM(E63/1000)</f>
        <v>15.552</v>
      </c>
      <c r="G63" s="13">
        <v>165.21</v>
      </c>
      <c r="H63" s="97">
        <f t="shared" si="8"/>
        <v>2.5693459200000004</v>
      </c>
      <c r="I63" s="13">
        <v>0</v>
      </c>
    </row>
    <row r="64" spans="1:22" ht="15.75" hidden="1" customHeight="1">
      <c r="A64" s="30"/>
      <c r="B64" s="14" t="s">
        <v>52</v>
      </c>
      <c r="C64" s="16" t="s">
        <v>81</v>
      </c>
      <c r="D64" s="14" t="s">
        <v>55</v>
      </c>
      <c r="E64" s="81">
        <v>2432</v>
      </c>
      <c r="F64" s="13">
        <f>SUM(E64/100)</f>
        <v>24.32</v>
      </c>
      <c r="G64" s="13">
        <v>2074.63</v>
      </c>
      <c r="H64" s="97">
        <f t="shared" si="8"/>
        <v>50.455001600000003</v>
      </c>
      <c r="I64" s="13">
        <v>0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hidden="1" customHeight="1">
      <c r="A65" s="30"/>
      <c r="B65" s="98" t="s">
        <v>75</v>
      </c>
      <c r="C65" s="16" t="s">
        <v>33</v>
      </c>
      <c r="D65" s="14"/>
      <c r="E65" s="81">
        <v>34.5</v>
      </c>
      <c r="F65" s="13">
        <f>SUM(E65)</f>
        <v>34.5</v>
      </c>
      <c r="G65" s="13">
        <v>45.32</v>
      </c>
      <c r="H65" s="97">
        <f t="shared" si="8"/>
        <v>1.5635399999999999</v>
      </c>
      <c r="I65" s="13">
        <v>0</v>
      </c>
      <c r="J65" s="26"/>
      <c r="K65" s="26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31.5" hidden="1" customHeight="1">
      <c r="A66" s="30"/>
      <c r="B66" s="98" t="s">
        <v>76</v>
      </c>
      <c r="C66" s="16" t="s">
        <v>33</v>
      </c>
      <c r="D66" s="14"/>
      <c r="E66" s="81">
        <f>E65</f>
        <v>34.5</v>
      </c>
      <c r="F66" s="13">
        <f>SUM(E66)</f>
        <v>34.5</v>
      </c>
      <c r="G66" s="13">
        <v>42.28</v>
      </c>
      <c r="H66" s="97">
        <f t="shared" si="8"/>
        <v>1.4586600000000001</v>
      </c>
      <c r="I66" s="13">
        <v>0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30"/>
      <c r="B67" s="14" t="s">
        <v>59</v>
      </c>
      <c r="C67" s="16" t="s">
        <v>60</v>
      </c>
      <c r="D67" s="14" t="s">
        <v>55</v>
      </c>
      <c r="E67" s="19">
        <v>4</v>
      </c>
      <c r="F67" s="82">
        <f>SUM(E67)</f>
        <v>4</v>
      </c>
      <c r="G67" s="13">
        <v>49.88</v>
      </c>
      <c r="H67" s="97">
        <f t="shared" si="8"/>
        <v>0.19952</v>
      </c>
      <c r="I67" s="13">
        <v>0</v>
      </c>
      <c r="J67" s="5"/>
      <c r="K67" s="5"/>
      <c r="L67" s="5"/>
      <c r="M67" s="5"/>
      <c r="N67" s="5"/>
      <c r="O67" s="5"/>
      <c r="P67" s="5"/>
      <c r="Q67" s="5"/>
      <c r="R67" s="183"/>
      <c r="S67" s="183"/>
      <c r="T67" s="183"/>
      <c r="U67" s="183"/>
    </row>
    <row r="68" spans="1:21" ht="15.75" hidden="1" customHeight="1">
      <c r="A68" s="30"/>
      <c r="B68" s="67" t="s">
        <v>77</v>
      </c>
      <c r="C68" s="16"/>
      <c r="D68" s="14"/>
      <c r="E68" s="19"/>
      <c r="F68" s="13"/>
      <c r="G68" s="13"/>
      <c r="H68" s="97" t="s">
        <v>142</v>
      </c>
      <c r="I68" s="87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1" ht="15.75" hidden="1" customHeight="1">
      <c r="A69" s="30">
        <v>19</v>
      </c>
      <c r="B69" s="14" t="s">
        <v>78</v>
      </c>
      <c r="C69" s="16" t="s">
        <v>79</v>
      </c>
      <c r="D69" s="14"/>
      <c r="E69" s="19">
        <v>4</v>
      </c>
      <c r="F69" s="13">
        <v>0.4</v>
      </c>
      <c r="G69" s="13">
        <v>501.62</v>
      </c>
      <c r="H69" s="97">
        <f>SUM(F69*G69/1000)</f>
        <v>0.20064800000000002</v>
      </c>
      <c r="I69" s="13">
        <f>G69*0.2</f>
        <v>100.32400000000001</v>
      </c>
    </row>
    <row r="70" spans="1:21" ht="15.75" hidden="1" customHeight="1">
      <c r="A70" s="30"/>
      <c r="B70" s="14" t="s">
        <v>137</v>
      </c>
      <c r="C70" s="16" t="s">
        <v>97</v>
      </c>
      <c r="D70" s="14"/>
      <c r="E70" s="19">
        <v>1</v>
      </c>
      <c r="F70" s="13">
        <f>E70</f>
        <v>1</v>
      </c>
      <c r="G70" s="13">
        <v>852.99</v>
      </c>
      <c r="H70" s="97">
        <f>SUM(F70*G70/1000)</f>
        <v>0.85299000000000003</v>
      </c>
      <c r="I70" s="13">
        <v>0</v>
      </c>
    </row>
    <row r="71" spans="1:21" ht="15.75" hidden="1" customHeight="1">
      <c r="A71" s="30"/>
      <c r="B71" s="101" t="s">
        <v>80</v>
      </c>
      <c r="C71" s="16"/>
      <c r="D71" s="14"/>
      <c r="E71" s="19"/>
      <c r="F71" s="19"/>
      <c r="G71" s="19"/>
      <c r="H71" s="19"/>
      <c r="I71" s="87"/>
    </row>
    <row r="72" spans="1:21" ht="15.75" hidden="1" customHeight="1">
      <c r="A72" s="30"/>
      <c r="B72" s="53" t="s">
        <v>127</v>
      </c>
      <c r="C72" s="16" t="s">
        <v>81</v>
      </c>
      <c r="D72" s="14"/>
      <c r="E72" s="19"/>
      <c r="F72" s="13">
        <v>0.1</v>
      </c>
      <c r="G72" s="13">
        <v>2759.44</v>
      </c>
      <c r="H72" s="100">
        <f t="shared" ref="H72" si="9">SUM(F72*G72/1000)</f>
        <v>0.27594400000000002</v>
      </c>
      <c r="I72" s="13">
        <v>0</v>
      </c>
    </row>
    <row r="73" spans="1:21" ht="15.75" hidden="1" customHeight="1">
      <c r="A73" s="30"/>
      <c r="B73" s="67" t="s">
        <v>125</v>
      </c>
      <c r="C73" s="101"/>
      <c r="D73" s="32"/>
      <c r="E73" s="33"/>
      <c r="F73" s="102"/>
      <c r="G73" s="102"/>
      <c r="H73" s="103">
        <f>SUM(H55:H72)</f>
        <v>124.27670696000001</v>
      </c>
      <c r="I73" s="85"/>
    </row>
    <row r="74" spans="1:21" ht="15.75" hidden="1" customHeight="1">
      <c r="A74" s="108"/>
      <c r="B74" s="93" t="s">
        <v>126</v>
      </c>
      <c r="C74" s="118"/>
      <c r="D74" s="119"/>
      <c r="E74" s="104"/>
      <c r="F74" s="109">
        <f>232/10</f>
        <v>23.2</v>
      </c>
      <c r="G74" s="109">
        <v>11370</v>
      </c>
      <c r="H74" s="120">
        <f>G74*F74/1000</f>
        <v>263.78399999999999</v>
      </c>
      <c r="I74" s="109">
        <v>0</v>
      </c>
    </row>
    <row r="75" spans="1:21" ht="15.75" customHeight="1">
      <c r="A75" s="186" t="s">
        <v>152</v>
      </c>
      <c r="B75" s="187"/>
      <c r="C75" s="187"/>
      <c r="D75" s="187"/>
      <c r="E75" s="187"/>
      <c r="F75" s="187"/>
      <c r="G75" s="187"/>
      <c r="H75" s="187"/>
      <c r="I75" s="188"/>
    </row>
    <row r="76" spans="1:21" ht="15.75" customHeight="1">
      <c r="A76" s="110">
        <v>19</v>
      </c>
      <c r="B76" s="111" t="s">
        <v>128</v>
      </c>
      <c r="C76" s="121" t="s">
        <v>56</v>
      </c>
      <c r="D76" s="122" t="s">
        <v>57</v>
      </c>
      <c r="E76" s="115">
        <v>3053.4</v>
      </c>
      <c r="F76" s="115">
        <f>SUM(E76*12)</f>
        <v>36640.800000000003</v>
      </c>
      <c r="G76" s="115">
        <v>2.1</v>
      </c>
      <c r="H76" s="123">
        <f>SUM(F76*G76/1000)</f>
        <v>76.94568000000001</v>
      </c>
      <c r="I76" s="115">
        <f>F76/12*G76</f>
        <v>6412.14</v>
      </c>
    </row>
    <row r="77" spans="1:21" ht="31.5" customHeight="1">
      <c r="A77" s="30">
        <v>20</v>
      </c>
      <c r="B77" s="14" t="s">
        <v>82</v>
      </c>
      <c r="C77" s="16"/>
      <c r="D77" s="122" t="s">
        <v>57</v>
      </c>
      <c r="E77" s="81">
        <f>E76</f>
        <v>3053.4</v>
      </c>
      <c r="F77" s="13">
        <f>E77*12</f>
        <v>36640.800000000003</v>
      </c>
      <c r="G77" s="13">
        <v>1.63</v>
      </c>
      <c r="H77" s="100">
        <f>F77*G77/1000</f>
        <v>59.724504000000003</v>
      </c>
      <c r="I77" s="13">
        <f>F77/12*G77</f>
        <v>4977.0419999999995</v>
      </c>
    </row>
    <row r="78" spans="1:21" ht="15.75" customHeight="1">
      <c r="A78" s="30"/>
      <c r="B78" s="44" t="s">
        <v>85</v>
      </c>
      <c r="C78" s="101"/>
      <c r="D78" s="99"/>
      <c r="E78" s="102"/>
      <c r="F78" s="102"/>
      <c r="G78" s="102"/>
      <c r="H78" s="103">
        <f>SUM(H77)</f>
        <v>59.724504000000003</v>
      </c>
      <c r="I78" s="102">
        <f>I16+I17+I18+I20+I21+I23+I25+I26+I36+I37+I38+I39+I40+I41+I51+I55+I58+I60+I76+I77</f>
        <v>43517.690425166671</v>
      </c>
    </row>
    <row r="79" spans="1:21" ht="15.75" customHeight="1">
      <c r="A79" s="169" t="s">
        <v>62</v>
      </c>
      <c r="B79" s="170"/>
      <c r="C79" s="170"/>
      <c r="D79" s="170"/>
      <c r="E79" s="170"/>
      <c r="F79" s="170"/>
      <c r="G79" s="170"/>
      <c r="H79" s="170"/>
      <c r="I79" s="171"/>
    </row>
    <row r="80" spans="1:21" ht="15.75" customHeight="1">
      <c r="A80" s="30">
        <v>21</v>
      </c>
      <c r="B80" s="58" t="s">
        <v>107</v>
      </c>
      <c r="C80" s="59" t="s">
        <v>97</v>
      </c>
      <c r="D80" s="53"/>
      <c r="E80" s="13"/>
      <c r="F80" s="13">
        <v>390</v>
      </c>
      <c r="G80" s="13">
        <v>53.42</v>
      </c>
      <c r="H80" s="100">
        <f>G80*F80/1000</f>
        <v>20.8338</v>
      </c>
      <c r="I80" s="13">
        <f>G80*65</f>
        <v>3472.3</v>
      </c>
    </row>
    <row r="81" spans="1:9" ht="15.75" customHeight="1">
      <c r="A81" s="30">
        <v>22</v>
      </c>
      <c r="B81" s="58" t="s">
        <v>86</v>
      </c>
      <c r="C81" s="59" t="s">
        <v>97</v>
      </c>
      <c r="D81" s="138"/>
      <c r="E81" s="37"/>
      <c r="F81" s="37">
        <v>3</v>
      </c>
      <c r="G81" s="37">
        <v>189.88</v>
      </c>
      <c r="H81" s="134">
        <f>F81*G81/1000</f>
        <v>0.56964000000000004</v>
      </c>
      <c r="I81" s="13">
        <f>G81</f>
        <v>189.88</v>
      </c>
    </row>
    <row r="82" spans="1:9" ht="15.75" customHeight="1">
      <c r="A82" s="30">
        <v>23</v>
      </c>
      <c r="B82" s="105" t="s">
        <v>191</v>
      </c>
      <c r="C82" s="106" t="s">
        <v>99</v>
      </c>
      <c r="D82" s="53"/>
      <c r="E82" s="13"/>
      <c r="F82" s="13">
        <f>(10+10+10+3)/3</f>
        <v>11</v>
      </c>
      <c r="G82" s="13">
        <v>1120.8900000000001</v>
      </c>
      <c r="H82" s="100">
        <f t="shared" ref="H82:H84" si="10">F82*G82/1000</f>
        <v>12.329790000000001</v>
      </c>
      <c r="I82" s="13">
        <f>G82*(10/3)</f>
        <v>3736.3000000000006</v>
      </c>
    </row>
    <row r="83" spans="1:9" ht="31.5" customHeight="1">
      <c r="A83" s="30">
        <v>24</v>
      </c>
      <c r="B83" s="58" t="s">
        <v>95</v>
      </c>
      <c r="C83" s="59" t="s">
        <v>108</v>
      </c>
      <c r="D83" s="53"/>
      <c r="E83" s="13"/>
      <c r="F83" s="13">
        <v>2</v>
      </c>
      <c r="G83" s="13">
        <v>589.84</v>
      </c>
      <c r="H83" s="100">
        <f t="shared" si="10"/>
        <v>1.1796800000000001</v>
      </c>
      <c r="I83" s="13">
        <f>G83*2</f>
        <v>1179.68</v>
      </c>
    </row>
    <row r="84" spans="1:9" ht="15.75" customHeight="1">
      <c r="A84" s="30">
        <v>25</v>
      </c>
      <c r="B84" s="58" t="s">
        <v>192</v>
      </c>
      <c r="C84" s="59" t="s">
        <v>54</v>
      </c>
      <c r="D84" s="14"/>
      <c r="E84" s="19"/>
      <c r="F84" s="13">
        <f>2/100</f>
        <v>0.02</v>
      </c>
      <c r="G84" s="13">
        <v>1925.33</v>
      </c>
      <c r="H84" s="100">
        <f t="shared" si="10"/>
        <v>3.8506600000000002E-2</v>
      </c>
      <c r="I84" s="13">
        <f>G84*(2/100)</f>
        <v>38.506599999999999</v>
      </c>
    </row>
    <row r="85" spans="1:9" ht="15.75" customHeight="1">
      <c r="A85" s="30"/>
      <c r="B85" s="51" t="s">
        <v>53</v>
      </c>
      <c r="C85" s="47"/>
      <c r="D85" s="55"/>
      <c r="E85" s="47">
        <v>1</v>
      </c>
      <c r="F85" s="47"/>
      <c r="G85" s="47"/>
      <c r="H85" s="47"/>
      <c r="I85" s="33">
        <f>SUM(I80:I84)</f>
        <v>8616.6666000000023</v>
      </c>
    </row>
    <row r="86" spans="1:9" ht="15.75" customHeight="1">
      <c r="A86" s="30"/>
      <c r="B86" s="53" t="s">
        <v>83</v>
      </c>
      <c r="C86" s="15"/>
      <c r="D86" s="15"/>
      <c r="E86" s="48"/>
      <c r="F86" s="48"/>
      <c r="G86" s="49"/>
      <c r="H86" s="49"/>
      <c r="I86" s="18">
        <v>0</v>
      </c>
    </row>
    <row r="87" spans="1:9" ht="15.75" customHeight="1">
      <c r="A87" s="56"/>
      <c r="B87" s="52" t="s">
        <v>170</v>
      </c>
      <c r="C87" s="36"/>
      <c r="D87" s="36"/>
      <c r="E87" s="36"/>
      <c r="F87" s="36"/>
      <c r="G87" s="36"/>
      <c r="H87" s="36"/>
      <c r="I87" s="50">
        <f>I78+I85</f>
        <v>52134.357025166675</v>
      </c>
    </row>
    <row r="88" spans="1:9" ht="15.75">
      <c r="A88" s="184" t="s">
        <v>193</v>
      </c>
      <c r="B88" s="184"/>
      <c r="C88" s="184"/>
      <c r="D88" s="184"/>
      <c r="E88" s="184"/>
      <c r="F88" s="184"/>
      <c r="G88" s="184"/>
      <c r="H88" s="184"/>
      <c r="I88" s="184"/>
    </row>
    <row r="89" spans="1:9" ht="15.75">
      <c r="A89" s="62"/>
      <c r="B89" s="193" t="s">
        <v>194</v>
      </c>
      <c r="C89" s="193"/>
      <c r="D89" s="193"/>
      <c r="E89" s="193"/>
      <c r="F89" s="193"/>
      <c r="G89" s="193"/>
      <c r="H89" s="78"/>
      <c r="I89" s="3"/>
    </row>
    <row r="90" spans="1:9">
      <c r="A90" s="65"/>
      <c r="B90" s="190" t="s">
        <v>6</v>
      </c>
      <c r="C90" s="190"/>
      <c r="D90" s="190"/>
      <c r="E90" s="190"/>
      <c r="F90" s="190"/>
      <c r="G90" s="190"/>
      <c r="H90" s="25"/>
      <c r="I90" s="5"/>
    </row>
    <row r="91" spans="1:9" ht="15.75" customHeight="1">
      <c r="A91" s="10"/>
      <c r="B91" s="10"/>
      <c r="C91" s="10"/>
      <c r="D91" s="10"/>
      <c r="E91" s="10"/>
      <c r="F91" s="10"/>
      <c r="G91" s="10"/>
      <c r="H91" s="10"/>
      <c r="I91" s="10"/>
    </row>
    <row r="92" spans="1:9" ht="15.75" customHeight="1">
      <c r="A92" s="194" t="s">
        <v>7</v>
      </c>
      <c r="B92" s="194"/>
      <c r="C92" s="194"/>
      <c r="D92" s="194"/>
      <c r="E92" s="194"/>
      <c r="F92" s="194"/>
      <c r="G92" s="194"/>
      <c r="H92" s="194"/>
      <c r="I92" s="194"/>
    </row>
    <row r="93" spans="1:9" ht="15.75" customHeight="1">
      <c r="A93" s="194" t="s">
        <v>8</v>
      </c>
      <c r="B93" s="194"/>
      <c r="C93" s="194"/>
      <c r="D93" s="194"/>
      <c r="E93" s="194"/>
      <c r="F93" s="194"/>
      <c r="G93" s="194"/>
      <c r="H93" s="194"/>
      <c r="I93" s="194"/>
    </row>
    <row r="94" spans="1:9" ht="15.75" customHeight="1">
      <c r="A94" s="177" t="s">
        <v>63</v>
      </c>
      <c r="B94" s="177"/>
      <c r="C94" s="177"/>
      <c r="D94" s="177"/>
      <c r="E94" s="177"/>
      <c r="F94" s="177"/>
      <c r="G94" s="177"/>
      <c r="H94" s="177"/>
      <c r="I94" s="177"/>
    </row>
    <row r="95" spans="1:9" ht="15.75" customHeight="1">
      <c r="A95" s="11"/>
    </row>
    <row r="96" spans="1:9" ht="15.75" customHeight="1">
      <c r="A96" s="178" t="s">
        <v>9</v>
      </c>
      <c r="B96" s="178"/>
      <c r="C96" s="178"/>
      <c r="D96" s="178"/>
      <c r="E96" s="178"/>
      <c r="F96" s="178"/>
      <c r="G96" s="178"/>
      <c r="H96" s="178"/>
      <c r="I96" s="178"/>
    </row>
    <row r="97" spans="1:9" ht="15.75" customHeight="1">
      <c r="A97" s="4"/>
    </row>
    <row r="98" spans="1:9" ht="15.75" customHeight="1">
      <c r="B98" s="61" t="s">
        <v>10</v>
      </c>
      <c r="C98" s="189" t="s">
        <v>96</v>
      </c>
      <c r="D98" s="189"/>
      <c r="E98" s="189"/>
      <c r="F98" s="76"/>
      <c r="I98" s="64"/>
    </row>
    <row r="99" spans="1:9" ht="15.75" customHeight="1">
      <c r="A99" s="65"/>
      <c r="C99" s="190" t="s">
        <v>11</v>
      </c>
      <c r="D99" s="190"/>
      <c r="E99" s="190"/>
      <c r="F99" s="25"/>
      <c r="I99" s="63" t="s">
        <v>12</v>
      </c>
    </row>
    <row r="100" spans="1:9" ht="15.75" customHeight="1">
      <c r="A100" s="26"/>
      <c r="C100" s="12"/>
      <c r="D100" s="12"/>
      <c r="G100" s="12"/>
      <c r="H100" s="12"/>
    </row>
    <row r="101" spans="1:9" ht="15.75" customHeight="1">
      <c r="B101" s="61" t="s">
        <v>13</v>
      </c>
      <c r="C101" s="191"/>
      <c r="D101" s="191"/>
      <c r="E101" s="191"/>
      <c r="F101" s="77"/>
      <c r="I101" s="64"/>
    </row>
    <row r="102" spans="1:9" ht="15.75" customHeight="1">
      <c r="A102" s="65"/>
      <c r="C102" s="183" t="s">
        <v>11</v>
      </c>
      <c r="D102" s="183"/>
      <c r="E102" s="183"/>
      <c r="F102" s="65"/>
      <c r="I102" s="63" t="s">
        <v>12</v>
      </c>
    </row>
    <row r="103" spans="1:9" ht="15.75" customHeight="1">
      <c r="A103" s="4" t="s">
        <v>14</v>
      </c>
    </row>
    <row r="104" spans="1:9">
      <c r="A104" s="192" t="s">
        <v>15</v>
      </c>
      <c r="B104" s="192"/>
      <c r="C104" s="192"/>
      <c r="D104" s="192"/>
      <c r="E104" s="192"/>
      <c r="F104" s="192"/>
      <c r="G104" s="192"/>
      <c r="H104" s="192"/>
      <c r="I104" s="192"/>
    </row>
    <row r="105" spans="1:9" ht="45" customHeight="1">
      <c r="A105" s="185" t="s">
        <v>16</v>
      </c>
      <c r="B105" s="185"/>
      <c r="C105" s="185"/>
      <c r="D105" s="185"/>
      <c r="E105" s="185"/>
      <c r="F105" s="185"/>
      <c r="G105" s="185"/>
      <c r="H105" s="185"/>
      <c r="I105" s="185"/>
    </row>
    <row r="106" spans="1:9" ht="30" customHeight="1">
      <c r="A106" s="185" t="s">
        <v>17</v>
      </c>
      <c r="B106" s="185"/>
      <c r="C106" s="185"/>
      <c r="D106" s="185"/>
      <c r="E106" s="185"/>
      <c r="F106" s="185"/>
      <c r="G106" s="185"/>
      <c r="H106" s="185"/>
      <c r="I106" s="185"/>
    </row>
    <row r="107" spans="1:9" ht="30" customHeight="1">
      <c r="A107" s="185" t="s">
        <v>21</v>
      </c>
      <c r="B107" s="185"/>
      <c r="C107" s="185"/>
      <c r="D107" s="185"/>
      <c r="E107" s="185"/>
      <c r="F107" s="185"/>
      <c r="G107" s="185"/>
      <c r="H107" s="185"/>
      <c r="I107" s="185"/>
    </row>
    <row r="108" spans="1:9" ht="15" customHeight="1">
      <c r="A108" s="185" t="s">
        <v>20</v>
      </c>
      <c r="B108" s="185"/>
      <c r="C108" s="185"/>
      <c r="D108" s="185"/>
      <c r="E108" s="185"/>
      <c r="F108" s="185"/>
      <c r="G108" s="185"/>
      <c r="H108" s="185"/>
      <c r="I108" s="185"/>
    </row>
  </sheetData>
  <autoFilter ref="I12:I62"/>
  <mergeCells count="29">
    <mergeCell ref="A105:I105"/>
    <mergeCell ref="A106:I106"/>
    <mergeCell ref="A107:I107"/>
    <mergeCell ref="A108:I108"/>
    <mergeCell ref="A96:I96"/>
    <mergeCell ref="C98:E98"/>
    <mergeCell ref="C99:E99"/>
    <mergeCell ref="C101:E101"/>
    <mergeCell ref="C102:E102"/>
    <mergeCell ref="A104:I104"/>
    <mergeCell ref="A94:I94"/>
    <mergeCell ref="A15:I15"/>
    <mergeCell ref="A27:I27"/>
    <mergeCell ref="A42:I42"/>
    <mergeCell ref="A53:I53"/>
    <mergeCell ref="A79:I79"/>
    <mergeCell ref="A88:I88"/>
    <mergeCell ref="B89:G89"/>
    <mergeCell ref="B90:G90"/>
    <mergeCell ref="A92:I92"/>
    <mergeCell ref="A93:I93"/>
    <mergeCell ref="R67:U67"/>
    <mergeCell ref="A75:I75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06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91</v>
      </c>
      <c r="I1" s="27"/>
      <c r="J1" s="1"/>
      <c r="K1" s="1"/>
      <c r="L1" s="1"/>
      <c r="M1" s="1"/>
    </row>
    <row r="2" spans="1:13" ht="15.75" customHeight="1">
      <c r="A2" s="29" t="s">
        <v>64</v>
      </c>
      <c r="J2" s="2"/>
      <c r="K2" s="2"/>
      <c r="L2" s="2"/>
      <c r="M2" s="2"/>
    </row>
    <row r="3" spans="1:13" ht="15.75" customHeight="1">
      <c r="A3" s="172" t="s">
        <v>159</v>
      </c>
      <c r="B3" s="172"/>
      <c r="C3" s="172"/>
      <c r="D3" s="172"/>
      <c r="E3" s="172"/>
      <c r="F3" s="172"/>
      <c r="G3" s="172"/>
      <c r="H3" s="172"/>
      <c r="I3" s="172"/>
      <c r="J3" s="3"/>
      <c r="K3" s="3"/>
      <c r="L3" s="3"/>
    </row>
    <row r="4" spans="1:13" ht="31.5" customHeight="1">
      <c r="A4" s="173" t="s">
        <v>129</v>
      </c>
      <c r="B4" s="173"/>
      <c r="C4" s="173"/>
      <c r="D4" s="173"/>
      <c r="E4" s="173"/>
      <c r="F4" s="173"/>
      <c r="G4" s="173"/>
      <c r="H4" s="173"/>
      <c r="I4" s="173"/>
    </row>
    <row r="5" spans="1:13" ht="15.75" customHeight="1">
      <c r="A5" s="172" t="s">
        <v>190</v>
      </c>
      <c r="B5" s="174"/>
      <c r="C5" s="174"/>
      <c r="D5" s="174"/>
      <c r="E5" s="174"/>
      <c r="F5" s="174"/>
      <c r="G5" s="174"/>
      <c r="H5" s="174"/>
      <c r="I5" s="174"/>
      <c r="J5" s="2"/>
      <c r="K5" s="2"/>
      <c r="L5" s="2"/>
      <c r="M5" s="2"/>
    </row>
    <row r="6" spans="1:13" ht="15.75" customHeight="1">
      <c r="A6" s="2"/>
      <c r="B6" s="66"/>
      <c r="C6" s="66"/>
      <c r="D6" s="66"/>
      <c r="E6" s="66"/>
      <c r="F6" s="66"/>
      <c r="G6" s="66"/>
      <c r="H6" s="66"/>
      <c r="I6" s="31">
        <v>42886</v>
      </c>
      <c r="J6" s="2"/>
      <c r="K6" s="2"/>
      <c r="L6" s="2"/>
      <c r="M6" s="2"/>
    </row>
    <row r="7" spans="1:13" ht="15.75" customHeight="1">
      <c r="B7" s="61"/>
      <c r="C7" s="61"/>
      <c r="D7" s="6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75" t="s">
        <v>166</v>
      </c>
      <c r="B8" s="175"/>
      <c r="C8" s="175"/>
      <c r="D8" s="175"/>
      <c r="E8" s="175"/>
      <c r="F8" s="175"/>
      <c r="G8" s="175"/>
      <c r="H8" s="175"/>
      <c r="I8" s="17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76" t="s">
        <v>247</v>
      </c>
      <c r="B10" s="176"/>
      <c r="C10" s="176"/>
      <c r="D10" s="176"/>
      <c r="E10" s="176"/>
      <c r="F10" s="176"/>
      <c r="G10" s="176"/>
      <c r="H10" s="176"/>
      <c r="I10" s="17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68" t="s">
        <v>61</v>
      </c>
      <c r="B14" s="168"/>
      <c r="C14" s="168"/>
      <c r="D14" s="168"/>
      <c r="E14" s="168"/>
      <c r="F14" s="168"/>
      <c r="G14" s="168"/>
      <c r="H14" s="168"/>
      <c r="I14" s="168"/>
      <c r="J14" s="8"/>
      <c r="K14" s="8"/>
      <c r="L14" s="8"/>
      <c r="M14" s="8"/>
    </row>
    <row r="15" spans="1:13" ht="15.75" customHeight="1">
      <c r="A15" s="179" t="s">
        <v>4</v>
      </c>
      <c r="B15" s="179"/>
      <c r="C15" s="179"/>
      <c r="D15" s="179"/>
      <c r="E15" s="179"/>
      <c r="F15" s="179"/>
      <c r="G15" s="179"/>
      <c r="H15" s="179"/>
      <c r="I15" s="179"/>
      <c r="J15" s="8"/>
      <c r="K15" s="8"/>
      <c r="L15" s="8"/>
      <c r="M15" s="8"/>
    </row>
    <row r="16" spans="1:13" ht="15.75" customHeight="1">
      <c r="A16" s="30">
        <v>1</v>
      </c>
      <c r="B16" s="79" t="s">
        <v>92</v>
      </c>
      <c r="C16" s="80" t="s">
        <v>102</v>
      </c>
      <c r="D16" s="79" t="s">
        <v>130</v>
      </c>
      <c r="E16" s="81">
        <v>92.5</v>
      </c>
      <c r="F16" s="82">
        <f>SUM(E16*156/100)</f>
        <v>144.30000000000001</v>
      </c>
      <c r="G16" s="82">
        <v>175.38</v>
      </c>
      <c r="H16" s="83">
        <f t="shared" ref="H16:H24" si="0">SUM(F16*G16/1000)</f>
        <v>25.307334000000001</v>
      </c>
      <c r="I16" s="13">
        <f>F16/12*G16</f>
        <v>2108.9445000000001</v>
      </c>
      <c r="J16" s="8"/>
      <c r="K16" s="8"/>
      <c r="L16" s="8"/>
      <c r="M16" s="8"/>
    </row>
    <row r="17" spans="1:13" ht="15.75" customHeight="1">
      <c r="A17" s="30">
        <v>2</v>
      </c>
      <c r="B17" s="79" t="s">
        <v>111</v>
      </c>
      <c r="C17" s="80" t="s">
        <v>102</v>
      </c>
      <c r="D17" s="79" t="s">
        <v>131</v>
      </c>
      <c r="E17" s="81">
        <v>288.8</v>
      </c>
      <c r="F17" s="82">
        <f>SUM(E17*104/100)</f>
        <v>300.35200000000003</v>
      </c>
      <c r="G17" s="82">
        <v>175.38</v>
      </c>
      <c r="H17" s="83">
        <f t="shared" si="0"/>
        <v>52.67573376</v>
      </c>
      <c r="I17" s="13">
        <f>F17/12*G17</f>
        <v>4389.6444800000008</v>
      </c>
      <c r="J17" s="23"/>
      <c r="K17" s="8"/>
      <c r="L17" s="8"/>
      <c r="M17" s="8"/>
    </row>
    <row r="18" spans="1:13" ht="15.75" customHeight="1">
      <c r="A18" s="30">
        <v>3</v>
      </c>
      <c r="B18" s="79" t="s">
        <v>148</v>
      </c>
      <c r="C18" s="80" t="s">
        <v>102</v>
      </c>
      <c r="D18" s="79" t="s">
        <v>167</v>
      </c>
      <c r="E18" s="81">
        <f>SUM(E16+E17)</f>
        <v>381.3</v>
      </c>
      <c r="F18" s="82">
        <f>SUM(E18*12/100)</f>
        <v>45.756</v>
      </c>
      <c r="G18" s="82">
        <v>504.5</v>
      </c>
      <c r="H18" s="83">
        <f t="shared" si="0"/>
        <v>23.083902000000002</v>
      </c>
      <c r="I18" s="13">
        <f>F18/12*G18</f>
        <v>1923.6585</v>
      </c>
      <c r="J18" s="23"/>
      <c r="K18" s="8"/>
      <c r="L18" s="8"/>
      <c r="M18" s="8"/>
    </row>
    <row r="19" spans="1:13" ht="15.75" customHeight="1">
      <c r="A19" s="30">
        <v>4</v>
      </c>
      <c r="B19" s="79" t="s">
        <v>112</v>
      </c>
      <c r="C19" s="80" t="s">
        <v>113</v>
      </c>
      <c r="D19" s="79" t="s">
        <v>114</v>
      </c>
      <c r="E19" s="81">
        <v>19.2</v>
      </c>
      <c r="F19" s="82">
        <f>SUM(E19/10)</f>
        <v>1.92</v>
      </c>
      <c r="G19" s="82">
        <v>170.16</v>
      </c>
      <c r="H19" s="83">
        <f t="shared" si="0"/>
        <v>0.32670719999999998</v>
      </c>
      <c r="I19" s="13">
        <f>F19*G19</f>
        <v>326.7072</v>
      </c>
      <c r="J19" s="23"/>
      <c r="K19" s="8"/>
      <c r="L19" s="8"/>
      <c r="M19" s="8"/>
    </row>
    <row r="20" spans="1:13" ht="15.75" customHeight="1">
      <c r="A20" s="30">
        <v>5</v>
      </c>
      <c r="B20" s="79" t="s">
        <v>101</v>
      </c>
      <c r="C20" s="80" t="s">
        <v>102</v>
      </c>
      <c r="D20" s="79" t="s">
        <v>30</v>
      </c>
      <c r="E20" s="81">
        <v>27.3</v>
      </c>
      <c r="F20" s="82">
        <f>SUM(E20*12/100)</f>
        <v>3.2760000000000002</v>
      </c>
      <c r="G20" s="82">
        <v>217.88</v>
      </c>
      <c r="H20" s="83">
        <f t="shared" si="0"/>
        <v>0.71377488</v>
      </c>
      <c r="I20" s="13">
        <f>F20/12*G20</f>
        <v>59.48124</v>
      </c>
      <c r="J20" s="23"/>
      <c r="K20" s="8"/>
      <c r="L20" s="8"/>
      <c r="M20" s="8"/>
    </row>
    <row r="21" spans="1:13" ht="15.75" customHeight="1">
      <c r="A21" s="30">
        <v>6</v>
      </c>
      <c r="B21" s="79" t="s">
        <v>109</v>
      </c>
      <c r="C21" s="80" t="s">
        <v>102</v>
      </c>
      <c r="D21" s="79" t="s">
        <v>30</v>
      </c>
      <c r="E21" s="81">
        <v>9.08</v>
      </c>
      <c r="F21" s="82">
        <f>SUM(E21*12/100)</f>
        <v>1.0896000000000001</v>
      </c>
      <c r="G21" s="82">
        <v>216.12</v>
      </c>
      <c r="H21" s="83">
        <f t="shared" si="0"/>
        <v>0.23548435200000004</v>
      </c>
      <c r="I21" s="13">
        <f>F21/12*G21</f>
        <v>19.623696000000002</v>
      </c>
      <c r="J21" s="23"/>
      <c r="K21" s="8"/>
      <c r="L21" s="8"/>
      <c r="M21" s="8"/>
    </row>
    <row r="22" spans="1:13" ht="15.75" customHeight="1">
      <c r="A22" s="30">
        <v>7</v>
      </c>
      <c r="B22" s="79" t="s">
        <v>103</v>
      </c>
      <c r="C22" s="80" t="s">
        <v>54</v>
      </c>
      <c r="D22" s="79" t="s">
        <v>114</v>
      </c>
      <c r="E22" s="84">
        <v>12.6</v>
      </c>
      <c r="F22" s="82">
        <f>SUM(E22/100)</f>
        <v>0.126</v>
      </c>
      <c r="G22" s="82">
        <v>44.29</v>
      </c>
      <c r="H22" s="83">
        <f t="shared" si="0"/>
        <v>5.5805400000000002E-3</v>
      </c>
      <c r="I22" s="13">
        <f>F22*G22</f>
        <v>5.5805400000000001</v>
      </c>
      <c r="J22" s="23"/>
      <c r="K22" s="8"/>
      <c r="L22" s="8"/>
      <c r="M22" s="8"/>
    </row>
    <row r="23" spans="1:13" ht="15.75" customHeight="1">
      <c r="A23" s="30">
        <v>8</v>
      </c>
      <c r="B23" s="79" t="s">
        <v>104</v>
      </c>
      <c r="C23" s="80" t="s">
        <v>54</v>
      </c>
      <c r="D23" s="79" t="s">
        <v>105</v>
      </c>
      <c r="E23" s="81">
        <v>20</v>
      </c>
      <c r="F23" s="82">
        <f>E23*12/100</f>
        <v>2.4</v>
      </c>
      <c r="G23" s="82">
        <v>389.72</v>
      </c>
      <c r="H23" s="83">
        <f t="shared" si="0"/>
        <v>0.93532799999999994</v>
      </c>
      <c r="I23" s="13">
        <f>F23/12*G23</f>
        <v>77.944000000000003</v>
      </c>
      <c r="J23" s="23"/>
      <c r="K23" s="8"/>
      <c r="L23" s="8"/>
      <c r="M23" s="8"/>
    </row>
    <row r="24" spans="1:13" ht="15.75" customHeight="1">
      <c r="A24" s="30">
        <v>9</v>
      </c>
      <c r="B24" s="79" t="s">
        <v>106</v>
      </c>
      <c r="C24" s="80" t="s">
        <v>54</v>
      </c>
      <c r="D24" s="79" t="s">
        <v>114</v>
      </c>
      <c r="E24" s="81">
        <v>17</v>
      </c>
      <c r="F24" s="82">
        <f>SUM(E24/100)</f>
        <v>0.17</v>
      </c>
      <c r="G24" s="82">
        <v>520.79999999999995</v>
      </c>
      <c r="H24" s="83">
        <f t="shared" si="0"/>
        <v>8.8536000000000004E-2</v>
      </c>
      <c r="I24" s="13">
        <f>F24*G24</f>
        <v>88.536000000000001</v>
      </c>
      <c r="J24" s="23"/>
      <c r="K24" s="8"/>
      <c r="L24" s="8"/>
      <c r="M24" s="8"/>
    </row>
    <row r="25" spans="1:13" ht="15.75" customHeight="1">
      <c r="A25" s="30">
        <v>10</v>
      </c>
      <c r="B25" s="79" t="s">
        <v>66</v>
      </c>
      <c r="C25" s="80" t="s">
        <v>33</v>
      </c>
      <c r="D25" s="79" t="s">
        <v>89</v>
      </c>
      <c r="E25" s="81">
        <v>0.1</v>
      </c>
      <c r="F25" s="82">
        <f>SUM(E25*365)</f>
        <v>36.5</v>
      </c>
      <c r="G25" s="82">
        <v>147.03</v>
      </c>
      <c r="H25" s="83">
        <f>SUM(F25*G25/1000)</f>
        <v>5.3665950000000002</v>
      </c>
      <c r="I25" s="13">
        <f>F25/12*G25</f>
        <v>447.21625</v>
      </c>
      <c r="J25" s="23"/>
      <c r="K25" s="8"/>
      <c r="L25" s="8"/>
      <c r="M25" s="8"/>
    </row>
    <row r="26" spans="1:13" ht="15.75" customHeight="1">
      <c r="A26" s="30">
        <v>11</v>
      </c>
      <c r="B26" s="89" t="s">
        <v>23</v>
      </c>
      <c r="C26" s="80" t="s">
        <v>24</v>
      </c>
      <c r="D26" s="79" t="s">
        <v>89</v>
      </c>
      <c r="E26" s="81">
        <v>3053.4</v>
      </c>
      <c r="F26" s="82">
        <f>SUM(E26*12)</f>
        <v>36640.800000000003</v>
      </c>
      <c r="G26" s="82">
        <v>4.55</v>
      </c>
      <c r="H26" s="83">
        <f>SUM(F26*G26/1000)</f>
        <v>166.71564000000001</v>
      </c>
      <c r="I26" s="13">
        <f>F26/12*G26</f>
        <v>13892.97</v>
      </c>
      <c r="J26" s="24"/>
    </row>
    <row r="27" spans="1:13" ht="15.75" customHeight="1">
      <c r="A27" s="180" t="s">
        <v>168</v>
      </c>
      <c r="B27" s="181"/>
      <c r="C27" s="181"/>
      <c r="D27" s="181"/>
      <c r="E27" s="181"/>
      <c r="F27" s="181"/>
      <c r="G27" s="181"/>
      <c r="H27" s="181"/>
      <c r="I27" s="182"/>
      <c r="J27" s="23"/>
      <c r="K27" s="8"/>
      <c r="L27" s="8"/>
      <c r="M27" s="8"/>
    </row>
    <row r="28" spans="1:13" ht="15.75" customHeight="1">
      <c r="A28" s="30"/>
      <c r="B28" s="107" t="s">
        <v>28</v>
      </c>
      <c r="C28" s="80"/>
      <c r="D28" s="79"/>
      <c r="E28" s="81"/>
      <c r="F28" s="82"/>
      <c r="G28" s="82"/>
      <c r="H28" s="86"/>
      <c r="I28" s="87"/>
      <c r="J28" s="23"/>
      <c r="K28" s="8"/>
      <c r="L28" s="8"/>
      <c r="M28" s="8"/>
    </row>
    <row r="29" spans="1:13" ht="15.75" customHeight="1">
      <c r="A29" s="30">
        <v>9</v>
      </c>
      <c r="B29" s="79" t="s">
        <v>115</v>
      </c>
      <c r="C29" s="80" t="s">
        <v>116</v>
      </c>
      <c r="D29" s="79" t="s">
        <v>132</v>
      </c>
      <c r="E29" s="82">
        <v>561.6</v>
      </c>
      <c r="F29" s="82">
        <f>SUM(E29*52/1000)</f>
        <v>29.203200000000002</v>
      </c>
      <c r="G29" s="82">
        <v>155.88999999999999</v>
      </c>
      <c r="H29" s="83">
        <f t="shared" ref="H29:H34" si="1">SUM(F29*G29/1000)</f>
        <v>4.5524868479999991</v>
      </c>
      <c r="I29" s="13">
        <f t="shared" ref="I29:I32" si="2">F29/6*G29</f>
        <v>758.74780799999996</v>
      </c>
      <c r="J29" s="23"/>
      <c r="K29" s="8"/>
      <c r="L29" s="8"/>
      <c r="M29" s="8"/>
    </row>
    <row r="30" spans="1:13" ht="31.5" customHeight="1">
      <c r="A30" s="30">
        <v>10</v>
      </c>
      <c r="B30" s="79" t="s">
        <v>149</v>
      </c>
      <c r="C30" s="80" t="s">
        <v>116</v>
      </c>
      <c r="D30" s="79" t="s">
        <v>133</v>
      </c>
      <c r="E30" s="82">
        <v>205.7</v>
      </c>
      <c r="F30" s="82">
        <f>SUM(E30*78/1000)</f>
        <v>16.044599999999999</v>
      </c>
      <c r="G30" s="82">
        <v>258.63</v>
      </c>
      <c r="H30" s="83">
        <f t="shared" si="1"/>
        <v>4.1496148979999994</v>
      </c>
      <c r="I30" s="13">
        <f t="shared" si="2"/>
        <v>691.60248299999989</v>
      </c>
      <c r="J30" s="23"/>
      <c r="K30" s="8"/>
      <c r="L30" s="8"/>
      <c r="M30" s="8"/>
    </row>
    <row r="31" spans="1:13" ht="15.75" customHeight="1">
      <c r="A31" s="30">
        <v>11</v>
      </c>
      <c r="B31" s="79" t="s">
        <v>27</v>
      </c>
      <c r="C31" s="80" t="s">
        <v>116</v>
      </c>
      <c r="D31" s="79" t="s">
        <v>55</v>
      </c>
      <c r="E31" s="82">
        <v>561.6</v>
      </c>
      <c r="F31" s="82">
        <f>SUM(E31/1000)</f>
        <v>0.56159999999999999</v>
      </c>
      <c r="G31" s="82">
        <v>3020.33</v>
      </c>
      <c r="H31" s="83">
        <f t="shared" si="1"/>
        <v>1.6962173279999999</v>
      </c>
      <c r="I31" s="13">
        <f>F31*G31</f>
        <v>1696.217328</v>
      </c>
      <c r="J31" s="23"/>
      <c r="K31" s="8"/>
      <c r="L31" s="8"/>
      <c r="M31" s="8"/>
    </row>
    <row r="32" spans="1:13" ht="15.75" customHeight="1">
      <c r="A32" s="30">
        <v>12</v>
      </c>
      <c r="B32" s="79" t="s">
        <v>117</v>
      </c>
      <c r="C32" s="80" t="s">
        <v>31</v>
      </c>
      <c r="D32" s="79" t="s">
        <v>65</v>
      </c>
      <c r="E32" s="88">
        <v>0.33333333333333331</v>
      </c>
      <c r="F32" s="82">
        <f>155/3</f>
        <v>51.666666666666664</v>
      </c>
      <c r="G32" s="82">
        <v>56.69</v>
      </c>
      <c r="H32" s="83">
        <f>SUM(G32*155/3/1000)</f>
        <v>2.9289833333333331</v>
      </c>
      <c r="I32" s="13">
        <f t="shared" si="2"/>
        <v>488.16388888888883</v>
      </c>
      <c r="J32" s="23"/>
      <c r="K32" s="8"/>
      <c r="L32" s="8"/>
      <c r="M32" s="8"/>
    </row>
    <row r="33" spans="1:14" ht="15.75" hidden="1" customHeight="1">
      <c r="A33" s="30"/>
      <c r="B33" s="79" t="s">
        <v>67</v>
      </c>
      <c r="C33" s="80" t="s">
        <v>33</v>
      </c>
      <c r="D33" s="79" t="s">
        <v>69</v>
      </c>
      <c r="E33" s="81"/>
      <c r="F33" s="82">
        <v>2</v>
      </c>
      <c r="G33" s="82">
        <v>191.32</v>
      </c>
      <c r="H33" s="83">
        <f t="shared" si="1"/>
        <v>0.38263999999999998</v>
      </c>
      <c r="I33" s="13">
        <v>0</v>
      </c>
      <c r="J33" s="23"/>
      <c r="K33" s="8"/>
      <c r="L33" s="8"/>
      <c r="M33" s="8"/>
    </row>
    <row r="34" spans="1:14" ht="15.75" hidden="1" customHeight="1">
      <c r="A34" s="30"/>
      <c r="B34" s="79" t="s">
        <v>68</v>
      </c>
      <c r="C34" s="80" t="s">
        <v>32</v>
      </c>
      <c r="D34" s="79" t="s">
        <v>69</v>
      </c>
      <c r="E34" s="81"/>
      <c r="F34" s="82">
        <v>1</v>
      </c>
      <c r="G34" s="82">
        <v>1136.33</v>
      </c>
      <c r="H34" s="83">
        <f t="shared" si="1"/>
        <v>1.1363299999999998</v>
      </c>
      <c r="I34" s="13">
        <v>0</v>
      </c>
      <c r="J34" s="23"/>
      <c r="K34" s="8"/>
    </row>
    <row r="35" spans="1:14" ht="15.75" hidden="1" customHeight="1">
      <c r="A35" s="30"/>
      <c r="B35" s="107" t="s">
        <v>5</v>
      </c>
      <c r="C35" s="80"/>
      <c r="D35" s="79"/>
      <c r="E35" s="81"/>
      <c r="F35" s="82"/>
      <c r="G35" s="82"/>
      <c r="H35" s="86" t="s">
        <v>142</v>
      </c>
      <c r="I35" s="87"/>
      <c r="J35" s="24"/>
    </row>
    <row r="36" spans="1:14" ht="15.75" hidden="1" customHeight="1">
      <c r="A36" s="30">
        <v>9</v>
      </c>
      <c r="B36" s="79" t="s">
        <v>26</v>
      </c>
      <c r="C36" s="80" t="s">
        <v>32</v>
      </c>
      <c r="D36" s="79"/>
      <c r="E36" s="81"/>
      <c r="F36" s="82">
        <v>3</v>
      </c>
      <c r="G36" s="82">
        <v>1527.22</v>
      </c>
      <c r="H36" s="83">
        <f t="shared" ref="H36:H38" si="3">SUM(F36*G36/1000)</f>
        <v>4.5816600000000003</v>
      </c>
      <c r="I36" s="13">
        <f t="shared" ref="I36:I41" si="4">F36/6*G36</f>
        <v>763.61</v>
      </c>
      <c r="J36" s="24"/>
    </row>
    <row r="37" spans="1:14" ht="15.75" hidden="1" customHeight="1">
      <c r="A37" s="30">
        <v>10</v>
      </c>
      <c r="B37" s="79" t="s">
        <v>70</v>
      </c>
      <c r="C37" s="80" t="s">
        <v>29</v>
      </c>
      <c r="D37" s="79" t="s">
        <v>134</v>
      </c>
      <c r="E37" s="82">
        <v>205.7</v>
      </c>
      <c r="F37" s="82">
        <f>SUM(E37*20/1000)</f>
        <v>4.1139999999999999</v>
      </c>
      <c r="G37" s="82">
        <v>2102.71</v>
      </c>
      <c r="H37" s="83">
        <f t="shared" si="3"/>
        <v>8.6505489400000002</v>
      </c>
      <c r="I37" s="13">
        <f t="shared" si="4"/>
        <v>1441.7581566666665</v>
      </c>
      <c r="J37" s="24"/>
    </row>
    <row r="38" spans="1:14" ht="15.75" hidden="1" customHeight="1">
      <c r="A38" s="30">
        <v>11</v>
      </c>
      <c r="B38" s="79" t="s">
        <v>71</v>
      </c>
      <c r="C38" s="80" t="s">
        <v>29</v>
      </c>
      <c r="D38" s="79" t="s">
        <v>135</v>
      </c>
      <c r="E38" s="81">
        <v>89.1</v>
      </c>
      <c r="F38" s="82">
        <f>SUM(E38*155/1000)</f>
        <v>13.810499999999999</v>
      </c>
      <c r="G38" s="82">
        <v>350.75</v>
      </c>
      <c r="H38" s="83">
        <f t="shared" si="3"/>
        <v>4.8440328749999999</v>
      </c>
      <c r="I38" s="13">
        <f t="shared" si="4"/>
        <v>807.3388124999999</v>
      </c>
      <c r="J38" s="24"/>
    </row>
    <row r="39" spans="1:14" ht="47.25" hidden="1" customHeight="1">
      <c r="A39" s="30">
        <v>12</v>
      </c>
      <c r="B39" s="79" t="s">
        <v>88</v>
      </c>
      <c r="C39" s="80" t="s">
        <v>116</v>
      </c>
      <c r="D39" s="79" t="s">
        <v>136</v>
      </c>
      <c r="E39" s="82">
        <v>48</v>
      </c>
      <c r="F39" s="82">
        <f>SUM(E39*50/1000)</f>
        <v>2.4</v>
      </c>
      <c r="G39" s="82">
        <v>5803.28</v>
      </c>
      <c r="H39" s="83">
        <f>SUM(F39*G39/1000)</f>
        <v>13.927871999999999</v>
      </c>
      <c r="I39" s="13">
        <f t="shared" si="4"/>
        <v>2321.3119999999999</v>
      </c>
      <c r="J39" s="24"/>
    </row>
    <row r="40" spans="1:14" ht="15.75" hidden="1" customHeight="1">
      <c r="A40" s="30">
        <v>13</v>
      </c>
      <c r="B40" s="79" t="s">
        <v>118</v>
      </c>
      <c r="C40" s="80" t="s">
        <v>116</v>
      </c>
      <c r="D40" s="79" t="s">
        <v>72</v>
      </c>
      <c r="E40" s="82">
        <v>89</v>
      </c>
      <c r="F40" s="82">
        <f>SUM(E40*45/1000)</f>
        <v>4.0049999999999999</v>
      </c>
      <c r="G40" s="82">
        <v>428.7</v>
      </c>
      <c r="H40" s="83">
        <f t="shared" ref="H40:H41" si="5">SUM(F40*G40/1000)</f>
        <v>1.7169435</v>
      </c>
      <c r="I40" s="13">
        <f t="shared" si="4"/>
        <v>286.15724999999998</v>
      </c>
      <c r="J40" s="24"/>
      <c r="L40" s="20"/>
      <c r="M40" s="21"/>
      <c r="N40" s="22"/>
    </row>
    <row r="41" spans="1:14" ht="15.75" hidden="1" customHeight="1">
      <c r="A41" s="108">
        <v>14</v>
      </c>
      <c r="B41" s="93" t="s">
        <v>73</v>
      </c>
      <c r="C41" s="94" t="s">
        <v>33</v>
      </c>
      <c r="D41" s="93"/>
      <c r="E41" s="90"/>
      <c r="F41" s="95">
        <v>0.9</v>
      </c>
      <c r="G41" s="95">
        <v>798</v>
      </c>
      <c r="H41" s="96">
        <f t="shared" si="5"/>
        <v>0.71820000000000006</v>
      </c>
      <c r="I41" s="109">
        <f t="shared" si="4"/>
        <v>119.69999999999999</v>
      </c>
      <c r="J41" s="24"/>
      <c r="L41" s="20"/>
      <c r="M41" s="21"/>
      <c r="N41" s="22"/>
    </row>
    <row r="42" spans="1:14" ht="15.75" customHeight="1">
      <c r="A42" s="186" t="s">
        <v>150</v>
      </c>
      <c r="B42" s="187"/>
      <c r="C42" s="187"/>
      <c r="D42" s="187"/>
      <c r="E42" s="187"/>
      <c r="F42" s="187"/>
      <c r="G42" s="187"/>
      <c r="H42" s="187"/>
      <c r="I42" s="188"/>
      <c r="J42" s="24"/>
      <c r="L42" s="20"/>
      <c r="M42" s="21"/>
      <c r="N42" s="22"/>
    </row>
    <row r="43" spans="1:14" ht="15.75" customHeight="1">
      <c r="A43" s="110">
        <v>13</v>
      </c>
      <c r="B43" s="111" t="s">
        <v>119</v>
      </c>
      <c r="C43" s="112" t="s">
        <v>116</v>
      </c>
      <c r="D43" s="111" t="s">
        <v>43</v>
      </c>
      <c r="E43" s="113">
        <v>1632.75</v>
      </c>
      <c r="F43" s="114">
        <f>SUM(E43*2/1000)</f>
        <v>3.2654999999999998</v>
      </c>
      <c r="G43" s="115">
        <v>809.74</v>
      </c>
      <c r="H43" s="116">
        <f t="shared" ref="H43:H52" si="6">SUM(F43*G43/1000)</f>
        <v>2.6442059699999998</v>
      </c>
      <c r="I43" s="13">
        <f t="shared" ref="I43:I46" si="7">F43/2*G43</f>
        <v>1322.102985</v>
      </c>
      <c r="J43" s="24"/>
      <c r="L43" s="20"/>
      <c r="M43" s="21"/>
      <c r="N43" s="22"/>
    </row>
    <row r="44" spans="1:14" ht="15.75" customHeight="1">
      <c r="A44" s="30">
        <v>14</v>
      </c>
      <c r="B44" s="79" t="s">
        <v>36</v>
      </c>
      <c r="C44" s="80" t="s">
        <v>116</v>
      </c>
      <c r="D44" s="79" t="s">
        <v>43</v>
      </c>
      <c r="E44" s="81">
        <v>53.75</v>
      </c>
      <c r="F44" s="82">
        <f>SUM(E44*2/1000)</f>
        <v>0.1075</v>
      </c>
      <c r="G44" s="13">
        <v>579.48</v>
      </c>
      <c r="H44" s="83">
        <f t="shared" si="6"/>
        <v>6.2294099999999998E-2</v>
      </c>
      <c r="I44" s="13">
        <f t="shared" si="7"/>
        <v>31.14705</v>
      </c>
      <c r="J44" s="24"/>
      <c r="L44" s="20"/>
      <c r="M44" s="21"/>
      <c r="N44" s="22"/>
    </row>
    <row r="45" spans="1:14" ht="15.75" customHeight="1">
      <c r="A45" s="30">
        <v>15</v>
      </c>
      <c r="B45" s="79" t="s">
        <v>37</v>
      </c>
      <c r="C45" s="80" t="s">
        <v>116</v>
      </c>
      <c r="D45" s="79" t="s">
        <v>43</v>
      </c>
      <c r="E45" s="81">
        <v>2285.6</v>
      </c>
      <c r="F45" s="82">
        <f>SUM(E45*2/1000)</f>
        <v>4.5712000000000002</v>
      </c>
      <c r="G45" s="13">
        <v>579.48</v>
      </c>
      <c r="H45" s="83">
        <f t="shared" si="6"/>
        <v>2.6489189760000005</v>
      </c>
      <c r="I45" s="13">
        <f t="shared" si="7"/>
        <v>1324.4594880000002</v>
      </c>
      <c r="J45" s="24"/>
      <c r="L45" s="20"/>
      <c r="M45" s="21"/>
      <c r="N45" s="22"/>
    </row>
    <row r="46" spans="1:14" ht="15.75" customHeight="1">
      <c r="A46" s="30">
        <v>16</v>
      </c>
      <c r="B46" s="79" t="s">
        <v>38</v>
      </c>
      <c r="C46" s="80" t="s">
        <v>116</v>
      </c>
      <c r="D46" s="79" t="s">
        <v>43</v>
      </c>
      <c r="E46" s="81">
        <v>1860</v>
      </c>
      <c r="F46" s="82">
        <f>SUM(E46*2/1000)</f>
        <v>3.72</v>
      </c>
      <c r="G46" s="13">
        <v>606.77</v>
      </c>
      <c r="H46" s="83">
        <f t="shared" si="6"/>
        <v>2.2571844000000003</v>
      </c>
      <c r="I46" s="13">
        <f t="shared" si="7"/>
        <v>1128.5922</v>
      </c>
      <c r="J46" s="24"/>
      <c r="L46" s="20"/>
      <c r="M46" s="21"/>
      <c r="N46" s="22"/>
    </row>
    <row r="47" spans="1:14" ht="15.75" customHeight="1">
      <c r="A47" s="30">
        <v>17</v>
      </c>
      <c r="B47" s="79" t="s">
        <v>34</v>
      </c>
      <c r="C47" s="80" t="s">
        <v>35</v>
      </c>
      <c r="D47" s="79" t="s">
        <v>43</v>
      </c>
      <c r="E47" s="81">
        <v>120.49</v>
      </c>
      <c r="F47" s="82">
        <f>SUM(E47*2/100)</f>
        <v>2.4097999999999997</v>
      </c>
      <c r="G47" s="13">
        <v>72.81</v>
      </c>
      <c r="H47" s="83">
        <f t="shared" si="6"/>
        <v>0.17545753799999997</v>
      </c>
      <c r="I47" s="13">
        <f>F47/2*G47</f>
        <v>87.728768999999986</v>
      </c>
      <c r="J47" s="24"/>
      <c r="L47" s="20"/>
      <c r="M47" s="21"/>
      <c r="N47" s="22"/>
    </row>
    <row r="48" spans="1:14" ht="15.75" customHeight="1">
      <c r="A48" s="30">
        <v>18</v>
      </c>
      <c r="B48" s="79" t="s">
        <v>58</v>
      </c>
      <c r="C48" s="80" t="s">
        <v>116</v>
      </c>
      <c r="D48" s="79" t="s">
        <v>153</v>
      </c>
      <c r="E48" s="81">
        <v>1728</v>
      </c>
      <c r="F48" s="82">
        <f>SUM(E48*5/1000)</f>
        <v>8.64</v>
      </c>
      <c r="G48" s="13">
        <v>1213.55</v>
      </c>
      <c r="H48" s="83">
        <f t="shared" si="6"/>
        <v>10.485072000000001</v>
      </c>
      <c r="I48" s="13">
        <f>F48/5*G48</f>
        <v>2097.0144</v>
      </c>
      <c r="J48" s="24"/>
      <c r="L48" s="20"/>
      <c r="M48" s="21"/>
      <c r="N48" s="22"/>
    </row>
    <row r="49" spans="1:22" ht="31.5" customHeight="1">
      <c r="A49" s="30">
        <v>19</v>
      </c>
      <c r="B49" s="79" t="s">
        <v>120</v>
      </c>
      <c r="C49" s="80" t="s">
        <v>116</v>
      </c>
      <c r="D49" s="79" t="s">
        <v>43</v>
      </c>
      <c r="E49" s="81">
        <v>1728</v>
      </c>
      <c r="F49" s="82">
        <f>SUM(E49*2/1000)</f>
        <v>3.456</v>
      </c>
      <c r="G49" s="13">
        <v>1213.55</v>
      </c>
      <c r="H49" s="83">
        <f t="shared" si="6"/>
        <v>4.1940287999999999</v>
      </c>
      <c r="I49" s="13">
        <f>F49/2*G49</f>
        <v>2097.0144</v>
      </c>
      <c r="J49" s="24"/>
      <c r="L49" s="20"/>
      <c r="M49" s="21"/>
      <c r="N49" s="22"/>
    </row>
    <row r="50" spans="1:22" ht="31.5" customHeight="1">
      <c r="A50" s="30">
        <v>20</v>
      </c>
      <c r="B50" s="79" t="s">
        <v>143</v>
      </c>
      <c r="C50" s="80" t="s">
        <v>39</v>
      </c>
      <c r="D50" s="79" t="s">
        <v>43</v>
      </c>
      <c r="E50" s="81">
        <v>20</v>
      </c>
      <c r="F50" s="82">
        <f>SUM(E50*2/100)</f>
        <v>0.4</v>
      </c>
      <c r="G50" s="13">
        <v>2730.49</v>
      </c>
      <c r="H50" s="83">
        <f t="shared" si="6"/>
        <v>1.0921959999999999</v>
      </c>
      <c r="I50" s="13">
        <f t="shared" ref="I50:I51" si="8">F50/2*G50</f>
        <v>546.09799999999996</v>
      </c>
      <c r="J50" s="24"/>
      <c r="L50" s="20"/>
      <c r="M50" s="21"/>
      <c r="N50" s="22"/>
    </row>
    <row r="51" spans="1:22" ht="15.75" hidden="1" customHeight="1">
      <c r="A51" s="30">
        <v>21</v>
      </c>
      <c r="B51" s="79" t="s">
        <v>40</v>
      </c>
      <c r="C51" s="80" t="s">
        <v>41</v>
      </c>
      <c r="D51" s="79" t="s">
        <v>43</v>
      </c>
      <c r="E51" s="81">
        <v>1</v>
      </c>
      <c r="F51" s="82">
        <v>0.02</v>
      </c>
      <c r="G51" s="13">
        <v>5652.13</v>
      </c>
      <c r="H51" s="83">
        <f t="shared" si="6"/>
        <v>0.11304260000000001</v>
      </c>
      <c r="I51" s="13">
        <f t="shared" si="8"/>
        <v>56.521300000000004</v>
      </c>
      <c r="J51" s="24"/>
      <c r="L51" s="20"/>
      <c r="M51" s="21"/>
      <c r="N51" s="22"/>
    </row>
    <row r="52" spans="1:22" ht="15.75" customHeight="1">
      <c r="A52" s="30">
        <v>21</v>
      </c>
      <c r="B52" s="79" t="s">
        <v>42</v>
      </c>
      <c r="C52" s="80" t="s">
        <v>97</v>
      </c>
      <c r="D52" s="79" t="s">
        <v>74</v>
      </c>
      <c r="E52" s="81">
        <v>128</v>
      </c>
      <c r="F52" s="82">
        <f>SUM(E52)*3</f>
        <v>384</v>
      </c>
      <c r="G52" s="13">
        <v>65.67</v>
      </c>
      <c r="H52" s="83">
        <f t="shared" si="6"/>
        <v>25.217279999999999</v>
      </c>
      <c r="I52" s="13">
        <f>E52*G52</f>
        <v>8405.76</v>
      </c>
      <c r="J52" s="24"/>
      <c r="L52" s="20"/>
      <c r="M52" s="21"/>
      <c r="N52" s="22"/>
    </row>
    <row r="53" spans="1:22" ht="15.75" customHeight="1">
      <c r="A53" s="180" t="s">
        <v>151</v>
      </c>
      <c r="B53" s="181"/>
      <c r="C53" s="181"/>
      <c r="D53" s="181"/>
      <c r="E53" s="181"/>
      <c r="F53" s="181"/>
      <c r="G53" s="181"/>
      <c r="H53" s="181"/>
      <c r="I53" s="182"/>
      <c r="J53" s="24"/>
      <c r="L53" s="20"/>
      <c r="M53" s="21"/>
      <c r="N53" s="22"/>
    </row>
    <row r="54" spans="1:22" ht="15.75" hidden="1" customHeight="1">
      <c r="A54" s="30"/>
      <c r="B54" s="107" t="s">
        <v>44</v>
      </c>
      <c r="C54" s="80"/>
      <c r="D54" s="79"/>
      <c r="E54" s="81"/>
      <c r="F54" s="82"/>
      <c r="G54" s="82"/>
      <c r="H54" s="86"/>
      <c r="I54" s="87"/>
      <c r="J54" s="24"/>
      <c r="L54" s="20"/>
      <c r="M54" s="21"/>
      <c r="N54" s="22"/>
    </row>
    <row r="55" spans="1:22" ht="31.5" hidden="1" customHeight="1">
      <c r="A55" s="30">
        <v>17</v>
      </c>
      <c r="B55" s="79" t="s">
        <v>121</v>
      </c>
      <c r="C55" s="80" t="s">
        <v>102</v>
      </c>
      <c r="D55" s="79" t="s">
        <v>122</v>
      </c>
      <c r="E55" s="81">
        <v>163.30000000000001</v>
      </c>
      <c r="F55" s="82">
        <f>SUM(E55*6/100)</f>
        <v>9.798</v>
      </c>
      <c r="G55" s="13">
        <v>1547.28</v>
      </c>
      <c r="H55" s="83">
        <f>SUM(F55*G55/1000)</f>
        <v>15.160249439999999</v>
      </c>
      <c r="I55" s="13">
        <f>F55/6*G55</f>
        <v>2526.7082399999999</v>
      </c>
      <c r="J55" s="24"/>
      <c r="L55" s="20"/>
      <c r="M55" s="21"/>
      <c r="N55" s="22"/>
    </row>
    <row r="56" spans="1:22" ht="15.75" customHeight="1">
      <c r="A56" s="30"/>
      <c r="B56" s="107" t="s">
        <v>45</v>
      </c>
      <c r="C56" s="80"/>
      <c r="D56" s="79"/>
      <c r="E56" s="81"/>
      <c r="F56" s="82"/>
      <c r="G56" s="82"/>
      <c r="H56" s="83" t="s">
        <v>142</v>
      </c>
      <c r="I56" s="87"/>
      <c r="J56" s="24"/>
      <c r="L56" s="20"/>
      <c r="M56" s="21"/>
      <c r="N56" s="22"/>
    </row>
    <row r="57" spans="1:22" ht="15.75" hidden="1" customHeight="1">
      <c r="A57" s="30"/>
      <c r="B57" s="79" t="s">
        <v>46</v>
      </c>
      <c r="C57" s="80" t="s">
        <v>102</v>
      </c>
      <c r="D57" s="79" t="s">
        <v>55</v>
      </c>
      <c r="E57" s="90">
        <v>1155.2</v>
      </c>
      <c r="F57" s="91">
        <v>11.6</v>
      </c>
      <c r="G57" s="13">
        <v>793.61</v>
      </c>
      <c r="H57" s="92">
        <v>9.1679999999999993</v>
      </c>
      <c r="I57" s="13">
        <v>0</v>
      </c>
      <c r="J57" s="24"/>
      <c r="L57" s="20"/>
      <c r="M57" s="21"/>
      <c r="N57" s="22"/>
    </row>
    <row r="58" spans="1:22" ht="15.75" customHeight="1">
      <c r="A58" s="30">
        <v>22</v>
      </c>
      <c r="B58" s="93" t="s">
        <v>98</v>
      </c>
      <c r="C58" s="94" t="s">
        <v>25</v>
      </c>
      <c r="D58" s="93" t="s">
        <v>30</v>
      </c>
      <c r="E58" s="90">
        <v>255.2</v>
      </c>
      <c r="F58" s="95">
        <v>3062.4</v>
      </c>
      <c r="G58" s="75">
        <v>2.6</v>
      </c>
      <c r="H58" s="96">
        <f>G58*F58/1000</f>
        <v>7.9622400000000004</v>
      </c>
      <c r="I58" s="13">
        <f>F58/12*G58</f>
        <v>663.5200000000001</v>
      </c>
      <c r="J58" s="24"/>
      <c r="L58" s="20"/>
      <c r="M58" s="21"/>
      <c r="N58" s="22"/>
    </row>
    <row r="59" spans="1:22" ht="15.75" customHeight="1">
      <c r="A59" s="30"/>
      <c r="B59" s="117" t="s">
        <v>47</v>
      </c>
      <c r="C59" s="94"/>
      <c r="D59" s="93"/>
      <c r="E59" s="90"/>
      <c r="F59" s="95"/>
      <c r="G59" s="95"/>
      <c r="H59" s="96" t="s">
        <v>142</v>
      </c>
      <c r="I59" s="87"/>
      <c r="J59" s="24"/>
      <c r="L59" s="20"/>
      <c r="M59" s="21"/>
      <c r="N59" s="22"/>
    </row>
    <row r="60" spans="1:22" ht="15.75" customHeight="1">
      <c r="A60" s="30">
        <v>23</v>
      </c>
      <c r="B60" s="14" t="s">
        <v>48</v>
      </c>
      <c r="C60" s="16" t="s">
        <v>97</v>
      </c>
      <c r="D60" s="14" t="s">
        <v>69</v>
      </c>
      <c r="E60" s="19">
        <v>5</v>
      </c>
      <c r="F60" s="82">
        <v>5</v>
      </c>
      <c r="G60" s="13">
        <v>222.4</v>
      </c>
      <c r="H60" s="97">
        <f t="shared" ref="H60:H67" si="9">SUM(F60*G60/1000)</f>
        <v>1.1120000000000001</v>
      </c>
      <c r="I60" s="13">
        <f>G60*5</f>
        <v>1112</v>
      </c>
      <c r="J60" s="24"/>
      <c r="L60" s="20"/>
    </row>
    <row r="61" spans="1:22" ht="15.75" hidden="1" customHeight="1">
      <c r="A61" s="30"/>
      <c r="B61" s="14" t="s">
        <v>49</v>
      </c>
      <c r="C61" s="16" t="s">
        <v>97</v>
      </c>
      <c r="D61" s="14" t="s">
        <v>141</v>
      </c>
      <c r="E61" s="19">
        <v>4</v>
      </c>
      <c r="F61" s="82">
        <v>4</v>
      </c>
      <c r="G61" s="13">
        <v>76.25</v>
      </c>
      <c r="H61" s="97">
        <f t="shared" si="9"/>
        <v>0.30499999999999999</v>
      </c>
      <c r="I61" s="13">
        <v>0</v>
      </c>
      <c r="J61" s="24"/>
      <c r="L61" s="20"/>
    </row>
    <row r="62" spans="1:22" ht="15.75" customHeight="1">
      <c r="A62" s="30">
        <v>24</v>
      </c>
      <c r="B62" s="14" t="s">
        <v>50</v>
      </c>
      <c r="C62" s="16" t="s">
        <v>123</v>
      </c>
      <c r="D62" s="14" t="s">
        <v>55</v>
      </c>
      <c r="E62" s="81">
        <v>15552</v>
      </c>
      <c r="F62" s="13">
        <f>SUM(E62/100)</f>
        <v>155.52000000000001</v>
      </c>
      <c r="G62" s="13">
        <v>212.15</v>
      </c>
      <c r="H62" s="97">
        <f t="shared" si="9"/>
        <v>32.993568000000003</v>
      </c>
      <c r="I62" s="13">
        <f>F62*G62</f>
        <v>32993.568000000007</v>
      </c>
    </row>
    <row r="63" spans="1:22" ht="15.75" customHeight="1">
      <c r="A63" s="30">
        <v>25</v>
      </c>
      <c r="B63" s="14" t="s">
        <v>51</v>
      </c>
      <c r="C63" s="16" t="s">
        <v>124</v>
      </c>
      <c r="D63" s="14"/>
      <c r="E63" s="81">
        <v>15552</v>
      </c>
      <c r="F63" s="13">
        <f>SUM(E63/1000)</f>
        <v>15.552</v>
      </c>
      <c r="G63" s="13">
        <v>165.21</v>
      </c>
      <c r="H63" s="97">
        <f t="shared" si="9"/>
        <v>2.5693459200000004</v>
      </c>
      <c r="I63" s="13">
        <f t="shared" ref="I63:I66" si="10">F63*G63</f>
        <v>2569.3459200000002</v>
      </c>
    </row>
    <row r="64" spans="1:22" ht="15.75" customHeight="1">
      <c r="A64" s="30">
        <v>26</v>
      </c>
      <c r="B64" s="14" t="s">
        <v>52</v>
      </c>
      <c r="C64" s="16" t="s">
        <v>81</v>
      </c>
      <c r="D64" s="14" t="s">
        <v>55</v>
      </c>
      <c r="E64" s="81">
        <v>2432</v>
      </c>
      <c r="F64" s="13">
        <f>SUM(E64/100)</f>
        <v>24.32</v>
      </c>
      <c r="G64" s="13">
        <v>2074.63</v>
      </c>
      <c r="H64" s="97">
        <f t="shared" si="9"/>
        <v>50.455001600000003</v>
      </c>
      <c r="I64" s="13">
        <f t="shared" si="10"/>
        <v>50455.001600000003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customHeight="1">
      <c r="A65" s="30">
        <v>27</v>
      </c>
      <c r="B65" s="98" t="s">
        <v>75</v>
      </c>
      <c r="C65" s="16" t="s">
        <v>33</v>
      </c>
      <c r="D65" s="14"/>
      <c r="E65" s="81">
        <v>34.5</v>
      </c>
      <c r="F65" s="13">
        <f>SUM(E65)</f>
        <v>34.5</v>
      </c>
      <c r="G65" s="13">
        <v>45.32</v>
      </c>
      <c r="H65" s="97">
        <f t="shared" si="9"/>
        <v>1.5635399999999999</v>
      </c>
      <c r="I65" s="13">
        <f t="shared" si="10"/>
        <v>1563.54</v>
      </c>
      <c r="J65" s="26"/>
      <c r="K65" s="26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31.5" customHeight="1">
      <c r="A66" s="30">
        <v>28</v>
      </c>
      <c r="B66" s="98" t="s">
        <v>76</v>
      </c>
      <c r="C66" s="16" t="s">
        <v>33</v>
      </c>
      <c r="D66" s="14"/>
      <c r="E66" s="81">
        <f>E65</f>
        <v>34.5</v>
      </c>
      <c r="F66" s="13">
        <f>SUM(E66)</f>
        <v>34.5</v>
      </c>
      <c r="G66" s="13">
        <v>42.28</v>
      </c>
      <c r="H66" s="97">
        <f t="shared" si="9"/>
        <v>1.4586600000000001</v>
      </c>
      <c r="I66" s="13">
        <f t="shared" si="10"/>
        <v>1458.66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30"/>
      <c r="B67" s="14" t="s">
        <v>59</v>
      </c>
      <c r="C67" s="16" t="s">
        <v>60</v>
      </c>
      <c r="D67" s="14" t="s">
        <v>55</v>
      </c>
      <c r="E67" s="19">
        <v>4</v>
      </c>
      <c r="F67" s="82">
        <f>SUM(E67)</f>
        <v>4</v>
      </c>
      <c r="G67" s="13">
        <v>49.88</v>
      </c>
      <c r="H67" s="97">
        <f t="shared" si="9"/>
        <v>0.19952</v>
      </c>
      <c r="I67" s="13">
        <v>0</v>
      </c>
      <c r="J67" s="5"/>
      <c r="K67" s="5"/>
      <c r="L67" s="5"/>
      <c r="M67" s="5"/>
      <c r="N67" s="5"/>
      <c r="O67" s="5"/>
      <c r="P67" s="5"/>
      <c r="Q67" s="5"/>
      <c r="R67" s="183"/>
      <c r="S67" s="183"/>
      <c r="T67" s="183"/>
      <c r="U67" s="183"/>
    </row>
    <row r="68" spans="1:21" ht="15.75" hidden="1" customHeight="1">
      <c r="A68" s="30"/>
      <c r="B68" s="67" t="s">
        <v>77</v>
      </c>
      <c r="C68" s="16"/>
      <c r="D68" s="14"/>
      <c r="E68" s="19"/>
      <c r="F68" s="13"/>
      <c r="G68" s="13"/>
      <c r="H68" s="97" t="s">
        <v>142</v>
      </c>
      <c r="I68" s="87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1" ht="15.75" hidden="1" customHeight="1">
      <c r="A69" s="30">
        <v>19</v>
      </c>
      <c r="B69" s="14" t="s">
        <v>78</v>
      </c>
      <c r="C69" s="16" t="s">
        <v>79</v>
      </c>
      <c r="D69" s="14"/>
      <c r="E69" s="19">
        <v>4</v>
      </c>
      <c r="F69" s="13">
        <v>0.4</v>
      </c>
      <c r="G69" s="13">
        <v>501.62</v>
      </c>
      <c r="H69" s="97">
        <f>SUM(F69*G69/1000)</f>
        <v>0.20064800000000002</v>
      </c>
      <c r="I69" s="13">
        <f>G69*0.2</f>
        <v>100.32400000000001</v>
      </c>
    </row>
    <row r="70" spans="1:21" ht="15.75" hidden="1" customHeight="1">
      <c r="A70" s="30"/>
      <c r="B70" s="14" t="s">
        <v>137</v>
      </c>
      <c r="C70" s="16" t="s">
        <v>97</v>
      </c>
      <c r="D70" s="14"/>
      <c r="E70" s="19">
        <v>1</v>
      </c>
      <c r="F70" s="13">
        <f>E70</f>
        <v>1</v>
      </c>
      <c r="G70" s="13">
        <v>852.99</v>
      </c>
      <c r="H70" s="97">
        <f>SUM(F70*G70/1000)</f>
        <v>0.85299000000000003</v>
      </c>
      <c r="I70" s="13">
        <v>0</v>
      </c>
    </row>
    <row r="71" spans="1:21" ht="15.75" hidden="1" customHeight="1">
      <c r="A71" s="30"/>
      <c r="B71" s="101" t="s">
        <v>80</v>
      </c>
      <c r="C71" s="16"/>
      <c r="D71" s="14"/>
      <c r="E71" s="19"/>
      <c r="F71" s="19"/>
      <c r="G71" s="19"/>
      <c r="H71" s="19"/>
      <c r="I71" s="87"/>
    </row>
    <row r="72" spans="1:21" ht="15.75" hidden="1" customHeight="1">
      <c r="A72" s="30"/>
      <c r="B72" s="53" t="s">
        <v>127</v>
      </c>
      <c r="C72" s="16" t="s">
        <v>81</v>
      </c>
      <c r="D72" s="14"/>
      <c r="E72" s="19"/>
      <c r="F72" s="13">
        <v>0.1</v>
      </c>
      <c r="G72" s="13">
        <v>2759.44</v>
      </c>
      <c r="H72" s="100">
        <f t="shared" ref="H72" si="11">SUM(F72*G72/1000)</f>
        <v>0.27594400000000002</v>
      </c>
      <c r="I72" s="13">
        <v>0</v>
      </c>
    </row>
    <row r="73" spans="1:21" ht="15.75" hidden="1" customHeight="1">
      <c r="A73" s="30"/>
      <c r="B73" s="67" t="s">
        <v>125</v>
      </c>
      <c r="C73" s="101"/>
      <c r="D73" s="32"/>
      <c r="E73" s="33"/>
      <c r="F73" s="102"/>
      <c r="G73" s="102"/>
      <c r="H73" s="103">
        <f>SUM(H55:H72)</f>
        <v>124.27670696000001</v>
      </c>
      <c r="I73" s="85"/>
    </row>
    <row r="74" spans="1:21" ht="15.75" hidden="1" customHeight="1">
      <c r="A74" s="108"/>
      <c r="B74" s="93" t="s">
        <v>126</v>
      </c>
      <c r="C74" s="118"/>
      <c r="D74" s="119"/>
      <c r="E74" s="104"/>
      <c r="F74" s="109">
        <f>232/10</f>
        <v>23.2</v>
      </c>
      <c r="G74" s="109">
        <v>11370</v>
      </c>
      <c r="H74" s="120">
        <f>G74*F74/1000</f>
        <v>263.78399999999999</v>
      </c>
      <c r="I74" s="109">
        <v>0</v>
      </c>
    </row>
    <row r="75" spans="1:21" ht="15.75" customHeight="1">
      <c r="A75" s="186" t="s">
        <v>152</v>
      </c>
      <c r="B75" s="187"/>
      <c r="C75" s="187"/>
      <c r="D75" s="187"/>
      <c r="E75" s="187"/>
      <c r="F75" s="187"/>
      <c r="G75" s="187"/>
      <c r="H75" s="187"/>
      <c r="I75" s="188"/>
    </row>
    <row r="76" spans="1:21" ht="15.75" customHeight="1">
      <c r="A76" s="110">
        <v>29</v>
      </c>
      <c r="B76" s="111" t="s">
        <v>128</v>
      </c>
      <c r="C76" s="121" t="s">
        <v>56</v>
      </c>
      <c r="D76" s="122" t="s">
        <v>57</v>
      </c>
      <c r="E76" s="115">
        <v>3053.4</v>
      </c>
      <c r="F76" s="115">
        <f>SUM(E76*12)</f>
        <v>36640.800000000003</v>
      </c>
      <c r="G76" s="115">
        <v>2.1</v>
      </c>
      <c r="H76" s="123">
        <f>SUM(F76*G76/1000)</f>
        <v>76.94568000000001</v>
      </c>
      <c r="I76" s="115">
        <f>F76/12*G76</f>
        <v>6412.14</v>
      </c>
    </row>
    <row r="77" spans="1:21" ht="31.5" customHeight="1">
      <c r="A77" s="30">
        <v>30</v>
      </c>
      <c r="B77" s="14" t="s">
        <v>82</v>
      </c>
      <c r="C77" s="16"/>
      <c r="D77" s="122" t="s">
        <v>57</v>
      </c>
      <c r="E77" s="81">
        <f>E76</f>
        <v>3053.4</v>
      </c>
      <c r="F77" s="13">
        <f>E77*12</f>
        <v>36640.800000000003</v>
      </c>
      <c r="G77" s="13">
        <v>1.63</v>
      </c>
      <c r="H77" s="100">
        <f>F77*G77/1000</f>
        <v>59.724504000000003</v>
      </c>
      <c r="I77" s="13">
        <f>F77/12*G77</f>
        <v>4977.0419999999995</v>
      </c>
    </row>
    <row r="78" spans="1:21" ht="15.75" customHeight="1">
      <c r="A78" s="30"/>
      <c r="B78" s="44" t="s">
        <v>85</v>
      </c>
      <c r="C78" s="101"/>
      <c r="D78" s="99"/>
      <c r="E78" s="102"/>
      <c r="F78" s="102"/>
      <c r="G78" s="102"/>
      <c r="H78" s="103">
        <f>SUM(H77)</f>
        <v>59.724504000000003</v>
      </c>
      <c r="I78" s="102">
        <f>I16+I17+I18+I19+I20+I21+I22+I23+I24+I25+I26+I29+I30+I31+I32+I43+I44+I45+I46+I47+I48+I49+I50+I52+I58+I60+I62+I63+I64+I65+I66+I76+I77</f>
        <v>146219.77272588891</v>
      </c>
    </row>
    <row r="79" spans="1:21" ht="15.75" customHeight="1">
      <c r="A79" s="169" t="s">
        <v>62</v>
      </c>
      <c r="B79" s="170"/>
      <c r="C79" s="170"/>
      <c r="D79" s="170"/>
      <c r="E79" s="170"/>
      <c r="F79" s="170"/>
      <c r="G79" s="170"/>
      <c r="H79" s="170"/>
      <c r="I79" s="171"/>
    </row>
    <row r="80" spans="1:21" ht="15.75" customHeight="1">
      <c r="A80" s="30">
        <v>31</v>
      </c>
      <c r="B80" s="58" t="s">
        <v>107</v>
      </c>
      <c r="C80" s="59" t="s">
        <v>97</v>
      </c>
      <c r="D80" s="53"/>
      <c r="E80" s="13"/>
      <c r="F80" s="13">
        <v>390</v>
      </c>
      <c r="G80" s="13">
        <v>53.42</v>
      </c>
      <c r="H80" s="100">
        <f>G80*F80/1000</f>
        <v>20.8338</v>
      </c>
      <c r="I80" s="13">
        <f>G80*65</f>
        <v>3472.3</v>
      </c>
    </row>
    <row r="81" spans="1:9" ht="15.75" customHeight="1">
      <c r="A81" s="30">
        <v>32</v>
      </c>
      <c r="B81" s="105" t="s">
        <v>191</v>
      </c>
      <c r="C81" s="106" t="s">
        <v>99</v>
      </c>
      <c r="D81" s="138"/>
      <c r="E81" s="37"/>
      <c r="F81" s="37">
        <f>(10+10+10+3)/3</f>
        <v>11</v>
      </c>
      <c r="G81" s="37">
        <v>1120.8900000000001</v>
      </c>
      <c r="H81" s="100">
        <f t="shared" ref="H81:H82" si="12">F81*G81/1000</f>
        <v>12.329790000000001</v>
      </c>
      <c r="I81" s="13">
        <f>G81*(10/3)</f>
        <v>3736.3000000000006</v>
      </c>
    </row>
    <row r="82" spans="1:9" ht="31.5" customHeight="1">
      <c r="A82" s="30">
        <v>33</v>
      </c>
      <c r="B82" s="137" t="s">
        <v>195</v>
      </c>
      <c r="C82" s="30" t="s">
        <v>196</v>
      </c>
      <c r="D82" s="53"/>
      <c r="E82" s="13"/>
      <c r="F82" s="13">
        <v>1</v>
      </c>
      <c r="G82" s="13">
        <v>403.69</v>
      </c>
      <c r="H82" s="100">
        <f t="shared" si="12"/>
        <v>0.40368999999999999</v>
      </c>
      <c r="I82" s="13">
        <f>G82</f>
        <v>403.69</v>
      </c>
    </row>
    <row r="83" spans="1:9" ht="15.75" customHeight="1">
      <c r="A83" s="30"/>
      <c r="B83" s="51" t="s">
        <v>53</v>
      </c>
      <c r="C83" s="47"/>
      <c r="D83" s="55"/>
      <c r="E83" s="47">
        <v>1</v>
      </c>
      <c r="F83" s="47"/>
      <c r="G83" s="47"/>
      <c r="H83" s="47"/>
      <c r="I83" s="33">
        <f>SUM(I80:I82)</f>
        <v>7612.29</v>
      </c>
    </row>
    <row r="84" spans="1:9" ht="15.75" customHeight="1">
      <c r="A84" s="30"/>
      <c r="B84" s="53" t="s">
        <v>83</v>
      </c>
      <c r="C84" s="15"/>
      <c r="D84" s="15"/>
      <c r="E84" s="48"/>
      <c r="F84" s="48"/>
      <c r="G84" s="49"/>
      <c r="H84" s="49"/>
      <c r="I84" s="18">
        <v>0</v>
      </c>
    </row>
    <row r="85" spans="1:9" ht="15.75" customHeight="1">
      <c r="A85" s="56"/>
      <c r="B85" s="52" t="s">
        <v>170</v>
      </c>
      <c r="C85" s="36"/>
      <c r="D85" s="36"/>
      <c r="E85" s="36"/>
      <c r="F85" s="36"/>
      <c r="G85" s="36"/>
      <c r="H85" s="36"/>
      <c r="I85" s="50">
        <f>I78+I83</f>
        <v>153832.06272588891</v>
      </c>
    </row>
    <row r="86" spans="1:9" ht="15.75">
      <c r="A86" s="184" t="s">
        <v>197</v>
      </c>
      <c r="B86" s="184"/>
      <c r="C86" s="184"/>
      <c r="D86" s="184"/>
      <c r="E86" s="184"/>
      <c r="F86" s="184"/>
      <c r="G86" s="184"/>
      <c r="H86" s="184"/>
      <c r="I86" s="184"/>
    </row>
    <row r="87" spans="1:9" ht="15.75">
      <c r="A87" s="62"/>
      <c r="B87" s="193" t="s">
        <v>198</v>
      </c>
      <c r="C87" s="193"/>
      <c r="D87" s="193"/>
      <c r="E87" s="193"/>
      <c r="F87" s="193"/>
      <c r="G87" s="193"/>
      <c r="H87" s="78"/>
      <c r="I87" s="3"/>
    </row>
    <row r="88" spans="1:9">
      <c r="A88" s="65"/>
      <c r="B88" s="190" t="s">
        <v>6</v>
      </c>
      <c r="C88" s="190"/>
      <c r="D88" s="190"/>
      <c r="E88" s="190"/>
      <c r="F88" s="190"/>
      <c r="G88" s="190"/>
      <c r="H88" s="25"/>
      <c r="I88" s="5"/>
    </row>
    <row r="89" spans="1:9" ht="15.75" customHeight="1">
      <c r="A89" s="10"/>
      <c r="B89" s="10"/>
      <c r="C89" s="10"/>
      <c r="D89" s="10"/>
      <c r="E89" s="10"/>
      <c r="F89" s="10"/>
      <c r="G89" s="10"/>
      <c r="H89" s="10"/>
      <c r="I89" s="10"/>
    </row>
    <row r="90" spans="1:9" ht="15.75" customHeight="1">
      <c r="A90" s="194" t="s">
        <v>7</v>
      </c>
      <c r="B90" s="194"/>
      <c r="C90" s="194"/>
      <c r="D90" s="194"/>
      <c r="E90" s="194"/>
      <c r="F90" s="194"/>
      <c r="G90" s="194"/>
      <c r="H90" s="194"/>
      <c r="I90" s="194"/>
    </row>
    <row r="91" spans="1:9" ht="15.75" customHeight="1">
      <c r="A91" s="194" t="s">
        <v>8</v>
      </c>
      <c r="B91" s="194"/>
      <c r="C91" s="194"/>
      <c r="D91" s="194"/>
      <c r="E91" s="194"/>
      <c r="F91" s="194"/>
      <c r="G91" s="194"/>
      <c r="H91" s="194"/>
      <c r="I91" s="194"/>
    </row>
    <row r="92" spans="1:9" ht="15.75" customHeight="1">
      <c r="A92" s="177" t="s">
        <v>63</v>
      </c>
      <c r="B92" s="177"/>
      <c r="C92" s="177"/>
      <c r="D92" s="177"/>
      <c r="E92" s="177"/>
      <c r="F92" s="177"/>
      <c r="G92" s="177"/>
      <c r="H92" s="177"/>
      <c r="I92" s="177"/>
    </row>
    <row r="93" spans="1:9" ht="15.75" customHeight="1">
      <c r="A93" s="11"/>
    </row>
    <row r="94" spans="1:9" ht="15.75" customHeight="1">
      <c r="A94" s="178" t="s">
        <v>9</v>
      </c>
      <c r="B94" s="178"/>
      <c r="C94" s="178"/>
      <c r="D94" s="178"/>
      <c r="E94" s="178"/>
      <c r="F94" s="178"/>
      <c r="G94" s="178"/>
      <c r="H94" s="178"/>
      <c r="I94" s="178"/>
    </row>
    <row r="95" spans="1:9" ht="15.75" customHeight="1">
      <c r="A95" s="4"/>
    </row>
    <row r="96" spans="1:9" ht="15.75" customHeight="1">
      <c r="B96" s="61" t="s">
        <v>10</v>
      </c>
      <c r="C96" s="189" t="s">
        <v>96</v>
      </c>
      <c r="D96" s="189"/>
      <c r="E96" s="189"/>
      <c r="F96" s="76"/>
      <c r="I96" s="64"/>
    </row>
    <row r="97" spans="1:9" ht="15.75" customHeight="1">
      <c r="A97" s="65"/>
      <c r="C97" s="190" t="s">
        <v>11</v>
      </c>
      <c r="D97" s="190"/>
      <c r="E97" s="190"/>
      <c r="F97" s="25"/>
      <c r="I97" s="63" t="s">
        <v>12</v>
      </c>
    </row>
    <row r="98" spans="1:9" ht="15.75" customHeight="1">
      <c r="A98" s="26"/>
      <c r="C98" s="12"/>
      <c r="D98" s="12"/>
      <c r="G98" s="12"/>
      <c r="H98" s="12"/>
    </row>
    <row r="99" spans="1:9" ht="15.75" customHeight="1">
      <c r="B99" s="61" t="s">
        <v>13</v>
      </c>
      <c r="C99" s="191"/>
      <c r="D99" s="191"/>
      <c r="E99" s="191"/>
      <c r="F99" s="77"/>
      <c r="I99" s="64"/>
    </row>
    <row r="100" spans="1:9" ht="15.75" customHeight="1">
      <c r="A100" s="65"/>
      <c r="C100" s="183" t="s">
        <v>11</v>
      </c>
      <c r="D100" s="183"/>
      <c r="E100" s="183"/>
      <c r="F100" s="65"/>
      <c r="I100" s="63" t="s">
        <v>12</v>
      </c>
    </row>
    <row r="101" spans="1:9" ht="15.75" customHeight="1">
      <c r="A101" s="4" t="s">
        <v>14</v>
      </c>
    </row>
    <row r="102" spans="1:9">
      <c r="A102" s="192" t="s">
        <v>15</v>
      </c>
      <c r="B102" s="192"/>
      <c r="C102" s="192"/>
      <c r="D102" s="192"/>
      <c r="E102" s="192"/>
      <c r="F102" s="192"/>
      <c r="G102" s="192"/>
      <c r="H102" s="192"/>
      <c r="I102" s="192"/>
    </row>
    <row r="103" spans="1:9" ht="45" customHeight="1">
      <c r="A103" s="185" t="s">
        <v>16</v>
      </c>
      <c r="B103" s="185"/>
      <c r="C103" s="185"/>
      <c r="D103" s="185"/>
      <c r="E103" s="185"/>
      <c r="F103" s="185"/>
      <c r="G103" s="185"/>
      <c r="H103" s="185"/>
      <c r="I103" s="185"/>
    </row>
    <row r="104" spans="1:9" ht="30" customHeight="1">
      <c r="A104" s="185" t="s">
        <v>17</v>
      </c>
      <c r="B104" s="185"/>
      <c r="C104" s="185"/>
      <c r="D104" s="185"/>
      <c r="E104" s="185"/>
      <c r="F104" s="185"/>
      <c r="G104" s="185"/>
      <c r="H104" s="185"/>
      <c r="I104" s="185"/>
    </row>
    <row r="105" spans="1:9" ht="30" customHeight="1">
      <c r="A105" s="185" t="s">
        <v>21</v>
      </c>
      <c r="B105" s="185"/>
      <c r="C105" s="185"/>
      <c r="D105" s="185"/>
      <c r="E105" s="185"/>
      <c r="F105" s="185"/>
      <c r="G105" s="185"/>
      <c r="H105" s="185"/>
      <c r="I105" s="185"/>
    </row>
    <row r="106" spans="1:9" ht="15" customHeight="1">
      <c r="A106" s="185" t="s">
        <v>20</v>
      </c>
      <c r="B106" s="185"/>
      <c r="C106" s="185"/>
      <c r="D106" s="185"/>
      <c r="E106" s="185"/>
      <c r="F106" s="185"/>
      <c r="G106" s="185"/>
      <c r="H106" s="185"/>
      <c r="I106" s="185"/>
    </row>
  </sheetData>
  <autoFilter ref="I12:I62"/>
  <mergeCells count="29">
    <mergeCell ref="A103:I103"/>
    <mergeCell ref="A104:I104"/>
    <mergeCell ref="A105:I105"/>
    <mergeCell ref="A106:I106"/>
    <mergeCell ref="A94:I94"/>
    <mergeCell ref="C96:E96"/>
    <mergeCell ref="C97:E97"/>
    <mergeCell ref="C99:E99"/>
    <mergeCell ref="C100:E100"/>
    <mergeCell ref="A102:I102"/>
    <mergeCell ref="A92:I92"/>
    <mergeCell ref="A15:I15"/>
    <mergeCell ref="A27:I27"/>
    <mergeCell ref="A42:I42"/>
    <mergeCell ref="A53:I53"/>
    <mergeCell ref="A79:I79"/>
    <mergeCell ref="A86:I86"/>
    <mergeCell ref="B87:G87"/>
    <mergeCell ref="B88:G88"/>
    <mergeCell ref="A90:I90"/>
    <mergeCell ref="A91:I91"/>
    <mergeCell ref="R67:U67"/>
    <mergeCell ref="A75:I75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11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91</v>
      </c>
      <c r="I1" s="27"/>
      <c r="J1" s="1"/>
      <c r="K1" s="1"/>
      <c r="L1" s="1"/>
      <c r="M1" s="1"/>
    </row>
    <row r="2" spans="1:13" ht="15.75" customHeight="1">
      <c r="A2" s="29" t="s">
        <v>64</v>
      </c>
      <c r="J2" s="2"/>
      <c r="K2" s="2"/>
      <c r="L2" s="2"/>
      <c r="M2" s="2"/>
    </row>
    <row r="3" spans="1:13" ht="15.75" customHeight="1">
      <c r="A3" s="172" t="s">
        <v>160</v>
      </c>
      <c r="B3" s="172"/>
      <c r="C3" s="172"/>
      <c r="D3" s="172"/>
      <c r="E3" s="172"/>
      <c r="F3" s="172"/>
      <c r="G3" s="172"/>
      <c r="H3" s="172"/>
      <c r="I3" s="172"/>
      <c r="J3" s="3"/>
      <c r="K3" s="3"/>
      <c r="L3" s="3"/>
    </row>
    <row r="4" spans="1:13" ht="31.5" customHeight="1">
      <c r="A4" s="173" t="s">
        <v>129</v>
      </c>
      <c r="B4" s="173"/>
      <c r="C4" s="173"/>
      <c r="D4" s="173"/>
      <c r="E4" s="173"/>
      <c r="F4" s="173"/>
      <c r="G4" s="173"/>
      <c r="H4" s="173"/>
      <c r="I4" s="173"/>
    </row>
    <row r="5" spans="1:13" ht="15.75" customHeight="1">
      <c r="A5" s="172" t="s">
        <v>199</v>
      </c>
      <c r="B5" s="174"/>
      <c r="C5" s="174"/>
      <c r="D5" s="174"/>
      <c r="E5" s="174"/>
      <c r="F5" s="174"/>
      <c r="G5" s="174"/>
      <c r="H5" s="174"/>
      <c r="I5" s="174"/>
      <c r="J5" s="2"/>
      <c r="K5" s="2"/>
      <c r="L5" s="2"/>
      <c r="M5" s="2"/>
    </row>
    <row r="6" spans="1:13" ht="15.75" customHeight="1">
      <c r="A6" s="2"/>
      <c r="B6" s="66"/>
      <c r="C6" s="66"/>
      <c r="D6" s="66"/>
      <c r="E6" s="66"/>
      <c r="F6" s="66"/>
      <c r="G6" s="66"/>
      <c r="H6" s="66"/>
      <c r="I6" s="31">
        <v>42916</v>
      </c>
      <c r="J6" s="2"/>
      <c r="K6" s="2"/>
      <c r="L6" s="2"/>
      <c r="M6" s="2"/>
    </row>
    <row r="7" spans="1:13" ht="15.75" customHeight="1">
      <c r="B7" s="61"/>
      <c r="C7" s="61"/>
      <c r="D7" s="6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75" t="s">
        <v>166</v>
      </c>
      <c r="B8" s="175"/>
      <c r="C8" s="175"/>
      <c r="D8" s="175"/>
      <c r="E8" s="175"/>
      <c r="F8" s="175"/>
      <c r="G8" s="175"/>
      <c r="H8" s="175"/>
      <c r="I8" s="17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76" t="s">
        <v>247</v>
      </c>
      <c r="B10" s="176"/>
      <c r="C10" s="176"/>
      <c r="D10" s="176"/>
      <c r="E10" s="176"/>
      <c r="F10" s="176"/>
      <c r="G10" s="176"/>
      <c r="H10" s="176"/>
      <c r="I10" s="17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68" t="s">
        <v>61</v>
      </c>
      <c r="B14" s="168"/>
      <c r="C14" s="168"/>
      <c r="D14" s="168"/>
      <c r="E14" s="168"/>
      <c r="F14" s="168"/>
      <c r="G14" s="168"/>
      <c r="H14" s="168"/>
      <c r="I14" s="168"/>
      <c r="J14" s="8"/>
      <c r="K14" s="8"/>
      <c r="L14" s="8"/>
      <c r="M14" s="8"/>
    </row>
    <row r="15" spans="1:13" ht="15.75" customHeight="1">
      <c r="A15" s="179" t="s">
        <v>4</v>
      </c>
      <c r="B15" s="179"/>
      <c r="C15" s="179"/>
      <c r="D15" s="179"/>
      <c r="E15" s="179"/>
      <c r="F15" s="179"/>
      <c r="G15" s="179"/>
      <c r="H15" s="179"/>
      <c r="I15" s="179"/>
      <c r="J15" s="8"/>
      <c r="K15" s="8"/>
      <c r="L15" s="8"/>
      <c r="M15" s="8"/>
    </row>
    <row r="16" spans="1:13" ht="15.75" customHeight="1">
      <c r="A16" s="30">
        <v>1</v>
      </c>
      <c r="B16" s="79" t="s">
        <v>92</v>
      </c>
      <c r="C16" s="80" t="s">
        <v>102</v>
      </c>
      <c r="D16" s="79" t="s">
        <v>130</v>
      </c>
      <c r="E16" s="81">
        <v>92.5</v>
      </c>
      <c r="F16" s="82">
        <f>SUM(E16*156/100)</f>
        <v>144.30000000000001</v>
      </c>
      <c r="G16" s="82">
        <v>175.38</v>
      </c>
      <c r="H16" s="83">
        <f t="shared" ref="H16:H24" si="0">SUM(F16*G16/1000)</f>
        <v>25.307334000000001</v>
      </c>
      <c r="I16" s="13">
        <f>F16/12*G16</f>
        <v>2108.9445000000001</v>
      </c>
      <c r="J16" s="8"/>
      <c r="K16" s="8"/>
      <c r="L16" s="8"/>
      <c r="M16" s="8"/>
    </row>
    <row r="17" spans="1:13" ht="15.75" customHeight="1">
      <c r="A17" s="30">
        <v>2</v>
      </c>
      <c r="B17" s="79" t="s">
        <v>111</v>
      </c>
      <c r="C17" s="80" t="s">
        <v>102</v>
      </c>
      <c r="D17" s="79" t="s">
        <v>131</v>
      </c>
      <c r="E17" s="81">
        <v>288.8</v>
      </c>
      <c r="F17" s="82">
        <f>SUM(E17*104/100)</f>
        <v>300.35200000000003</v>
      </c>
      <c r="G17" s="82">
        <v>175.38</v>
      </c>
      <c r="H17" s="83">
        <f t="shared" si="0"/>
        <v>52.67573376</v>
      </c>
      <c r="I17" s="13">
        <f>F17/12*G17</f>
        <v>4389.6444800000008</v>
      </c>
      <c r="J17" s="23"/>
      <c r="K17" s="8"/>
      <c r="L17" s="8"/>
      <c r="M17" s="8"/>
    </row>
    <row r="18" spans="1:13" ht="15.75" customHeight="1">
      <c r="A18" s="30">
        <v>3</v>
      </c>
      <c r="B18" s="79" t="s">
        <v>148</v>
      </c>
      <c r="C18" s="80" t="s">
        <v>102</v>
      </c>
      <c r="D18" s="79" t="s">
        <v>167</v>
      </c>
      <c r="E18" s="81">
        <f>SUM(E16+E17)</f>
        <v>381.3</v>
      </c>
      <c r="F18" s="82">
        <f>SUM(E18*12/100)</f>
        <v>45.756</v>
      </c>
      <c r="G18" s="82">
        <v>504.5</v>
      </c>
      <c r="H18" s="83">
        <f t="shared" si="0"/>
        <v>23.083902000000002</v>
      </c>
      <c r="I18" s="13">
        <f>F18/12*G18</f>
        <v>1923.6585</v>
      </c>
      <c r="J18" s="23"/>
      <c r="K18" s="8"/>
      <c r="L18" s="8"/>
      <c r="M18" s="8"/>
    </row>
    <row r="19" spans="1:13" ht="15.75" customHeight="1">
      <c r="A19" s="30">
        <v>4</v>
      </c>
      <c r="B19" s="79" t="s">
        <v>112</v>
      </c>
      <c r="C19" s="80" t="s">
        <v>113</v>
      </c>
      <c r="D19" s="79" t="s">
        <v>114</v>
      </c>
      <c r="E19" s="81">
        <v>19.2</v>
      </c>
      <c r="F19" s="82">
        <f>SUM(E19/10)</f>
        <v>1.92</v>
      </c>
      <c r="G19" s="82">
        <v>170.16</v>
      </c>
      <c r="H19" s="83">
        <f t="shared" si="0"/>
        <v>0.32670719999999998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79" t="s">
        <v>101</v>
      </c>
      <c r="C20" s="80" t="s">
        <v>102</v>
      </c>
      <c r="D20" s="79" t="s">
        <v>30</v>
      </c>
      <c r="E20" s="81">
        <v>27.3</v>
      </c>
      <c r="F20" s="82">
        <f>SUM(E20*12/100)</f>
        <v>3.2760000000000002</v>
      </c>
      <c r="G20" s="82">
        <v>217.88</v>
      </c>
      <c r="H20" s="83">
        <f t="shared" si="0"/>
        <v>0.71377488</v>
      </c>
      <c r="I20" s="13">
        <f>F20/12*G20</f>
        <v>59.48124</v>
      </c>
      <c r="J20" s="23"/>
      <c r="K20" s="8"/>
      <c r="L20" s="8"/>
      <c r="M20" s="8"/>
    </row>
    <row r="21" spans="1:13" ht="15.75" customHeight="1">
      <c r="A21" s="30">
        <v>5</v>
      </c>
      <c r="B21" s="79" t="s">
        <v>109</v>
      </c>
      <c r="C21" s="80" t="s">
        <v>102</v>
      </c>
      <c r="D21" s="79" t="s">
        <v>30</v>
      </c>
      <c r="E21" s="81">
        <v>9.08</v>
      </c>
      <c r="F21" s="82">
        <f>SUM(E21*12/100)</f>
        <v>1.0896000000000001</v>
      </c>
      <c r="G21" s="82">
        <v>216.12</v>
      </c>
      <c r="H21" s="83">
        <f t="shared" si="0"/>
        <v>0.23548435200000004</v>
      </c>
      <c r="I21" s="13">
        <f>F21/12*G21</f>
        <v>19.623696000000002</v>
      </c>
      <c r="J21" s="23"/>
      <c r="K21" s="8"/>
      <c r="L21" s="8"/>
      <c r="M21" s="8"/>
    </row>
    <row r="22" spans="1:13" ht="15.75" customHeight="1">
      <c r="A22" s="30">
        <v>7</v>
      </c>
      <c r="B22" s="79" t="s">
        <v>103</v>
      </c>
      <c r="C22" s="80" t="s">
        <v>54</v>
      </c>
      <c r="D22" s="79" t="s">
        <v>114</v>
      </c>
      <c r="E22" s="84">
        <v>12.6</v>
      </c>
      <c r="F22" s="82">
        <f>SUM(E22/100)</f>
        <v>0.126</v>
      </c>
      <c r="G22" s="82">
        <v>44.29</v>
      </c>
      <c r="H22" s="83">
        <f t="shared" si="0"/>
        <v>5.5805400000000002E-3</v>
      </c>
      <c r="I22" s="13">
        <v>0</v>
      </c>
      <c r="J22" s="23"/>
      <c r="K22" s="8"/>
      <c r="L22" s="8"/>
      <c r="M22" s="8"/>
    </row>
    <row r="23" spans="1:13" ht="15.75" customHeight="1">
      <c r="A23" s="30">
        <v>6</v>
      </c>
      <c r="B23" s="79" t="s">
        <v>104</v>
      </c>
      <c r="C23" s="80" t="s">
        <v>54</v>
      </c>
      <c r="D23" s="79" t="s">
        <v>105</v>
      </c>
      <c r="E23" s="81">
        <v>20</v>
      </c>
      <c r="F23" s="82">
        <f>E23*12/100</f>
        <v>2.4</v>
      </c>
      <c r="G23" s="82">
        <v>389.72</v>
      </c>
      <c r="H23" s="83">
        <f t="shared" si="0"/>
        <v>0.93532799999999994</v>
      </c>
      <c r="I23" s="13">
        <f>F23/12*G23</f>
        <v>77.944000000000003</v>
      </c>
      <c r="J23" s="23"/>
      <c r="K23" s="8"/>
      <c r="L23" s="8"/>
      <c r="M23" s="8"/>
    </row>
    <row r="24" spans="1:13" ht="15.75" customHeight="1">
      <c r="A24" s="30">
        <v>9</v>
      </c>
      <c r="B24" s="79" t="s">
        <v>106</v>
      </c>
      <c r="C24" s="80" t="s">
        <v>54</v>
      </c>
      <c r="D24" s="79" t="s">
        <v>114</v>
      </c>
      <c r="E24" s="81">
        <v>17</v>
      </c>
      <c r="F24" s="82">
        <f>SUM(E24/100)</f>
        <v>0.17</v>
      </c>
      <c r="G24" s="82">
        <v>520.79999999999995</v>
      </c>
      <c r="H24" s="83">
        <f t="shared" si="0"/>
        <v>8.8536000000000004E-2</v>
      </c>
      <c r="I24" s="13">
        <v>0</v>
      </c>
      <c r="J24" s="23"/>
      <c r="K24" s="8"/>
      <c r="L24" s="8"/>
      <c r="M24" s="8"/>
    </row>
    <row r="25" spans="1:13" ht="15.75" customHeight="1">
      <c r="A25" s="30">
        <v>7</v>
      </c>
      <c r="B25" s="79" t="s">
        <v>66</v>
      </c>
      <c r="C25" s="80" t="s">
        <v>33</v>
      </c>
      <c r="D25" s="79" t="s">
        <v>89</v>
      </c>
      <c r="E25" s="81">
        <v>0.1</v>
      </c>
      <c r="F25" s="82">
        <f>SUM(E25*365)</f>
        <v>36.5</v>
      </c>
      <c r="G25" s="82">
        <v>147.03</v>
      </c>
      <c r="H25" s="83">
        <f>SUM(F25*G25/1000)</f>
        <v>5.3665950000000002</v>
      </c>
      <c r="I25" s="13">
        <f>F25/12*G25</f>
        <v>447.21625</v>
      </c>
      <c r="J25" s="23"/>
      <c r="K25" s="8"/>
      <c r="L25" s="8"/>
      <c r="M25" s="8"/>
    </row>
    <row r="26" spans="1:13" ht="15.75" customHeight="1">
      <c r="A26" s="30">
        <v>8</v>
      </c>
      <c r="B26" s="89" t="s">
        <v>23</v>
      </c>
      <c r="C26" s="80" t="s">
        <v>24</v>
      </c>
      <c r="D26" s="79" t="s">
        <v>89</v>
      </c>
      <c r="E26" s="81">
        <v>3053.4</v>
      </c>
      <c r="F26" s="82">
        <f>SUM(E26*12)</f>
        <v>36640.800000000003</v>
      </c>
      <c r="G26" s="82">
        <v>4.55</v>
      </c>
      <c r="H26" s="83">
        <f>SUM(F26*G26/1000)</f>
        <v>166.71564000000001</v>
      </c>
      <c r="I26" s="13">
        <f>F26/12*G26</f>
        <v>13892.97</v>
      </c>
      <c r="J26" s="24"/>
    </row>
    <row r="27" spans="1:13" ht="15.75" customHeight="1">
      <c r="A27" s="180" t="s">
        <v>90</v>
      </c>
      <c r="B27" s="181"/>
      <c r="C27" s="181"/>
      <c r="D27" s="181"/>
      <c r="E27" s="181"/>
      <c r="F27" s="181"/>
      <c r="G27" s="181"/>
      <c r="H27" s="181"/>
      <c r="I27" s="182"/>
      <c r="J27" s="23"/>
      <c r="K27" s="8"/>
      <c r="L27" s="8"/>
      <c r="M27" s="8"/>
    </row>
    <row r="28" spans="1:13" ht="15.75" customHeight="1">
      <c r="A28" s="30"/>
      <c r="B28" s="107" t="s">
        <v>28</v>
      </c>
      <c r="C28" s="80"/>
      <c r="D28" s="79"/>
      <c r="E28" s="81"/>
      <c r="F28" s="82"/>
      <c r="G28" s="82"/>
      <c r="H28" s="86"/>
      <c r="I28" s="87"/>
      <c r="J28" s="23"/>
      <c r="K28" s="8"/>
      <c r="L28" s="8"/>
      <c r="M28" s="8"/>
    </row>
    <row r="29" spans="1:13" ht="15.75" customHeight="1">
      <c r="A29" s="30">
        <v>9</v>
      </c>
      <c r="B29" s="79" t="s">
        <v>115</v>
      </c>
      <c r="C29" s="80" t="s">
        <v>116</v>
      </c>
      <c r="D29" s="79" t="s">
        <v>132</v>
      </c>
      <c r="E29" s="82">
        <v>561.6</v>
      </c>
      <c r="F29" s="82">
        <f>SUM(E29*52/1000)</f>
        <v>29.203200000000002</v>
      </c>
      <c r="G29" s="82">
        <v>155.88999999999999</v>
      </c>
      <c r="H29" s="83">
        <f t="shared" ref="H29:H34" si="1">SUM(F29*G29/1000)</f>
        <v>4.5524868479999991</v>
      </c>
      <c r="I29" s="13">
        <f t="shared" ref="I29:I32" si="2">F29/6*G29</f>
        <v>758.74780799999996</v>
      </c>
      <c r="J29" s="23"/>
      <c r="K29" s="8"/>
      <c r="L29" s="8"/>
      <c r="M29" s="8"/>
    </row>
    <row r="30" spans="1:13" ht="31.5" customHeight="1">
      <c r="A30" s="30">
        <v>10</v>
      </c>
      <c r="B30" s="79" t="s">
        <v>149</v>
      </c>
      <c r="C30" s="80" t="s">
        <v>116</v>
      </c>
      <c r="D30" s="79" t="s">
        <v>133</v>
      </c>
      <c r="E30" s="82">
        <v>205.7</v>
      </c>
      <c r="F30" s="82">
        <f>SUM(E30*78/1000)</f>
        <v>16.044599999999999</v>
      </c>
      <c r="G30" s="82">
        <v>258.63</v>
      </c>
      <c r="H30" s="83">
        <f t="shared" si="1"/>
        <v>4.1496148979999994</v>
      </c>
      <c r="I30" s="13">
        <f t="shared" si="2"/>
        <v>691.60248299999989</v>
      </c>
      <c r="J30" s="23"/>
      <c r="K30" s="8"/>
      <c r="L30" s="8"/>
      <c r="M30" s="8"/>
    </row>
    <row r="31" spans="1:13" ht="15.75" hidden="1" customHeight="1">
      <c r="A31" s="30">
        <v>11</v>
      </c>
      <c r="B31" s="79" t="s">
        <v>27</v>
      </c>
      <c r="C31" s="80" t="s">
        <v>116</v>
      </c>
      <c r="D31" s="79" t="s">
        <v>55</v>
      </c>
      <c r="E31" s="82">
        <v>561.6</v>
      </c>
      <c r="F31" s="82">
        <f>SUM(E31/1000)</f>
        <v>0.56159999999999999</v>
      </c>
      <c r="G31" s="82">
        <v>3020.33</v>
      </c>
      <c r="H31" s="83">
        <f t="shared" si="1"/>
        <v>1.6962173279999999</v>
      </c>
      <c r="I31" s="13">
        <f>F31*G31</f>
        <v>1696.217328</v>
      </c>
      <c r="J31" s="23"/>
      <c r="K31" s="8"/>
      <c r="L31" s="8"/>
      <c r="M31" s="8"/>
    </row>
    <row r="32" spans="1:13" ht="15.75" customHeight="1">
      <c r="A32" s="30">
        <v>11</v>
      </c>
      <c r="B32" s="79" t="s">
        <v>117</v>
      </c>
      <c r="C32" s="80" t="s">
        <v>31</v>
      </c>
      <c r="D32" s="79" t="s">
        <v>65</v>
      </c>
      <c r="E32" s="88">
        <v>0.33333333333333331</v>
      </c>
      <c r="F32" s="82">
        <f>155/3</f>
        <v>51.666666666666664</v>
      </c>
      <c r="G32" s="82">
        <v>56.69</v>
      </c>
      <c r="H32" s="83">
        <f>SUM(G32*155/3/1000)</f>
        <v>2.9289833333333331</v>
      </c>
      <c r="I32" s="13">
        <f t="shared" si="2"/>
        <v>488.16388888888883</v>
      </c>
      <c r="J32" s="23"/>
      <c r="K32" s="8"/>
      <c r="L32" s="8"/>
      <c r="M32" s="8"/>
    </row>
    <row r="33" spans="1:14" ht="15.75" hidden="1" customHeight="1">
      <c r="A33" s="30"/>
      <c r="B33" s="79" t="s">
        <v>67</v>
      </c>
      <c r="C33" s="80" t="s">
        <v>33</v>
      </c>
      <c r="D33" s="79" t="s">
        <v>69</v>
      </c>
      <c r="E33" s="81"/>
      <c r="F33" s="82">
        <v>2</v>
      </c>
      <c r="G33" s="82">
        <v>191.32</v>
      </c>
      <c r="H33" s="83">
        <f t="shared" si="1"/>
        <v>0.38263999999999998</v>
      </c>
      <c r="I33" s="13">
        <v>0</v>
      </c>
      <c r="J33" s="23"/>
      <c r="K33" s="8"/>
      <c r="L33" s="8"/>
      <c r="M33" s="8"/>
    </row>
    <row r="34" spans="1:14" ht="15.75" hidden="1" customHeight="1">
      <c r="A34" s="30"/>
      <c r="B34" s="79" t="s">
        <v>68</v>
      </c>
      <c r="C34" s="80" t="s">
        <v>32</v>
      </c>
      <c r="D34" s="79" t="s">
        <v>69</v>
      </c>
      <c r="E34" s="81"/>
      <c r="F34" s="82">
        <v>1</v>
      </c>
      <c r="G34" s="82">
        <v>1136.33</v>
      </c>
      <c r="H34" s="83">
        <f t="shared" si="1"/>
        <v>1.1363299999999998</v>
      </c>
      <c r="I34" s="13">
        <v>0</v>
      </c>
      <c r="J34" s="23"/>
      <c r="K34" s="8"/>
    </row>
    <row r="35" spans="1:14" ht="15.75" hidden="1" customHeight="1">
      <c r="A35" s="30"/>
      <c r="B35" s="107" t="s">
        <v>5</v>
      </c>
      <c r="C35" s="80"/>
      <c r="D35" s="79"/>
      <c r="E35" s="81"/>
      <c r="F35" s="82"/>
      <c r="G35" s="82"/>
      <c r="H35" s="86" t="s">
        <v>142</v>
      </c>
      <c r="I35" s="87"/>
      <c r="J35" s="24"/>
    </row>
    <row r="36" spans="1:14" ht="15.75" hidden="1" customHeight="1">
      <c r="A36" s="30">
        <v>9</v>
      </c>
      <c r="B36" s="79" t="s">
        <v>26</v>
      </c>
      <c r="C36" s="80" t="s">
        <v>32</v>
      </c>
      <c r="D36" s="79"/>
      <c r="E36" s="81"/>
      <c r="F36" s="82">
        <v>3</v>
      </c>
      <c r="G36" s="82">
        <v>1527.22</v>
      </c>
      <c r="H36" s="83">
        <f t="shared" ref="H36:H38" si="3">SUM(F36*G36/1000)</f>
        <v>4.5816600000000003</v>
      </c>
      <c r="I36" s="13">
        <f t="shared" ref="I36:I41" si="4">F36/6*G36</f>
        <v>763.61</v>
      </c>
      <c r="J36" s="24"/>
    </row>
    <row r="37" spans="1:14" ht="15.75" hidden="1" customHeight="1">
      <c r="A37" s="30">
        <v>10</v>
      </c>
      <c r="B37" s="79" t="s">
        <v>70</v>
      </c>
      <c r="C37" s="80" t="s">
        <v>29</v>
      </c>
      <c r="D37" s="79" t="s">
        <v>134</v>
      </c>
      <c r="E37" s="82">
        <v>205.7</v>
      </c>
      <c r="F37" s="82">
        <f>SUM(E37*20/1000)</f>
        <v>4.1139999999999999</v>
      </c>
      <c r="G37" s="82">
        <v>2102.71</v>
      </c>
      <c r="H37" s="83">
        <f t="shared" si="3"/>
        <v>8.6505489400000002</v>
      </c>
      <c r="I37" s="13">
        <f t="shared" si="4"/>
        <v>1441.7581566666665</v>
      </c>
      <c r="J37" s="24"/>
    </row>
    <row r="38" spans="1:14" ht="15.75" hidden="1" customHeight="1">
      <c r="A38" s="30">
        <v>11</v>
      </c>
      <c r="B38" s="79" t="s">
        <v>71</v>
      </c>
      <c r="C38" s="80" t="s">
        <v>29</v>
      </c>
      <c r="D38" s="79" t="s">
        <v>135</v>
      </c>
      <c r="E38" s="81">
        <v>89.1</v>
      </c>
      <c r="F38" s="82">
        <f>SUM(E38*155/1000)</f>
        <v>13.810499999999999</v>
      </c>
      <c r="G38" s="82">
        <v>350.75</v>
      </c>
      <c r="H38" s="83">
        <f t="shared" si="3"/>
        <v>4.8440328749999999</v>
      </c>
      <c r="I38" s="13">
        <f t="shared" si="4"/>
        <v>807.3388124999999</v>
      </c>
      <c r="J38" s="24"/>
    </row>
    <row r="39" spans="1:14" ht="47.25" hidden="1" customHeight="1">
      <c r="A39" s="30">
        <v>12</v>
      </c>
      <c r="B39" s="79" t="s">
        <v>88</v>
      </c>
      <c r="C39" s="80" t="s">
        <v>116</v>
      </c>
      <c r="D39" s="79" t="s">
        <v>136</v>
      </c>
      <c r="E39" s="82">
        <v>48</v>
      </c>
      <c r="F39" s="82">
        <f>SUM(E39*50/1000)</f>
        <v>2.4</v>
      </c>
      <c r="G39" s="82">
        <v>5803.28</v>
      </c>
      <c r="H39" s="83">
        <f>SUM(F39*G39/1000)</f>
        <v>13.927871999999999</v>
      </c>
      <c r="I39" s="13">
        <f t="shared" si="4"/>
        <v>2321.3119999999999</v>
      </c>
      <c r="J39" s="24"/>
    </row>
    <row r="40" spans="1:14" ht="15.75" hidden="1" customHeight="1">
      <c r="A40" s="30">
        <v>13</v>
      </c>
      <c r="B40" s="79" t="s">
        <v>118</v>
      </c>
      <c r="C40" s="80" t="s">
        <v>116</v>
      </c>
      <c r="D40" s="79" t="s">
        <v>72</v>
      </c>
      <c r="E40" s="82">
        <v>89</v>
      </c>
      <c r="F40" s="82">
        <f>SUM(E40*45/1000)</f>
        <v>4.0049999999999999</v>
      </c>
      <c r="G40" s="82">
        <v>428.7</v>
      </c>
      <c r="H40" s="83">
        <f t="shared" ref="H40:H41" si="5">SUM(F40*G40/1000)</f>
        <v>1.7169435</v>
      </c>
      <c r="I40" s="13">
        <f t="shared" si="4"/>
        <v>286.15724999999998</v>
      </c>
      <c r="J40" s="24"/>
      <c r="L40" s="20"/>
      <c r="M40" s="21"/>
      <c r="N40" s="22"/>
    </row>
    <row r="41" spans="1:14" ht="15.75" hidden="1" customHeight="1">
      <c r="A41" s="108">
        <v>14</v>
      </c>
      <c r="B41" s="93" t="s">
        <v>73</v>
      </c>
      <c r="C41" s="94" t="s">
        <v>33</v>
      </c>
      <c r="D41" s="93"/>
      <c r="E41" s="90"/>
      <c r="F41" s="95">
        <v>0.9</v>
      </c>
      <c r="G41" s="95">
        <v>798</v>
      </c>
      <c r="H41" s="96">
        <f t="shared" si="5"/>
        <v>0.71820000000000006</v>
      </c>
      <c r="I41" s="109">
        <f t="shared" si="4"/>
        <v>119.69999999999999</v>
      </c>
      <c r="J41" s="24"/>
      <c r="L41" s="20"/>
      <c r="M41" s="21"/>
      <c r="N41" s="22"/>
    </row>
    <row r="42" spans="1:14" ht="15.75" hidden="1" customHeight="1">
      <c r="A42" s="186" t="s">
        <v>150</v>
      </c>
      <c r="B42" s="187"/>
      <c r="C42" s="187"/>
      <c r="D42" s="187"/>
      <c r="E42" s="187"/>
      <c r="F42" s="187"/>
      <c r="G42" s="187"/>
      <c r="H42" s="187"/>
      <c r="I42" s="188"/>
      <c r="J42" s="24"/>
      <c r="L42" s="20"/>
      <c r="M42" s="21"/>
      <c r="N42" s="22"/>
    </row>
    <row r="43" spans="1:14" ht="15.75" hidden="1" customHeight="1">
      <c r="A43" s="110"/>
      <c r="B43" s="111" t="s">
        <v>119</v>
      </c>
      <c r="C43" s="112" t="s">
        <v>116</v>
      </c>
      <c r="D43" s="111" t="s">
        <v>43</v>
      </c>
      <c r="E43" s="113">
        <v>1632.75</v>
      </c>
      <c r="F43" s="114">
        <f>SUM(E43*2/1000)</f>
        <v>3.2654999999999998</v>
      </c>
      <c r="G43" s="115">
        <v>809.74</v>
      </c>
      <c r="H43" s="116">
        <f t="shared" ref="H43:H52" si="6">SUM(F43*G43/1000)</f>
        <v>2.6442059699999998</v>
      </c>
      <c r="I43" s="115">
        <v>0</v>
      </c>
      <c r="J43" s="24"/>
      <c r="L43" s="20"/>
      <c r="M43" s="21"/>
      <c r="N43" s="22"/>
    </row>
    <row r="44" spans="1:14" ht="15.75" hidden="1" customHeight="1">
      <c r="A44" s="30"/>
      <c r="B44" s="79" t="s">
        <v>36</v>
      </c>
      <c r="C44" s="80" t="s">
        <v>116</v>
      </c>
      <c r="D44" s="79" t="s">
        <v>43</v>
      </c>
      <c r="E44" s="81">
        <v>53.75</v>
      </c>
      <c r="F44" s="82">
        <f>SUM(E44*2/1000)</f>
        <v>0.1075</v>
      </c>
      <c r="G44" s="13">
        <v>579.48</v>
      </c>
      <c r="H44" s="83">
        <f t="shared" si="6"/>
        <v>6.2294099999999998E-2</v>
      </c>
      <c r="I44" s="13">
        <v>0</v>
      </c>
      <c r="J44" s="24"/>
      <c r="L44" s="20"/>
      <c r="M44" s="21"/>
      <c r="N44" s="22"/>
    </row>
    <row r="45" spans="1:14" ht="15.75" hidden="1" customHeight="1">
      <c r="A45" s="30"/>
      <c r="B45" s="79" t="s">
        <v>37</v>
      </c>
      <c r="C45" s="80" t="s">
        <v>116</v>
      </c>
      <c r="D45" s="79" t="s">
        <v>43</v>
      </c>
      <c r="E45" s="81">
        <v>2285.6</v>
      </c>
      <c r="F45" s="82">
        <f>SUM(E45*2/1000)</f>
        <v>4.5712000000000002</v>
      </c>
      <c r="G45" s="13">
        <v>579.48</v>
      </c>
      <c r="H45" s="83">
        <f t="shared" si="6"/>
        <v>2.6489189760000005</v>
      </c>
      <c r="I45" s="13">
        <v>0</v>
      </c>
      <c r="J45" s="24"/>
      <c r="L45" s="20"/>
      <c r="M45" s="21"/>
      <c r="N45" s="22"/>
    </row>
    <row r="46" spans="1:14" ht="15.75" hidden="1" customHeight="1">
      <c r="A46" s="30"/>
      <c r="B46" s="79" t="s">
        <v>38</v>
      </c>
      <c r="C46" s="80" t="s">
        <v>116</v>
      </c>
      <c r="D46" s="79" t="s">
        <v>43</v>
      </c>
      <c r="E46" s="81">
        <v>1860</v>
      </c>
      <c r="F46" s="82">
        <f>SUM(E46*2/1000)</f>
        <v>3.72</v>
      </c>
      <c r="G46" s="13">
        <v>606.77</v>
      </c>
      <c r="H46" s="83">
        <f t="shared" si="6"/>
        <v>2.2571844000000003</v>
      </c>
      <c r="I46" s="13">
        <v>0</v>
      </c>
      <c r="J46" s="24"/>
      <c r="L46" s="20"/>
      <c r="M46" s="21"/>
      <c r="N46" s="22"/>
    </row>
    <row r="47" spans="1:14" ht="15.75" hidden="1" customHeight="1">
      <c r="A47" s="30"/>
      <c r="B47" s="79" t="s">
        <v>34</v>
      </c>
      <c r="C47" s="80" t="s">
        <v>35</v>
      </c>
      <c r="D47" s="79" t="s">
        <v>43</v>
      </c>
      <c r="E47" s="81">
        <v>120.49</v>
      </c>
      <c r="F47" s="82">
        <f>SUM(E47*2/100)</f>
        <v>2.4097999999999997</v>
      </c>
      <c r="G47" s="13">
        <v>72.81</v>
      </c>
      <c r="H47" s="83">
        <f t="shared" si="6"/>
        <v>0.17545753799999997</v>
      </c>
      <c r="I47" s="13">
        <v>0</v>
      </c>
      <c r="J47" s="24"/>
      <c r="L47" s="20"/>
      <c r="M47" s="21"/>
      <c r="N47" s="22"/>
    </row>
    <row r="48" spans="1:14" ht="15.75" hidden="1" customHeight="1">
      <c r="A48" s="30">
        <v>15</v>
      </c>
      <c r="B48" s="79" t="s">
        <v>58</v>
      </c>
      <c r="C48" s="80" t="s">
        <v>116</v>
      </c>
      <c r="D48" s="79" t="s">
        <v>153</v>
      </c>
      <c r="E48" s="81">
        <v>1728</v>
      </c>
      <c r="F48" s="82">
        <f>SUM(E48*5/1000)</f>
        <v>8.64</v>
      </c>
      <c r="G48" s="13">
        <v>1213.55</v>
      </c>
      <c r="H48" s="83">
        <f t="shared" si="6"/>
        <v>10.485072000000001</v>
      </c>
      <c r="I48" s="13">
        <f>F48/5*G48</f>
        <v>2097.0144</v>
      </c>
      <c r="J48" s="24"/>
      <c r="L48" s="20"/>
      <c r="M48" s="21"/>
      <c r="N48" s="22"/>
    </row>
    <row r="49" spans="1:22" ht="31.5" hidden="1" customHeight="1">
      <c r="A49" s="30"/>
      <c r="B49" s="79" t="s">
        <v>120</v>
      </c>
      <c r="C49" s="80" t="s">
        <v>116</v>
      </c>
      <c r="D49" s="79" t="s">
        <v>43</v>
      </c>
      <c r="E49" s="81">
        <v>1728</v>
      </c>
      <c r="F49" s="82">
        <f>SUM(E49*2/1000)</f>
        <v>3.456</v>
      </c>
      <c r="G49" s="13">
        <v>1213.55</v>
      </c>
      <c r="H49" s="83">
        <f t="shared" si="6"/>
        <v>4.1940287999999999</v>
      </c>
      <c r="I49" s="13">
        <v>0</v>
      </c>
      <c r="J49" s="24"/>
      <c r="L49" s="20"/>
      <c r="M49" s="21"/>
      <c r="N49" s="22"/>
    </row>
    <row r="50" spans="1:22" ht="31.5" hidden="1" customHeight="1">
      <c r="A50" s="30"/>
      <c r="B50" s="79" t="s">
        <v>143</v>
      </c>
      <c r="C50" s="80" t="s">
        <v>39</v>
      </c>
      <c r="D50" s="79" t="s">
        <v>43</v>
      </c>
      <c r="E50" s="81">
        <v>20</v>
      </c>
      <c r="F50" s="82">
        <f>SUM(E50*2/100)</f>
        <v>0.4</v>
      </c>
      <c r="G50" s="13">
        <v>2730.49</v>
      </c>
      <c r="H50" s="83">
        <f t="shared" si="6"/>
        <v>1.0921959999999999</v>
      </c>
      <c r="I50" s="13">
        <v>0</v>
      </c>
      <c r="J50" s="24"/>
      <c r="L50" s="20"/>
      <c r="M50" s="21"/>
      <c r="N50" s="22"/>
    </row>
    <row r="51" spans="1:22" ht="15.75" hidden="1" customHeight="1">
      <c r="A51" s="30"/>
      <c r="B51" s="79" t="s">
        <v>40</v>
      </c>
      <c r="C51" s="80" t="s">
        <v>41</v>
      </c>
      <c r="D51" s="79" t="s">
        <v>43</v>
      </c>
      <c r="E51" s="81">
        <v>1</v>
      </c>
      <c r="F51" s="82">
        <v>0.02</v>
      </c>
      <c r="G51" s="13">
        <v>5652.13</v>
      </c>
      <c r="H51" s="83">
        <f t="shared" si="6"/>
        <v>0.11304260000000001</v>
      </c>
      <c r="I51" s="13">
        <v>0</v>
      </c>
      <c r="J51" s="24"/>
      <c r="L51" s="20"/>
      <c r="M51" s="21"/>
      <c r="N51" s="22"/>
    </row>
    <row r="52" spans="1:22" ht="15.75" hidden="1" customHeight="1">
      <c r="A52" s="30">
        <v>16</v>
      </c>
      <c r="B52" s="79" t="s">
        <v>42</v>
      </c>
      <c r="C52" s="80" t="s">
        <v>97</v>
      </c>
      <c r="D52" s="79" t="s">
        <v>74</v>
      </c>
      <c r="E52" s="81">
        <v>128</v>
      </c>
      <c r="F52" s="82">
        <f>SUM(E52)*3</f>
        <v>384</v>
      </c>
      <c r="G52" s="13">
        <v>65.67</v>
      </c>
      <c r="H52" s="83">
        <f t="shared" si="6"/>
        <v>25.217279999999999</v>
      </c>
      <c r="I52" s="13">
        <f>E52*G52</f>
        <v>8405.76</v>
      </c>
      <c r="J52" s="24"/>
      <c r="L52" s="20"/>
      <c r="M52" s="21"/>
      <c r="N52" s="22"/>
    </row>
    <row r="53" spans="1:22" ht="15.75" customHeight="1">
      <c r="A53" s="180" t="s">
        <v>156</v>
      </c>
      <c r="B53" s="181"/>
      <c r="C53" s="181"/>
      <c r="D53" s="181"/>
      <c r="E53" s="181"/>
      <c r="F53" s="181"/>
      <c r="G53" s="181"/>
      <c r="H53" s="181"/>
      <c r="I53" s="182"/>
      <c r="J53" s="24"/>
      <c r="L53" s="20"/>
      <c r="M53" s="21"/>
      <c r="N53" s="22"/>
    </row>
    <row r="54" spans="1:22" ht="15.75" hidden="1" customHeight="1">
      <c r="A54" s="30"/>
      <c r="B54" s="107" t="s">
        <v>44</v>
      </c>
      <c r="C54" s="80"/>
      <c r="D54" s="79"/>
      <c r="E54" s="81"/>
      <c r="F54" s="82"/>
      <c r="G54" s="82"/>
      <c r="H54" s="86"/>
      <c r="I54" s="87"/>
      <c r="J54" s="24"/>
      <c r="L54" s="20"/>
      <c r="M54" s="21"/>
      <c r="N54" s="22"/>
    </row>
    <row r="55" spans="1:22" ht="31.5" hidden="1" customHeight="1">
      <c r="A55" s="30">
        <v>17</v>
      </c>
      <c r="B55" s="79" t="s">
        <v>121</v>
      </c>
      <c r="C55" s="80" t="s">
        <v>102</v>
      </c>
      <c r="D55" s="79" t="s">
        <v>122</v>
      </c>
      <c r="E55" s="81">
        <v>163.30000000000001</v>
      </c>
      <c r="F55" s="82">
        <f>SUM(E55*6/100)</f>
        <v>9.798</v>
      </c>
      <c r="G55" s="13">
        <v>1547.28</v>
      </c>
      <c r="H55" s="83">
        <f>SUM(F55*G55/1000)</f>
        <v>15.160249439999999</v>
      </c>
      <c r="I55" s="13">
        <f>F55/6*G55</f>
        <v>2526.7082399999999</v>
      </c>
      <c r="J55" s="24"/>
      <c r="L55" s="20"/>
      <c r="M55" s="21"/>
      <c r="N55" s="22"/>
    </row>
    <row r="56" spans="1:22" ht="15.75" customHeight="1">
      <c r="A56" s="30"/>
      <c r="B56" s="107" t="s">
        <v>45</v>
      </c>
      <c r="C56" s="80"/>
      <c r="D56" s="79"/>
      <c r="E56" s="81"/>
      <c r="F56" s="82"/>
      <c r="G56" s="82"/>
      <c r="H56" s="83" t="s">
        <v>142</v>
      </c>
      <c r="I56" s="87"/>
      <c r="J56" s="24"/>
      <c r="L56" s="20"/>
      <c r="M56" s="21"/>
      <c r="N56" s="22"/>
    </row>
    <row r="57" spans="1:22" ht="15.75" hidden="1" customHeight="1">
      <c r="A57" s="30"/>
      <c r="B57" s="79" t="s">
        <v>46</v>
      </c>
      <c r="C57" s="80" t="s">
        <v>102</v>
      </c>
      <c r="D57" s="79" t="s">
        <v>55</v>
      </c>
      <c r="E57" s="90">
        <v>1155.2</v>
      </c>
      <c r="F57" s="91">
        <v>11.6</v>
      </c>
      <c r="G57" s="13">
        <v>793.61</v>
      </c>
      <c r="H57" s="92">
        <v>9.1679999999999993</v>
      </c>
      <c r="I57" s="13">
        <v>0</v>
      </c>
      <c r="J57" s="24"/>
      <c r="L57" s="20"/>
      <c r="M57" s="21"/>
      <c r="N57" s="22"/>
    </row>
    <row r="58" spans="1:22" ht="15.75" customHeight="1">
      <c r="A58" s="30">
        <v>12</v>
      </c>
      <c r="B58" s="93" t="s">
        <v>98</v>
      </c>
      <c r="C58" s="94" t="s">
        <v>25</v>
      </c>
      <c r="D58" s="93" t="s">
        <v>30</v>
      </c>
      <c r="E58" s="90">
        <v>255.2</v>
      </c>
      <c r="F58" s="95">
        <v>3062.4</v>
      </c>
      <c r="G58" s="75">
        <v>2.6</v>
      </c>
      <c r="H58" s="96">
        <f>G58*F58/1000</f>
        <v>7.9622400000000004</v>
      </c>
      <c r="I58" s="13">
        <f>F58/12*G58</f>
        <v>663.5200000000001</v>
      </c>
      <c r="J58" s="24"/>
      <c r="L58" s="20"/>
      <c r="M58" s="21"/>
      <c r="N58" s="22"/>
    </row>
    <row r="59" spans="1:22" ht="15.75" customHeight="1">
      <c r="A59" s="30"/>
      <c r="B59" s="117" t="s">
        <v>47</v>
      </c>
      <c r="C59" s="94"/>
      <c r="D59" s="93"/>
      <c r="E59" s="90"/>
      <c r="F59" s="95"/>
      <c r="G59" s="95"/>
      <c r="H59" s="96" t="s">
        <v>142</v>
      </c>
      <c r="I59" s="87"/>
      <c r="J59" s="24"/>
      <c r="L59" s="20"/>
      <c r="M59" s="21"/>
      <c r="N59" s="22"/>
    </row>
    <row r="60" spans="1:22" ht="15.75" customHeight="1">
      <c r="A60" s="30">
        <v>13</v>
      </c>
      <c r="B60" s="14" t="s">
        <v>48</v>
      </c>
      <c r="C60" s="16" t="s">
        <v>97</v>
      </c>
      <c r="D60" s="14" t="s">
        <v>141</v>
      </c>
      <c r="E60" s="19">
        <v>5</v>
      </c>
      <c r="F60" s="82">
        <v>5</v>
      </c>
      <c r="G60" s="13">
        <v>222.4</v>
      </c>
      <c r="H60" s="97">
        <f t="shared" ref="H60:H67" si="7">SUM(F60*G60/1000)</f>
        <v>1.1120000000000001</v>
      </c>
      <c r="I60" s="13">
        <f>G60</f>
        <v>222.4</v>
      </c>
      <c r="J60" s="24"/>
      <c r="L60" s="20"/>
    </row>
    <row r="61" spans="1:22" ht="15.75" hidden="1" customHeight="1">
      <c r="A61" s="30"/>
      <c r="B61" s="14" t="s">
        <v>49</v>
      </c>
      <c r="C61" s="16" t="s">
        <v>97</v>
      </c>
      <c r="D61" s="14" t="s">
        <v>141</v>
      </c>
      <c r="E61" s="19">
        <v>4</v>
      </c>
      <c r="F61" s="82">
        <v>4</v>
      </c>
      <c r="G61" s="13">
        <v>76.25</v>
      </c>
      <c r="H61" s="97">
        <f t="shared" si="7"/>
        <v>0.30499999999999999</v>
      </c>
      <c r="I61" s="13">
        <v>0</v>
      </c>
      <c r="J61" s="24"/>
      <c r="L61" s="20"/>
    </row>
    <row r="62" spans="1:22" ht="15.75" hidden="1" customHeight="1">
      <c r="A62" s="30"/>
      <c r="B62" s="14" t="s">
        <v>50</v>
      </c>
      <c r="C62" s="16" t="s">
        <v>123</v>
      </c>
      <c r="D62" s="14" t="s">
        <v>55</v>
      </c>
      <c r="E62" s="81">
        <v>15552</v>
      </c>
      <c r="F62" s="13">
        <f>SUM(E62/100)</f>
        <v>155.52000000000001</v>
      </c>
      <c r="G62" s="13">
        <v>212.15</v>
      </c>
      <c r="H62" s="97">
        <f t="shared" si="7"/>
        <v>32.993568000000003</v>
      </c>
      <c r="I62" s="13">
        <v>0</v>
      </c>
    </row>
    <row r="63" spans="1:22" ht="15.75" hidden="1" customHeight="1">
      <c r="A63" s="30"/>
      <c r="B63" s="14" t="s">
        <v>51</v>
      </c>
      <c r="C63" s="16" t="s">
        <v>124</v>
      </c>
      <c r="D63" s="14"/>
      <c r="E63" s="81">
        <v>15552</v>
      </c>
      <c r="F63" s="13">
        <f>SUM(E63/1000)</f>
        <v>15.552</v>
      </c>
      <c r="G63" s="13">
        <v>165.21</v>
      </c>
      <c r="H63" s="97">
        <f t="shared" si="7"/>
        <v>2.5693459200000004</v>
      </c>
      <c r="I63" s="13">
        <v>0</v>
      </c>
    </row>
    <row r="64" spans="1:22" ht="15.75" hidden="1" customHeight="1">
      <c r="A64" s="30"/>
      <c r="B64" s="14" t="s">
        <v>52</v>
      </c>
      <c r="C64" s="16" t="s">
        <v>81</v>
      </c>
      <c r="D64" s="14" t="s">
        <v>55</v>
      </c>
      <c r="E64" s="81">
        <v>2432</v>
      </c>
      <c r="F64" s="13">
        <f>SUM(E64/100)</f>
        <v>24.32</v>
      </c>
      <c r="G64" s="13">
        <v>2074.63</v>
      </c>
      <c r="H64" s="97">
        <f t="shared" si="7"/>
        <v>50.455001600000003</v>
      </c>
      <c r="I64" s="13">
        <v>0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hidden="1" customHeight="1">
      <c r="A65" s="30"/>
      <c r="B65" s="98" t="s">
        <v>75</v>
      </c>
      <c r="C65" s="16" t="s">
        <v>33</v>
      </c>
      <c r="D65" s="14"/>
      <c r="E65" s="81">
        <v>34.5</v>
      </c>
      <c r="F65" s="13">
        <f>SUM(E65)</f>
        <v>34.5</v>
      </c>
      <c r="G65" s="13">
        <v>45.32</v>
      </c>
      <c r="H65" s="97">
        <f t="shared" si="7"/>
        <v>1.5635399999999999</v>
      </c>
      <c r="I65" s="13">
        <v>0</v>
      </c>
      <c r="J65" s="26"/>
      <c r="K65" s="26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31.5" hidden="1" customHeight="1">
      <c r="A66" s="30"/>
      <c r="B66" s="98" t="s">
        <v>76</v>
      </c>
      <c r="C66" s="16" t="s">
        <v>33</v>
      </c>
      <c r="D66" s="14"/>
      <c r="E66" s="81">
        <f>E65</f>
        <v>34.5</v>
      </c>
      <c r="F66" s="13">
        <f>SUM(E66)</f>
        <v>34.5</v>
      </c>
      <c r="G66" s="13">
        <v>42.28</v>
      </c>
      <c r="H66" s="97">
        <f t="shared" si="7"/>
        <v>1.4586600000000001</v>
      </c>
      <c r="I66" s="13">
        <v>0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30"/>
      <c r="B67" s="14" t="s">
        <v>59</v>
      </c>
      <c r="C67" s="16" t="s">
        <v>60</v>
      </c>
      <c r="D67" s="14" t="s">
        <v>55</v>
      </c>
      <c r="E67" s="19">
        <v>4</v>
      </c>
      <c r="F67" s="82">
        <f>SUM(E67)</f>
        <v>4</v>
      </c>
      <c r="G67" s="13">
        <v>49.88</v>
      </c>
      <c r="H67" s="97">
        <f t="shared" si="7"/>
        <v>0.19952</v>
      </c>
      <c r="I67" s="13">
        <v>0</v>
      </c>
      <c r="J67" s="5"/>
      <c r="K67" s="5"/>
      <c r="L67" s="5"/>
      <c r="M67" s="5"/>
      <c r="N67" s="5"/>
      <c r="O67" s="5"/>
      <c r="P67" s="5"/>
      <c r="Q67" s="5"/>
      <c r="R67" s="183"/>
      <c r="S67" s="183"/>
      <c r="T67" s="183"/>
      <c r="U67" s="183"/>
    </row>
    <row r="68" spans="1:21" ht="15.75" hidden="1" customHeight="1">
      <c r="A68" s="30"/>
      <c r="B68" s="67" t="s">
        <v>77</v>
      </c>
      <c r="C68" s="16"/>
      <c r="D68" s="14"/>
      <c r="E68" s="19"/>
      <c r="F68" s="13"/>
      <c r="G68" s="13"/>
      <c r="H68" s="97" t="s">
        <v>142</v>
      </c>
      <c r="I68" s="87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1" ht="15.75" hidden="1" customHeight="1">
      <c r="A69" s="30">
        <v>19</v>
      </c>
      <c r="B69" s="14" t="s">
        <v>78</v>
      </c>
      <c r="C69" s="16" t="s">
        <v>79</v>
      </c>
      <c r="D69" s="14"/>
      <c r="E69" s="19">
        <v>4</v>
      </c>
      <c r="F69" s="13">
        <v>0.4</v>
      </c>
      <c r="G69" s="13">
        <v>501.62</v>
      </c>
      <c r="H69" s="97">
        <f>SUM(F69*G69/1000)</f>
        <v>0.20064800000000002</v>
      </c>
      <c r="I69" s="13">
        <f>G69*0.2</f>
        <v>100.32400000000001</v>
      </c>
    </row>
    <row r="70" spans="1:21" ht="15.75" hidden="1" customHeight="1">
      <c r="A70" s="30"/>
      <c r="B70" s="14" t="s">
        <v>137</v>
      </c>
      <c r="C70" s="16" t="s">
        <v>97</v>
      </c>
      <c r="D70" s="14"/>
      <c r="E70" s="19">
        <v>1</v>
      </c>
      <c r="F70" s="13">
        <f>E70</f>
        <v>1</v>
      </c>
      <c r="G70" s="13">
        <v>852.99</v>
      </c>
      <c r="H70" s="97">
        <f>SUM(F70*G70/1000)</f>
        <v>0.85299000000000003</v>
      </c>
      <c r="I70" s="13">
        <v>0</v>
      </c>
    </row>
    <row r="71" spans="1:21" ht="15.75" hidden="1" customHeight="1">
      <c r="A71" s="30"/>
      <c r="B71" s="101" t="s">
        <v>80</v>
      </c>
      <c r="C71" s="16"/>
      <c r="D71" s="14"/>
      <c r="E71" s="19"/>
      <c r="F71" s="19"/>
      <c r="G71" s="19"/>
      <c r="H71" s="19"/>
      <c r="I71" s="87"/>
    </row>
    <row r="72" spans="1:21" ht="15.75" hidden="1" customHeight="1">
      <c r="A72" s="30"/>
      <c r="B72" s="53" t="s">
        <v>127</v>
      </c>
      <c r="C72" s="16" t="s">
        <v>81</v>
      </c>
      <c r="D72" s="14"/>
      <c r="E72" s="19"/>
      <c r="F72" s="13">
        <v>0.1</v>
      </c>
      <c r="G72" s="13">
        <v>2759.44</v>
      </c>
      <c r="H72" s="100">
        <f t="shared" ref="H72" si="8">SUM(F72*G72/1000)</f>
        <v>0.27594400000000002</v>
      </c>
      <c r="I72" s="13">
        <v>0</v>
      </c>
    </row>
    <row r="73" spans="1:21" ht="15.75" hidden="1" customHeight="1">
      <c r="A73" s="30"/>
      <c r="B73" s="67" t="s">
        <v>125</v>
      </c>
      <c r="C73" s="101"/>
      <c r="D73" s="32"/>
      <c r="E73" s="33"/>
      <c r="F73" s="102"/>
      <c r="G73" s="102"/>
      <c r="H73" s="103">
        <f>SUM(H55:H72)</f>
        <v>124.27670696000001</v>
      </c>
      <c r="I73" s="85"/>
    </row>
    <row r="74" spans="1:21" ht="15.75" hidden="1" customHeight="1">
      <c r="A74" s="108"/>
      <c r="B74" s="93" t="s">
        <v>126</v>
      </c>
      <c r="C74" s="118"/>
      <c r="D74" s="119"/>
      <c r="E74" s="104"/>
      <c r="F74" s="109">
        <f>232/10</f>
        <v>23.2</v>
      </c>
      <c r="G74" s="109">
        <v>11370</v>
      </c>
      <c r="H74" s="120">
        <f>G74*F74/1000</f>
        <v>263.78399999999999</v>
      </c>
      <c r="I74" s="109">
        <v>0</v>
      </c>
    </row>
    <row r="75" spans="1:21" ht="15.75" customHeight="1">
      <c r="A75" s="186" t="s">
        <v>157</v>
      </c>
      <c r="B75" s="187"/>
      <c r="C75" s="187"/>
      <c r="D75" s="187"/>
      <c r="E75" s="187"/>
      <c r="F75" s="187"/>
      <c r="G75" s="187"/>
      <c r="H75" s="187"/>
      <c r="I75" s="188"/>
    </row>
    <row r="76" spans="1:21" ht="15.75" customHeight="1">
      <c r="A76" s="110">
        <v>14</v>
      </c>
      <c r="B76" s="111" t="s">
        <v>128</v>
      </c>
      <c r="C76" s="121" t="s">
        <v>56</v>
      </c>
      <c r="D76" s="122" t="s">
        <v>57</v>
      </c>
      <c r="E76" s="115">
        <v>3053.4</v>
      </c>
      <c r="F76" s="115">
        <f>SUM(E76*12)</f>
        <v>36640.800000000003</v>
      </c>
      <c r="G76" s="115">
        <v>2.1</v>
      </c>
      <c r="H76" s="123">
        <f>SUM(F76*G76/1000)</f>
        <v>76.94568000000001</v>
      </c>
      <c r="I76" s="115">
        <f>F76/12*G76</f>
        <v>6412.14</v>
      </c>
    </row>
    <row r="77" spans="1:21" ht="31.5" customHeight="1">
      <c r="A77" s="30">
        <v>15</v>
      </c>
      <c r="B77" s="14" t="s">
        <v>82</v>
      </c>
      <c r="C77" s="16"/>
      <c r="D77" s="122" t="s">
        <v>57</v>
      </c>
      <c r="E77" s="81">
        <f>E76</f>
        <v>3053.4</v>
      </c>
      <c r="F77" s="13">
        <f>E77*12</f>
        <v>36640.800000000003</v>
      </c>
      <c r="G77" s="13">
        <v>1.63</v>
      </c>
      <c r="H77" s="100">
        <f>F77*G77/1000</f>
        <v>59.724504000000003</v>
      </c>
      <c r="I77" s="13">
        <f>F77/12*G77</f>
        <v>4977.0419999999995</v>
      </c>
    </row>
    <row r="78" spans="1:21" ht="15.75" customHeight="1">
      <c r="A78" s="30"/>
      <c r="B78" s="44" t="s">
        <v>85</v>
      </c>
      <c r="C78" s="101"/>
      <c r="D78" s="99"/>
      <c r="E78" s="102"/>
      <c r="F78" s="102"/>
      <c r="G78" s="102"/>
      <c r="H78" s="103">
        <f>SUM(H77)</f>
        <v>59.724504000000003</v>
      </c>
      <c r="I78" s="102">
        <f>I16+I17+I18+I20+I21+I23+I25+I26+I29+I30+I32+I58+I60+I76+I77</f>
        <v>37133.098845888882</v>
      </c>
    </row>
    <row r="79" spans="1:21" ht="15.75" customHeight="1">
      <c r="A79" s="169" t="s">
        <v>62</v>
      </c>
      <c r="B79" s="170"/>
      <c r="C79" s="170"/>
      <c r="D79" s="170"/>
      <c r="E79" s="170"/>
      <c r="F79" s="170"/>
      <c r="G79" s="170"/>
      <c r="H79" s="170"/>
      <c r="I79" s="171"/>
    </row>
    <row r="80" spans="1:21" ht="15.75" customHeight="1">
      <c r="A80" s="30">
        <v>16</v>
      </c>
      <c r="B80" s="58" t="s">
        <v>107</v>
      </c>
      <c r="C80" s="59" t="s">
        <v>97</v>
      </c>
      <c r="D80" s="53"/>
      <c r="E80" s="13"/>
      <c r="F80" s="13">
        <v>390</v>
      </c>
      <c r="G80" s="13">
        <v>53.42</v>
      </c>
      <c r="H80" s="100">
        <f>G80*F80/1000</f>
        <v>20.8338</v>
      </c>
      <c r="I80" s="13">
        <f>G80*65</f>
        <v>3472.3</v>
      </c>
    </row>
    <row r="81" spans="1:9" ht="31.5" customHeight="1">
      <c r="A81" s="30">
        <v>17</v>
      </c>
      <c r="B81" s="58" t="s">
        <v>172</v>
      </c>
      <c r="C81" s="59" t="s">
        <v>97</v>
      </c>
      <c r="D81" s="53"/>
      <c r="E81" s="13"/>
      <c r="F81" s="13">
        <v>7</v>
      </c>
      <c r="G81" s="13">
        <v>671.73</v>
      </c>
      <c r="H81" s="100">
        <f>G81*F81/1000</f>
        <v>4.7021100000000002</v>
      </c>
      <c r="I81" s="13">
        <f>G81</f>
        <v>671.73</v>
      </c>
    </row>
    <row r="82" spans="1:9" ht="15.75" customHeight="1">
      <c r="A82" s="30">
        <v>18</v>
      </c>
      <c r="B82" s="58" t="s">
        <v>177</v>
      </c>
      <c r="C82" s="59" t="s">
        <v>97</v>
      </c>
      <c r="D82" s="14"/>
      <c r="E82" s="19"/>
      <c r="F82" s="13">
        <v>4</v>
      </c>
      <c r="G82" s="13">
        <v>22</v>
      </c>
      <c r="H82" s="100">
        <f t="shared" ref="H82:H85" si="9">G82*F82/1000</f>
        <v>8.7999999999999995E-2</v>
      </c>
      <c r="I82" s="13">
        <f t="shared" ref="I82:I85" si="10">G82</f>
        <v>22</v>
      </c>
    </row>
    <row r="83" spans="1:9" ht="15.75" customHeight="1">
      <c r="A83" s="30">
        <v>19</v>
      </c>
      <c r="B83" s="58" t="s">
        <v>173</v>
      </c>
      <c r="C83" s="59" t="s">
        <v>97</v>
      </c>
      <c r="D83" s="14"/>
      <c r="E83" s="19"/>
      <c r="F83" s="13">
        <v>4</v>
      </c>
      <c r="G83" s="13">
        <v>62</v>
      </c>
      <c r="H83" s="100">
        <f t="shared" si="9"/>
        <v>0.248</v>
      </c>
      <c r="I83" s="13">
        <f>G83*2</f>
        <v>124</v>
      </c>
    </row>
    <row r="84" spans="1:9" ht="15.75" customHeight="1">
      <c r="A84" s="30">
        <v>20</v>
      </c>
      <c r="B84" s="58" t="s">
        <v>179</v>
      </c>
      <c r="C84" s="59" t="s">
        <v>97</v>
      </c>
      <c r="D84" s="53"/>
      <c r="E84" s="13"/>
      <c r="F84" s="13">
        <v>2</v>
      </c>
      <c r="G84" s="13">
        <v>46</v>
      </c>
      <c r="H84" s="100">
        <f t="shared" si="9"/>
        <v>9.1999999999999998E-2</v>
      </c>
      <c r="I84" s="13">
        <f t="shared" si="10"/>
        <v>46</v>
      </c>
    </row>
    <row r="85" spans="1:9" ht="15.75" customHeight="1">
      <c r="A85" s="30">
        <v>21</v>
      </c>
      <c r="B85" s="58" t="s">
        <v>174</v>
      </c>
      <c r="C85" s="59" t="s">
        <v>97</v>
      </c>
      <c r="D85" s="53"/>
      <c r="E85" s="13"/>
      <c r="F85" s="13">
        <v>2</v>
      </c>
      <c r="G85" s="13">
        <v>12</v>
      </c>
      <c r="H85" s="100">
        <f t="shared" si="9"/>
        <v>2.4E-2</v>
      </c>
      <c r="I85" s="13">
        <f t="shared" si="10"/>
        <v>12</v>
      </c>
    </row>
    <row r="86" spans="1:9" ht="15.75" customHeight="1">
      <c r="A86" s="30">
        <v>22</v>
      </c>
      <c r="B86" s="105" t="s">
        <v>191</v>
      </c>
      <c r="C86" s="106" t="s">
        <v>99</v>
      </c>
      <c r="D86" s="138"/>
      <c r="E86" s="37"/>
      <c r="F86" s="37">
        <f>(10+10+10+3)/3</f>
        <v>11</v>
      </c>
      <c r="G86" s="37">
        <v>1120.8900000000001</v>
      </c>
      <c r="H86" s="100">
        <f t="shared" ref="H86:H87" si="11">F86*G86/1000</f>
        <v>12.329790000000001</v>
      </c>
      <c r="I86" s="13">
        <f>G86*((10+3)/3)</f>
        <v>4857.1900000000005</v>
      </c>
    </row>
    <row r="87" spans="1:9" ht="15.75" customHeight="1">
      <c r="A87" s="30">
        <v>23</v>
      </c>
      <c r="B87" s="135" t="s">
        <v>200</v>
      </c>
      <c r="C87" s="136" t="s">
        <v>97</v>
      </c>
      <c r="D87" s="138"/>
      <c r="E87" s="37"/>
      <c r="F87" s="37">
        <v>1</v>
      </c>
      <c r="G87" s="37">
        <v>45</v>
      </c>
      <c r="H87" s="134">
        <f t="shared" si="11"/>
        <v>4.4999999999999998E-2</v>
      </c>
      <c r="I87" s="13">
        <f>G87</f>
        <v>45</v>
      </c>
    </row>
    <row r="88" spans="1:9" ht="15.75" customHeight="1">
      <c r="A88" s="30"/>
      <c r="B88" s="51" t="s">
        <v>53</v>
      </c>
      <c r="C88" s="47"/>
      <c r="D88" s="55"/>
      <c r="E88" s="47">
        <v>1</v>
      </c>
      <c r="F88" s="47"/>
      <c r="G88" s="47"/>
      <c r="H88" s="47"/>
      <c r="I88" s="33">
        <f>SUM(I80:I87)</f>
        <v>9250.2200000000012</v>
      </c>
    </row>
    <row r="89" spans="1:9" ht="15.75" customHeight="1">
      <c r="A89" s="30"/>
      <c r="B89" s="53" t="s">
        <v>83</v>
      </c>
      <c r="C89" s="15"/>
      <c r="D89" s="15"/>
      <c r="E89" s="48"/>
      <c r="F89" s="48"/>
      <c r="G89" s="49"/>
      <c r="H89" s="49"/>
      <c r="I89" s="18">
        <v>0</v>
      </c>
    </row>
    <row r="90" spans="1:9" ht="15.75" customHeight="1">
      <c r="A90" s="56"/>
      <c r="B90" s="52" t="s">
        <v>170</v>
      </c>
      <c r="C90" s="36"/>
      <c r="D90" s="36"/>
      <c r="E90" s="36"/>
      <c r="F90" s="36"/>
      <c r="G90" s="36"/>
      <c r="H90" s="36"/>
      <c r="I90" s="50">
        <f>I78+I88</f>
        <v>46383.318845888884</v>
      </c>
    </row>
    <row r="91" spans="1:9" ht="15.75">
      <c r="A91" s="184" t="s">
        <v>201</v>
      </c>
      <c r="B91" s="184"/>
      <c r="C91" s="184"/>
      <c r="D91" s="184"/>
      <c r="E91" s="184"/>
      <c r="F91" s="184"/>
      <c r="G91" s="184"/>
      <c r="H91" s="184"/>
      <c r="I91" s="184"/>
    </row>
    <row r="92" spans="1:9" ht="15.75">
      <c r="A92" s="62"/>
      <c r="B92" s="193" t="s">
        <v>202</v>
      </c>
      <c r="C92" s="193"/>
      <c r="D92" s="193"/>
      <c r="E92" s="193"/>
      <c r="F92" s="193"/>
      <c r="G92" s="193"/>
      <c r="H92" s="78"/>
      <c r="I92" s="3"/>
    </row>
    <row r="93" spans="1:9">
      <c r="A93" s="65"/>
      <c r="B93" s="190" t="s">
        <v>6</v>
      </c>
      <c r="C93" s="190"/>
      <c r="D93" s="190"/>
      <c r="E93" s="190"/>
      <c r="F93" s="190"/>
      <c r="G93" s="190"/>
      <c r="H93" s="25"/>
      <c r="I93" s="5"/>
    </row>
    <row r="94" spans="1:9" ht="15.75" customHeight="1">
      <c r="A94" s="10"/>
      <c r="B94" s="10"/>
      <c r="C94" s="10"/>
      <c r="D94" s="10"/>
      <c r="E94" s="10"/>
      <c r="F94" s="10"/>
      <c r="G94" s="10"/>
      <c r="H94" s="10"/>
      <c r="I94" s="10"/>
    </row>
    <row r="95" spans="1:9" ht="15.75" customHeight="1">
      <c r="A95" s="194" t="s">
        <v>7</v>
      </c>
      <c r="B95" s="194"/>
      <c r="C95" s="194"/>
      <c r="D95" s="194"/>
      <c r="E95" s="194"/>
      <c r="F95" s="194"/>
      <c r="G95" s="194"/>
      <c r="H95" s="194"/>
      <c r="I95" s="194"/>
    </row>
    <row r="96" spans="1:9" ht="15.75" customHeight="1">
      <c r="A96" s="194" t="s">
        <v>8</v>
      </c>
      <c r="B96" s="194"/>
      <c r="C96" s="194"/>
      <c r="D96" s="194"/>
      <c r="E96" s="194"/>
      <c r="F96" s="194"/>
      <c r="G96" s="194"/>
      <c r="H96" s="194"/>
      <c r="I96" s="194"/>
    </row>
    <row r="97" spans="1:9" ht="15.75" customHeight="1">
      <c r="A97" s="177" t="s">
        <v>63</v>
      </c>
      <c r="B97" s="177"/>
      <c r="C97" s="177"/>
      <c r="D97" s="177"/>
      <c r="E97" s="177"/>
      <c r="F97" s="177"/>
      <c r="G97" s="177"/>
      <c r="H97" s="177"/>
      <c r="I97" s="177"/>
    </row>
    <row r="98" spans="1:9" ht="15.75" customHeight="1">
      <c r="A98" s="11"/>
    </row>
    <row r="99" spans="1:9" ht="15.75" customHeight="1">
      <c r="A99" s="178" t="s">
        <v>9</v>
      </c>
      <c r="B99" s="178"/>
      <c r="C99" s="178"/>
      <c r="D99" s="178"/>
      <c r="E99" s="178"/>
      <c r="F99" s="178"/>
      <c r="G99" s="178"/>
      <c r="H99" s="178"/>
      <c r="I99" s="178"/>
    </row>
    <row r="100" spans="1:9" ht="15.75" customHeight="1">
      <c r="A100" s="4"/>
    </row>
    <row r="101" spans="1:9" ht="15.75" customHeight="1">
      <c r="B101" s="61" t="s">
        <v>10</v>
      </c>
      <c r="C101" s="189" t="s">
        <v>96</v>
      </c>
      <c r="D101" s="189"/>
      <c r="E101" s="189"/>
      <c r="F101" s="76"/>
      <c r="I101" s="64"/>
    </row>
    <row r="102" spans="1:9" ht="15.75" customHeight="1">
      <c r="A102" s="65"/>
      <c r="C102" s="190" t="s">
        <v>11</v>
      </c>
      <c r="D102" s="190"/>
      <c r="E102" s="190"/>
      <c r="F102" s="25"/>
      <c r="I102" s="63" t="s">
        <v>12</v>
      </c>
    </row>
    <row r="103" spans="1:9" ht="15.75" customHeight="1">
      <c r="A103" s="26"/>
      <c r="C103" s="12"/>
      <c r="D103" s="12"/>
      <c r="G103" s="12"/>
      <c r="H103" s="12"/>
    </row>
    <row r="104" spans="1:9" ht="15.75" customHeight="1">
      <c r="B104" s="61" t="s">
        <v>13</v>
      </c>
      <c r="C104" s="191"/>
      <c r="D104" s="191"/>
      <c r="E104" s="191"/>
      <c r="F104" s="77"/>
      <c r="I104" s="64"/>
    </row>
    <row r="105" spans="1:9" ht="15.75" customHeight="1">
      <c r="A105" s="65"/>
      <c r="C105" s="183" t="s">
        <v>11</v>
      </c>
      <c r="D105" s="183"/>
      <c r="E105" s="183"/>
      <c r="F105" s="65"/>
      <c r="I105" s="63" t="s">
        <v>12</v>
      </c>
    </row>
    <row r="106" spans="1:9" ht="15.75" customHeight="1">
      <c r="A106" s="4" t="s">
        <v>14</v>
      </c>
    </row>
    <row r="107" spans="1:9">
      <c r="A107" s="192" t="s">
        <v>15</v>
      </c>
      <c r="B107" s="192"/>
      <c r="C107" s="192"/>
      <c r="D107" s="192"/>
      <c r="E107" s="192"/>
      <c r="F107" s="192"/>
      <c r="G107" s="192"/>
      <c r="H107" s="192"/>
      <c r="I107" s="192"/>
    </row>
    <row r="108" spans="1:9" ht="45" customHeight="1">
      <c r="A108" s="185" t="s">
        <v>16</v>
      </c>
      <c r="B108" s="185"/>
      <c r="C108" s="185"/>
      <c r="D108" s="185"/>
      <c r="E108" s="185"/>
      <c r="F108" s="185"/>
      <c r="G108" s="185"/>
      <c r="H108" s="185"/>
      <c r="I108" s="185"/>
    </row>
    <row r="109" spans="1:9" ht="30" customHeight="1">
      <c r="A109" s="185" t="s">
        <v>17</v>
      </c>
      <c r="B109" s="185"/>
      <c r="C109" s="185"/>
      <c r="D109" s="185"/>
      <c r="E109" s="185"/>
      <c r="F109" s="185"/>
      <c r="G109" s="185"/>
      <c r="H109" s="185"/>
      <c r="I109" s="185"/>
    </row>
    <row r="110" spans="1:9" ht="30" customHeight="1">
      <c r="A110" s="185" t="s">
        <v>21</v>
      </c>
      <c r="B110" s="185"/>
      <c r="C110" s="185"/>
      <c r="D110" s="185"/>
      <c r="E110" s="185"/>
      <c r="F110" s="185"/>
      <c r="G110" s="185"/>
      <c r="H110" s="185"/>
      <c r="I110" s="185"/>
    </row>
    <row r="111" spans="1:9" ht="15" customHeight="1">
      <c r="A111" s="185" t="s">
        <v>20</v>
      </c>
      <c r="B111" s="185"/>
      <c r="C111" s="185"/>
      <c r="D111" s="185"/>
      <c r="E111" s="185"/>
      <c r="F111" s="185"/>
      <c r="G111" s="185"/>
      <c r="H111" s="185"/>
      <c r="I111" s="185"/>
    </row>
  </sheetData>
  <autoFilter ref="I12:I62"/>
  <mergeCells count="29">
    <mergeCell ref="A108:I108"/>
    <mergeCell ref="A109:I109"/>
    <mergeCell ref="A110:I110"/>
    <mergeCell ref="A111:I111"/>
    <mergeCell ref="A99:I99"/>
    <mergeCell ref="C101:E101"/>
    <mergeCell ref="C102:E102"/>
    <mergeCell ref="C104:E104"/>
    <mergeCell ref="C105:E105"/>
    <mergeCell ref="A107:I107"/>
    <mergeCell ref="A97:I97"/>
    <mergeCell ref="A15:I15"/>
    <mergeCell ref="A27:I27"/>
    <mergeCell ref="A42:I42"/>
    <mergeCell ref="A53:I53"/>
    <mergeCell ref="A79:I79"/>
    <mergeCell ref="A91:I91"/>
    <mergeCell ref="B92:G92"/>
    <mergeCell ref="B93:G93"/>
    <mergeCell ref="A95:I95"/>
    <mergeCell ref="A96:I96"/>
    <mergeCell ref="R67:U67"/>
    <mergeCell ref="A75:I75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16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91</v>
      </c>
      <c r="I1" s="27"/>
      <c r="J1" s="1"/>
      <c r="K1" s="1"/>
      <c r="L1" s="1"/>
      <c r="M1" s="1"/>
    </row>
    <row r="2" spans="1:13" ht="15.75" customHeight="1">
      <c r="A2" s="29" t="s">
        <v>64</v>
      </c>
      <c r="J2" s="2"/>
      <c r="K2" s="2"/>
      <c r="L2" s="2"/>
      <c r="M2" s="2"/>
    </row>
    <row r="3" spans="1:13" ht="15.75" customHeight="1">
      <c r="A3" s="172" t="s">
        <v>161</v>
      </c>
      <c r="B3" s="172"/>
      <c r="C3" s="172"/>
      <c r="D3" s="172"/>
      <c r="E3" s="172"/>
      <c r="F3" s="172"/>
      <c r="G3" s="172"/>
      <c r="H3" s="172"/>
      <c r="I3" s="172"/>
      <c r="J3" s="3"/>
      <c r="K3" s="3"/>
      <c r="L3" s="3"/>
    </row>
    <row r="4" spans="1:13" ht="31.5" customHeight="1">
      <c r="A4" s="173" t="s">
        <v>129</v>
      </c>
      <c r="B4" s="173"/>
      <c r="C4" s="173"/>
      <c r="D4" s="173"/>
      <c r="E4" s="173"/>
      <c r="F4" s="173"/>
      <c r="G4" s="173"/>
      <c r="H4" s="173"/>
      <c r="I4" s="173"/>
    </row>
    <row r="5" spans="1:13" ht="15.75" customHeight="1">
      <c r="A5" s="172" t="s">
        <v>203</v>
      </c>
      <c r="B5" s="174"/>
      <c r="C5" s="174"/>
      <c r="D5" s="174"/>
      <c r="E5" s="174"/>
      <c r="F5" s="174"/>
      <c r="G5" s="174"/>
      <c r="H5" s="174"/>
      <c r="I5" s="174"/>
      <c r="J5" s="2"/>
      <c r="K5" s="2"/>
      <c r="L5" s="2"/>
      <c r="M5" s="2"/>
    </row>
    <row r="6" spans="1:13" ht="15.75" customHeight="1">
      <c r="A6" s="2"/>
      <c r="B6" s="73"/>
      <c r="C6" s="73"/>
      <c r="D6" s="73"/>
      <c r="E6" s="73"/>
      <c r="F6" s="73"/>
      <c r="G6" s="73"/>
      <c r="H6" s="73"/>
      <c r="I6" s="31">
        <v>42947</v>
      </c>
      <c r="J6" s="2"/>
      <c r="K6" s="2"/>
      <c r="L6" s="2"/>
      <c r="M6" s="2"/>
    </row>
    <row r="7" spans="1:13" ht="15.75" customHeight="1">
      <c r="B7" s="69"/>
      <c r="C7" s="69"/>
      <c r="D7" s="69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75" t="s">
        <v>204</v>
      </c>
      <c r="B8" s="175"/>
      <c r="C8" s="175"/>
      <c r="D8" s="175"/>
      <c r="E8" s="175"/>
      <c r="F8" s="175"/>
      <c r="G8" s="175"/>
      <c r="H8" s="175"/>
      <c r="I8" s="17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76" t="s">
        <v>247</v>
      </c>
      <c r="B10" s="176"/>
      <c r="C10" s="176"/>
      <c r="D10" s="176"/>
      <c r="E10" s="176"/>
      <c r="F10" s="176"/>
      <c r="G10" s="176"/>
      <c r="H10" s="176"/>
      <c r="I10" s="17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68" t="s">
        <v>61</v>
      </c>
      <c r="B14" s="168"/>
      <c r="C14" s="168"/>
      <c r="D14" s="168"/>
      <c r="E14" s="168"/>
      <c r="F14" s="168"/>
      <c r="G14" s="168"/>
      <c r="H14" s="168"/>
      <c r="I14" s="168"/>
      <c r="J14" s="8"/>
      <c r="K14" s="8"/>
      <c r="L14" s="8"/>
      <c r="M14" s="8"/>
    </row>
    <row r="15" spans="1:13" ht="15.75" customHeight="1">
      <c r="A15" s="179" t="s">
        <v>4</v>
      </c>
      <c r="B15" s="179"/>
      <c r="C15" s="179"/>
      <c r="D15" s="179"/>
      <c r="E15" s="179"/>
      <c r="F15" s="179"/>
      <c r="G15" s="179"/>
      <c r="H15" s="179"/>
      <c r="I15" s="179"/>
      <c r="J15" s="8"/>
      <c r="K15" s="8"/>
      <c r="L15" s="8"/>
      <c r="M15" s="8"/>
    </row>
    <row r="16" spans="1:13" ht="15.75" customHeight="1">
      <c r="A16" s="30">
        <v>1</v>
      </c>
      <c r="B16" s="79" t="s">
        <v>92</v>
      </c>
      <c r="C16" s="80" t="s">
        <v>102</v>
      </c>
      <c r="D16" s="79" t="s">
        <v>130</v>
      </c>
      <c r="E16" s="81">
        <v>92.5</v>
      </c>
      <c r="F16" s="82">
        <f>SUM(E16*156/100)</f>
        <v>144.30000000000001</v>
      </c>
      <c r="G16" s="82">
        <v>230</v>
      </c>
      <c r="H16" s="86">
        <f t="shared" ref="H16:H25" si="0">SUM(F16*G16/1000)</f>
        <v>33.189</v>
      </c>
      <c r="I16" s="13">
        <f>F16/12*G16</f>
        <v>2765.75</v>
      </c>
      <c r="J16" s="8"/>
      <c r="K16" s="8"/>
      <c r="L16" s="8"/>
      <c r="M16" s="8"/>
    </row>
    <row r="17" spans="1:13" ht="15.75" customHeight="1">
      <c r="A17" s="30">
        <v>2</v>
      </c>
      <c r="B17" s="79" t="s">
        <v>93</v>
      </c>
      <c r="C17" s="80" t="s">
        <v>102</v>
      </c>
      <c r="D17" s="79" t="s">
        <v>131</v>
      </c>
      <c r="E17" s="81">
        <v>288.8</v>
      </c>
      <c r="F17" s="82">
        <f>SUM(E17*104/100)</f>
        <v>300.35200000000003</v>
      </c>
      <c r="G17" s="82">
        <v>230</v>
      </c>
      <c r="H17" s="86">
        <f t="shared" si="0"/>
        <v>69.080960000000005</v>
      </c>
      <c r="I17" s="13">
        <f>F17/12*G17</f>
        <v>5756.7466666666678</v>
      </c>
      <c r="J17" s="23"/>
      <c r="K17" s="8"/>
      <c r="L17" s="8"/>
      <c r="M17" s="8"/>
    </row>
    <row r="18" spans="1:13" ht="15.75" customHeight="1">
      <c r="A18" s="30">
        <v>3</v>
      </c>
      <c r="B18" s="79" t="s">
        <v>94</v>
      </c>
      <c r="C18" s="80" t="s">
        <v>102</v>
      </c>
      <c r="D18" s="79" t="s">
        <v>167</v>
      </c>
      <c r="E18" s="81">
        <f>SUM(E16+E17)</f>
        <v>381.3</v>
      </c>
      <c r="F18" s="82">
        <f>SUM(E18*12/100)</f>
        <v>45.756</v>
      </c>
      <c r="G18" s="82">
        <v>661.67</v>
      </c>
      <c r="H18" s="86">
        <f t="shared" si="0"/>
        <v>30.275372519999998</v>
      </c>
      <c r="I18" s="13">
        <f>F18/12*G18</f>
        <v>2522.9477099999999</v>
      </c>
      <c r="J18" s="23"/>
      <c r="K18" s="8"/>
      <c r="L18" s="8"/>
      <c r="M18" s="8"/>
    </row>
    <row r="19" spans="1:13" ht="15.75" hidden="1" customHeight="1">
      <c r="A19" s="30">
        <v>4</v>
      </c>
      <c r="B19" s="79" t="s">
        <v>112</v>
      </c>
      <c r="C19" s="80" t="s">
        <v>113</v>
      </c>
      <c r="D19" s="79" t="s">
        <v>114</v>
      </c>
      <c r="E19" s="81">
        <v>19.2</v>
      </c>
      <c r="F19" s="82">
        <f>SUM(E19/10)</f>
        <v>1.92</v>
      </c>
      <c r="G19" s="82">
        <v>223.17</v>
      </c>
      <c r="H19" s="86">
        <f t="shared" si="0"/>
        <v>0.42848639999999993</v>
      </c>
      <c r="I19" s="13">
        <v>0</v>
      </c>
      <c r="J19" s="23"/>
      <c r="K19" s="8"/>
      <c r="L19" s="8"/>
      <c r="M19" s="8"/>
    </row>
    <row r="20" spans="1:13" ht="15.75" hidden="1" customHeight="1">
      <c r="A20" s="30">
        <v>4</v>
      </c>
      <c r="B20" s="79" t="s">
        <v>101</v>
      </c>
      <c r="C20" s="80" t="s">
        <v>102</v>
      </c>
      <c r="D20" s="79" t="s">
        <v>205</v>
      </c>
      <c r="E20" s="81">
        <v>27.3</v>
      </c>
      <c r="F20" s="82">
        <f>SUM(E20*2/100)</f>
        <v>0.54600000000000004</v>
      </c>
      <c r="G20" s="82">
        <v>285.76</v>
      </c>
      <c r="H20" s="86">
        <f t="shared" si="0"/>
        <v>0.15602495999999999</v>
      </c>
      <c r="I20" s="13">
        <f>F20/2*G20</f>
        <v>78.012479999999996</v>
      </c>
      <c r="J20" s="23"/>
      <c r="K20" s="8"/>
      <c r="L20" s="8"/>
      <c r="M20" s="8"/>
    </row>
    <row r="21" spans="1:13" ht="15.75" hidden="1" customHeight="1">
      <c r="A21" s="30">
        <v>5</v>
      </c>
      <c r="B21" s="79" t="s">
        <v>109</v>
      </c>
      <c r="C21" s="80" t="s">
        <v>102</v>
      </c>
      <c r="D21" s="79" t="s">
        <v>205</v>
      </c>
      <c r="E21" s="81">
        <v>9.08</v>
      </c>
      <c r="F21" s="82">
        <f>SUM(E21*2/100)</f>
        <v>0.18160000000000001</v>
      </c>
      <c r="G21" s="82">
        <v>283.44</v>
      </c>
      <c r="H21" s="86">
        <f>SUM(F21*G21/1000)</f>
        <v>5.1472704000000001E-2</v>
      </c>
      <c r="I21" s="13">
        <f>F21/2*G21</f>
        <v>25.736352</v>
      </c>
      <c r="J21" s="23"/>
      <c r="K21" s="8"/>
      <c r="L21" s="8"/>
      <c r="M21" s="8"/>
    </row>
    <row r="22" spans="1:13" ht="15.75" hidden="1" customHeight="1">
      <c r="A22" s="30">
        <v>7</v>
      </c>
      <c r="B22" s="79" t="s">
        <v>103</v>
      </c>
      <c r="C22" s="80" t="s">
        <v>54</v>
      </c>
      <c r="D22" s="79" t="s">
        <v>114</v>
      </c>
      <c r="E22" s="84">
        <v>30</v>
      </c>
      <c r="F22" s="82">
        <f>SUM(E22/100)</f>
        <v>0.3</v>
      </c>
      <c r="G22" s="82">
        <v>58.08</v>
      </c>
      <c r="H22" s="86">
        <f t="shared" si="0"/>
        <v>1.7423999999999999E-2</v>
      </c>
      <c r="I22" s="13">
        <v>0</v>
      </c>
      <c r="J22" s="23"/>
      <c r="K22" s="8"/>
      <c r="L22" s="8"/>
      <c r="M22" s="8"/>
    </row>
    <row r="23" spans="1:13" ht="15.75" hidden="1" customHeight="1">
      <c r="A23" s="30">
        <v>6</v>
      </c>
      <c r="B23" s="79" t="s">
        <v>104</v>
      </c>
      <c r="C23" s="80" t="s">
        <v>54</v>
      </c>
      <c r="D23" s="79" t="s">
        <v>114</v>
      </c>
      <c r="E23" s="81">
        <v>20</v>
      </c>
      <c r="F23" s="82">
        <f>SUM(E23/100)</f>
        <v>0.2</v>
      </c>
      <c r="G23" s="82">
        <v>511.12</v>
      </c>
      <c r="H23" s="86">
        <f t="shared" si="0"/>
        <v>0.10222400000000001</v>
      </c>
      <c r="I23" s="13">
        <v>0</v>
      </c>
      <c r="J23" s="23"/>
      <c r="K23" s="8"/>
      <c r="L23" s="8"/>
      <c r="M23" s="8"/>
    </row>
    <row r="24" spans="1:13" ht="15.75" hidden="1" customHeight="1">
      <c r="A24" s="30">
        <v>9</v>
      </c>
      <c r="B24" s="79" t="s">
        <v>106</v>
      </c>
      <c r="C24" s="80" t="s">
        <v>54</v>
      </c>
      <c r="D24" s="79" t="s">
        <v>114</v>
      </c>
      <c r="E24" s="81">
        <v>8.5</v>
      </c>
      <c r="F24" s="82">
        <f>SUM(E24/100)</f>
        <v>8.5000000000000006E-2</v>
      </c>
      <c r="G24" s="82">
        <v>683.05</v>
      </c>
      <c r="H24" s="86">
        <f t="shared" si="0"/>
        <v>5.805925E-2</v>
      </c>
      <c r="I24" s="13">
        <v>0</v>
      </c>
      <c r="J24" s="23"/>
      <c r="K24" s="8"/>
      <c r="L24" s="8"/>
      <c r="M24" s="8"/>
    </row>
    <row r="25" spans="1:13" ht="15.75" hidden="1" customHeight="1">
      <c r="A25" s="108">
        <v>7</v>
      </c>
      <c r="B25" s="93" t="s">
        <v>110</v>
      </c>
      <c r="C25" s="94" t="s">
        <v>54</v>
      </c>
      <c r="D25" s="93" t="s">
        <v>55</v>
      </c>
      <c r="E25" s="90">
        <v>20</v>
      </c>
      <c r="F25" s="95">
        <f>SUM(E25/100)</f>
        <v>0.2</v>
      </c>
      <c r="G25" s="95">
        <v>283.44</v>
      </c>
      <c r="H25" s="91">
        <f t="shared" si="0"/>
        <v>5.6688000000000002E-2</v>
      </c>
      <c r="I25" s="13">
        <v>0</v>
      </c>
      <c r="J25" s="23"/>
      <c r="K25" s="8"/>
      <c r="L25" s="8"/>
      <c r="M25" s="8"/>
    </row>
    <row r="26" spans="1:13" ht="15.75" customHeight="1">
      <c r="A26" s="30">
        <v>4</v>
      </c>
      <c r="B26" s="35" t="s">
        <v>66</v>
      </c>
      <c r="C26" s="45" t="s">
        <v>33</v>
      </c>
      <c r="D26" s="35" t="s">
        <v>206</v>
      </c>
      <c r="E26" s="141">
        <v>0.05</v>
      </c>
      <c r="F26" s="34">
        <f>SUM(E26*182)</f>
        <v>9.1</v>
      </c>
      <c r="G26" s="34">
        <v>264.85000000000002</v>
      </c>
      <c r="H26" s="142">
        <f t="shared" ref="H26:H27" si="1">SUM(F26*G26/1000)</f>
        <v>2.4101350000000004</v>
      </c>
      <c r="I26" s="13">
        <f>F26/12*G26</f>
        <v>200.84458333333333</v>
      </c>
      <c r="J26" s="24"/>
    </row>
    <row r="27" spans="1:13" ht="15.75" customHeight="1">
      <c r="A27" s="30">
        <v>5</v>
      </c>
      <c r="B27" s="143" t="s">
        <v>23</v>
      </c>
      <c r="C27" s="45" t="s">
        <v>24</v>
      </c>
      <c r="D27" s="143" t="s">
        <v>142</v>
      </c>
      <c r="E27" s="144">
        <v>3053.4</v>
      </c>
      <c r="F27" s="34">
        <f>SUM(E27*12)</f>
        <v>36640.800000000003</v>
      </c>
      <c r="G27" s="34">
        <v>4.09</v>
      </c>
      <c r="H27" s="142">
        <f t="shared" si="1"/>
        <v>149.860872</v>
      </c>
      <c r="I27" s="13">
        <f>F27/12*G27</f>
        <v>12488.405999999999</v>
      </c>
      <c r="J27" s="24"/>
    </row>
    <row r="28" spans="1:13" ht="15.75" customHeight="1">
      <c r="A28" s="179" t="s">
        <v>168</v>
      </c>
      <c r="B28" s="179"/>
      <c r="C28" s="179"/>
      <c r="D28" s="179"/>
      <c r="E28" s="179"/>
      <c r="F28" s="179"/>
      <c r="G28" s="179"/>
      <c r="H28" s="179"/>
      <c r="I28" s="179"/>
      <c r="J28" s="23"/>
      <c r="K28" s="8"/>
      <c r="L28" s="8"/>
      <c r="M28" s="8"/>
    </row>
    <row r="29" spans="1:13" ht="15.75" customHeight="1">
      <c r="A29" s="110"/>
      <c r="B29" s="124" t="s">
        <v>28</v>
      </c>
      <c r="C29" s="112"/>
      <c r="D29" s="111"/>
      <c r="E29" s="113"/>
      <c r="F29" s="114"/>
      <c r="G29" s="114"/>
      <c r="H29" s="125"/>
      <c r="I29" s="126"/>
      <c r="J29" s="23"/>
      <c r="K29" s="8"/>
      <c r="L29" s="8"/>
      <c r="M29" s="8"/>
    </row>
    <row r="30" spans="1:13" ht="15.75" customHeight="1">
      <c r="A30" s="30">
        <v>6</v>
      </c>
      <c r="B30" s="79" t="s">
        <v>115</v>
      </c>
      <c r="C30" s="80" t="s">
        <v>116</v>
      </c>
      <c r="D30" s="79" t="s">
        <v>132</v>
      </c>
      <c r="E30" s="82">
        <v>317.7</v>
      </c>
      <c r="F30" s="82">
        <f>SUM(E30*52/1000)</f>
        <v>16.520399999999999</v>
      </c>
      <c r="G30" s="82">
        <v>204.44</v>
      </c>
      <c r="H30" s="86">
        <f t="shared" ref="H30:H36" si="2">SUM(F30*G30/1000)</f>
        <v>3.3774305759999996</v>
      </c>
      <c r="I30" s="13">
        <f t="shared" ref="I30:I34" si="3">F30/6*G30</f>
        <v>562.90509599999996</v>
      </c>
      <c r="J30" s="23"/>
      <c r="K30" s="8"/>
      <c r="L30" s="8"/>
      <c r="M30" s="8"/>
    </row>
    <row r="31" spans="1:13" ht="31.5" customHeight="1">
      <c r="A31" s="30">
        <v>7</v>
      </c>
      <c r="B31" s="79" t="s">
        <v>149</v>
      </c>
      <c r="C31" s="80" t="s">
        <v>116</v>
      </c>
      <c r="D31" s="79" t="s">
        <v>133</v>
      </c>
      <c r="E31" s="82">
        <v>146.1</v>
      </c>
      <c r="F31" s="82">
        <f>SUM(E31*78/1000)</f>
        <v>11.395799999999999</v>
      </c>
      <c r="G31" s="82">
        <v>339.21</v>
      </c>
      <c r="H31" s="86">
        <f t="shared" si="2"/>
        <v>3.8655693179999995</v>
      </c>
      <c r="I31" s="13">
        <f t="shared" si="3"/>
        <v>644.26155299999994</v>
      </c>
      <c r="J31" s="23"/>
      <c r="K31" s="8"/>
      <c r="L31" s="8"/>
      <c r="M31" s="8"/>
    </row>
    <row r="32" spans="1:13" ht="15.75" hidden="1" customHeight="1">
      <c r="A32" s="30">
        <v>11</v>
      </c>
      <c r="B32" s="79" t="s">
        <v>27</v>
      </c>
      <c r="C32" s="80" t="s">
        <v>116</v>
      </c>
      <c r="D32" s="79" t="s">
        <v>55</v>
      </c>
      <c r="E32" s="82">
        <f>E30</f>
        <v>317.7</v>
      </c>
      <c r="F32" s="82">
        <f>SUM(E32/1000)</f>
        <v>0.31769999999999998</v>
      </c>
      <c r="G32" s="82">
        <v>3961.23</v>
      </c>
      <c r="H32" s="86">
        <f t="shared" si="2"/>
        <v>1.2584827709999999</v>
      </c>
      <c r="I32" s="13">
        <f>F32*G32</f>
        <v>1258.482771</v>
      </c>
      <c r="J32" s="23"/>
      <c r="K32" s="8"/>
      <c r="L32" s="8"/>
      <c r="M32" s="8"/>
    </row>
    <row r="33" spans="1:14" ht="15.75" customHeight="1">
      <c r="A33" s="30">
        <v>8</v>
      </c>
      <c r="B33" s="79" t="s">
        <v>207</v>
      </c>
      <c r="C33" s="80" t="s">
        <v>41</v>
      </c>
      <c r="D33" s="79" t="s">
        <v>65</v>
      </c>
      <c r="E33" s="82">
        <v>5</v>
      </c>
      <c r="F33" s="82">
        <f>E33*155/100</f>
        <v>7.75</v>
      </c>
      <c r="G33" s="82">
        <v>1707.63</v>
      </c>
      <c r="H33" s="86">
        <f t="shared" si="2"/>
        <v>13.234132500000001</v>
      </c>
      <c r="I33" s="13">
        <f t="shared" si="3"/>
        <v>2205.6887500000003</v>
      </c>
      <c r="J33" s="23"/>
      <c r="K33" s="8"/>
      <c r="L33" s="8"/>
      <c r="M33" s="8"/>
    </row>
    <row r="34" spans="1:14" ht="15.75" customHeight="1">
      <c r="A34" s="30">
        <v>9</v>
      </c>
      <c r="B34" s="79" t="s">
        <v>117</v>
      </c>
      <c r="C34" s="80" t="s">
        <v>31</v>
      </c>
      <c r="D34" s="79" t="s">
        <v>65</v>
      </c>
      <c r="E34" s="88">
        <f>1/6</f>
        <v>0.16666666666666666</v>
      </c>
      <c r="F34" s="82">
        <f>155/6</f>
        <v>25.833333333333332</v>
      </c>
      <c r="G34" s="82">
        <v>74.349999999999994</v>
      </c>
      <c r="H34" s="86">
        <f t="shared" si="2"/>
        <v>1.920708333333333</v>
      </c>
      <c r="I34" s="13">
        <f t="shared" si="3"/>
        <v>320.11805555555554</v>
      </c>
      <c r="J34" s="23"/>
      <c r="K34" s="8"/>
      <c r="L34" s="8"/>
      <c r="M34" s="8"/>
    </row>
    <row r="35" spans="1:14" ht="15.75" hidden="1" customHeight="1">
      <c r="A35" s="30"/>
      <c r="B35" s="35" t="s">
        <v>67</v>
      </c>
      <c r="C35" s="45" t="s">
        <v>33</v>
      </c>
      <c r="D35" s="35" t="s">
        <v>69</v>
      </c>
      <c r="E35" s="144"/>
      <c r="F35" s="34">
        <v>2</v>
      </c>
      <c r="G35" s="34">
        <v>250.92</v>
      </c>
      <c r="H35" s="142">
        <f t="shared" si="2"/>
        <v>0.50183999999999995</v>
      </c>
      <c r="I35" s="13">
        <v>0</v>
      </c>
      <c r="J35" s="23"/>
      <c r="K35" s="8"/>
    </row>
    <row r="36" spans="1:14" ht="15.75" hidden="1" customHeight="1">
      <c r="A36" s="30"/>
      <c r="B36" s="35" t="s">
        <v>68</v>
      </c>
      <c r="C36" s="45" t="s">
        <v>32</v>
      </c>
      <c r="D36" s="35" t="s">
        <v>69</v>
      </c>
      <c r="E36" s="144"/>
      <c r="F36" s="34">
        <v>1</v>
      </c>
      <c r="G36" s="34">
        <v>1490.31</v>
      </c>
      <c r="H36" s="142">
        <f t="shared" si="2"/>
        <v>1.49031</v>
      </c>
      <c r="I36" s="13"/>
      <c r="J36" s="23"/>
      <c r="K36" s="8"/>
    </row>
    <row r="37" spans="1:14" ht="15.75" hidden="1" customHeight="1">
      <c r="A37" s="30"/>
      <c r="B37" s="107" t="s">
        <v>5</v>
      </c>
      <c r="C37" s="80"/>
      <c r="D37" s="79"/>
      <c r="E37" s="81"/>
      <c r="F37" s="82"/>
      <c r="G37" s="82"/>
      <c r="H37" s="86" t="s">
        <v>142</v>
      </c>
      <c r="I37" s="87"/>
      <c r="J37" s="24"/>
    </row>
    <row r="38" spans="1:14" ht="15.75" hidden="1" customHeight="1">
      <c r="A38" s="30">
        <v>9</v>
      </c>
      <c r="B38" s="79" t="s">
        <v>26</v>
      </c>
      <c r="C38" s="80" t="s">
        <v>32</v>
      </c>
      <c r="D38" s="79"/>
      <c r="E38" s="81"/>
      <c r="F38" s="82">
        <v>3</v>
      </c>
      <c r="G38" s="82">
        <v>2003</v>
      </c>
      <c r="H38" s="86">
        <f t="shared" ref="H38:H44" si="4">SUM(F38*G38/1000)</f>
        <v>6.0090000000000003</v>
      </c>
      <c r="I38" s="13">
        <f t="shared" ref="I38:I44" si="5">F38/6*G38</f>
        <v>1001.5</v>
      </c>
      <c r="J38" s="24"/>
    </row>
    <row r="39" spans="1:14" ht="15.75" hidden="1" customHeight="1">
      <c r="A39" s="30">
        <v>10</v>
      </c>
      <c r="B39" s="79" t="s">
        <v>70</v>
      </c>
      <c r="C39" s="80" t="s">
        <v>29</v>
      </c>
      <c r="D39" s="79" t="s">
        <v>208</v>
      </c>
      <c r="E39" s="82">
        <v>160.6</v>
      </c>
      <c r="F39" s="82">
        <f>SUM(E39*18/1000)</f>
        <v>2.8907999999999996</v>
      </c>
      <c r="G39" s="82">
        <v>2757.78</v>
      </c>
      <c r="H39" s="86">
        <f t="shared" si="4"/>
        <v>7.972190423999999</v>
      </c>
      <c r="I39" s="13">
        <f t="shared" si="5"/>
        <v>1328.698404</v>
      </c>
      <c r="J39" s="24"/>
    </row>
    <row r="40" spans="1:14" ht="15.75" hidden="1" customHeight="1">
      <c r="A40" s="30">
        <v>11</v>
      </c>
      <c r="B40" s="79" t="s">
        <v>71</v>
      </c>
      <c r="C40" s="80" t="s">
        <v>29</v>
      </c>
      <c r="D40" s="79" t="s">
        <v>135</v>
      </c>
      <c r="E40" s="81">
        <v>89.1</v>
      </c>
      <c r="F40" s="82">
        <f>SUM(E40*155/1000)</f>
        <v>13.810499999999999</v>
      </c>
      <c r="G40" s="82">
        <v>460.02</v>
      </c>
      <c r="H40" s="86">
        <f t="shared" si="4"/>
        <v>6.3531062099999991</v>
      </c>
      <c r="I40" s="13">
        <f t="shared" si="5"/>
        <v>1058.8510349999999</v>
      </c>
      <c r="J40" s="24"/>
    </row>
    <row r="41" spans="1:14" ht="15.75" hidden="1" customHeight="1">
      <c r="A41" s="30">
        <v>12</v>
      </c>
      <c r="B41" s="79" t="s">
        <v>209</v>
      </c>
      <c r="C41" s="80" t="s">
        <v>210</v>
      </c>
      <c r="D41" s="79" t="s">
        <v>69</v>
      </c>
      <c r="E41" s="81"/>
      <c r="F41" s="82">
        <v>39</v>
      </c>
      <c r="G41" s="82">
        <v>301.70999999999998</v>
      </c>
      <c r="H41" s="86">
        <f t="shared" si="4"/>
        <v>11.766689999999999</v>
      </c>
      <c r="I41" s="13">
        <v>0</v>
      </c>
      <c r="J41" s="24"/>
    </row>
    <row r="42" spans="1:14" ht="47.25" hidden="1" customHeight="1">
      <c r="A42" s="30">
        <v>13</v>
      </c>
      <c r="B42" s="79" t="s">
        <v>88</v>
      </c>
      <c r="C42" s="80" t="s">
        <v>116</v>
      </c>
      <c r="D42" s="79" t="s">
        <v>211</v>
      </c>
      <c r="E42" s="82">
        <v>46.5</v>
      </c>
      <c r="F42" s="82">
        <f>SUM(E42*35/1000)</f>
        <v>1.6274999999999999</v>
      </c>
      <c r="G42" s="82">
        <v>7611.16</v>
      </c>
      <c r="H42" s="86">
        <f t="shared" si="4"/>
        <v>12.3871629</v>
      </c>
      <c r="I42" s="13">
        <f t="shared" si="5"/>
        <v>2064.5271499999999</v>
      </c>
      <c r="J42" s="24"/>
      <c r="L42" s="20"/>
      <c r="M42" s="21"/>
      <c r="N42" s="22"/>
    </row>
    <row r="43" spans="1:14" ht="15.75" hidden="1" customHeight="1">
      <c r="A43" s="108">
        <v>14</v>
      </c>
      <c r="B43" s="79" t="s">
        <v>118</v>
      </c>
      <c r="C43" s="80" t="s">
        <v>116</v>
      </c>
      <c r="D43" s="79" t="s">
        <v>72</v>
      </c>
      <c r="E43" s="82">
        <v>89.1</v>
      </c>
      <c r="F43" s="82">
        <f>SUM(E43*45/1000)</f>
        <v>4.0094999999999992</v>
      </c>
      <c r="G43" s="82">
        <v>562.25</v>
      </c>
      <c r="H43" s="86">
        <f t="shared" si="4"/>
        <v>2.2543413749999996</v>
      </c>
      <c r="I43" s="13">
        <f t="shared" si="5"/>
        <v>375.72356249999996</v>
      </c>
      <c r="J43" s="24"/>
      <c r="L43" s="20"/>
      <c r="M43" s="21"/>
      <c r="N43" s="22"/>
    </row>
    <row r="44" spans="1:14" ht="15.75" hidden="1" customHeight="1">
      <c r="A44" s="145"/>
      <c r="B44" s="79" t="s">
        <v>73</v>
      </c>
      <c r="C44" s="80" t="s">
        <v>33</v>
      </c>
      <c r="D44" s="79"/>
      <c r="E44" s="81"/>
      <c r="F44" s="82">
        <v>0.9</v>
      </c>
      <c r="G44" s="82">
        <v>974.83</v>
      </c>
      <c r="H44" s="86">
        <f t="shared" si="4"/>
        <v>0.8773470000000001</v>
      </c>
      <c r="I44" s="13">
        <f t="shared" si="5"/>
        <v>146.22450000000001</v>
      </c>
      <c r="J44" s="24"/>
      <c r="L44" s="20"/>
      <c r="M44" s="21"/>
      <c r="N44" s="22"/>
    </row>
    <row r="45" spans="1:14" ht="15.75" hidden="1" customHeight="1">
      <c r="A45" s="186" t="s">
        <v>150</v>
      </c>
      <c r="B45" s="187"/>
      <c r="C45" s="187"/>
      <c r="D45" s="187"/>
      <c r="E45" s="187"/>
      <c r="F45" s="187"/>
      <c r="G45" s="187"/>
      <c r="H45" s="187"/>
      <c r="I45" s="188"/>
      <c r="J45" s="24"/>
      <c r="L45" s="20"/>
      <c r="M45" s="21"/>
      <c r="N45" s="22"/>
    </row>
    <row r="46" spans="1:14" ht="15.75" hidden="1" customHeight="1">
      <c r="A46" s="110"/>
      <c r="B46" s="35" t="s">
        <v>119</v>
      </c>
      <c r="C46" s="45" t="s">
        <v>116</v>
      </c>
      <c r="D46" s="35" t="s">
        <v>43</v>
      </c>
      <c r="E46" s="144">
        <v>1632.75</v>
      </c>
      <c r="F46" s="34">
        <f>SUM(E46*2/1000)</f>
        <v>3.2654999999999998</v>
      </c>
      <c r="G46" s="37">
        <v>1062</v>
      </c>
      <c r="H46" s="142">
        <f t="shared" ref="H46:H55" si="6">SUM(F46*G46/1000)</f>
        <v>3.4679609999999998</v>
      </c>
      <c r="I46" s="13">
        <f>F46/2*G46</f>
        <v>1733.9804999999999</v>
      </c>
      <c r="J46" s="24"/>
      <c r="L46" s="20"/>
      <c r="M46" s="21"/>
      <c r="N46" s="22"/>
    </row>
    <row r="47" spans="1:14" ht="15.75" hidden="1" customHeight="1">
      <c r="A47" s="30"/>
      <c r="B47" s="35" t="s">
        <v>36</v>
      </c>
      <c r="C47" s="45" t="s">
        <v>116</v>
      </c>
      <c r="D47" s="35" t="s">
        <v>43</v>
      </c>
      <c r="E47" s="144">
        <v>53.75</v>
      </c>
      <c r="F47" s="34">
        <f>SUM(E47*2/1000)</f>
        <v>0.1075</v>
      </c>
      <c r="G47" s="37">
        <v>759.98</v>
      </c>
      <c r="H47" s="142">
        <f t="shared" si="6"/>
        <v>8.1697850000000002E-2</v>
      </c>
      <c r="I47" s="13">
        <f t="shared" ref="I47:I54" si="7">F47/2*G47</f>
        <v>40.848925000000001</v>
      </c>
      <c r="J47" s="24"/>
      <c r="L47" s="20"/>
      <c r="M47" s="21"/>
      <c r="N47" s="22"/>
    </row>
    <row r="48" spans="1:14" ht="15.75" hidden="1" customHeight="1">
      <c r="A48" s="30"/>
      <c r="B48" s="35" t="s">
        <v>37</v>
      </c>
      <c r="C48" s="45" t="s">
        <v>116</v>
      </c>
      <c r="D48" s="35" t="s">
        <v>43</v>
      </c>
      <c r="E48" s="144">
        <v>2285.6</v>
      </c>
      <c r="F48" s="34">
        <f>SUM(E48*2/1000)</f>
        <v>4.5712000000000002</v>
      </c>
      <c r="G48" s="37">
        <v>759.98</v>
      </c>
      <c r="H48" s="142">
        <f t="shared" si="6"/>
        <v>3.4740205760000005</v>
      </c>
      <c r="I48" s="13">
        <f t="shared" si="7"/>
        <v>1737.0102880000002</v>
      </c>
      <c r="J48" s="24"/>
      <c r="L48" s="20"/>
      <c r="M48" s="21"/>
      <c r="N48" s="22"/>
    </row>
    <row r="49" spans="1:14" ht="15.75" hidden="1" customHeight="1">
      <c r="A49" s="30"/>
      <c r="B49" s="35" t="s">
        <v>38</v>
      </c>
      <c r="C49" s="45" t="s">
        <v>116</v>
      </c>
      <c r="D49" s="35" t="s">
        <v>43</v>
      </c>
      <c r="E49" s="144">
        <v>1860</v>
      </c>
      <c r="F49" s="34">
        <f>SUM(E49*2/1000)</f>
        <v>3.72</v>
      </c>
      <c r="G49" s="37">
        <v>795.82</v>
      </c>
      <c r="H49" s="142">
        <f t="shared" si="6"/>
        <v>2.9604504</v>
      </c>
      <c r="I49" s="13">
        <f t="shared" si="7"/>
        <v>1480.2252000000001</v>
      </c>
      <c r="J49" s="24"/>
      <c r="L49" s="20"/>
      <c r="M49" s="21"/>
      <c r="N49" s="22"/>
    </row>
    <row r="50" spans="1:14" ht="15.75" hidden="1" customHeight="1">
      <c r="A50" s="30"/>
      <c r="B50" s="35" t="s">
        <v>34</v>
      </c>
      <c r="C50" s="45" t="s">
        <v>35</v>
      </c>
      <c r="D50" s="35" t="s">
        <v>43</v>
      </c>
      <c r="E50" s="144">
        <v>120.5</v>
      </c>
      <c r="F50" s="34">
        <f>SUM(E50*2/100)</f>
        <v>2.41</v>
      </c>
      <c r="G50" s="37">
        <v>95.49</v>
      </c>
      <c r="H50" s="142">
        <f t="shared" si="6"/>
        <v>0.2301309</v>
      </c>
      <c r="I50" s="13">
        <f t="shared" si="7"/>
        <v>115.06545</v>
      </c>
      <c r="J50" s="24"/>
      <c r="L50" s="20"/>
      <c r="M50" s="21"/>
      <c r="N50" s="22"/>
    </row>
    <row r="51" spans="1:14" ht="15.75" hidden="1" customHeight="1">
      <c r="A51" s="30">
        <v>15</v>
      </c>
      <c r="B51" s="35" t="s">
        <v>58</v>
      </c>
      <c r="C51" s="45" t="s">
        <v>116</v>
      </c>
      <c r="D51" s="35" t="s">
        <v>153</v>
      </c>
      <c r="E51" s="144">
        <v>3053.4</v>
      </c>
      <c r="F51" s="34">
        <f>SUM(E51*5/1000)</f>
        <v>15.266999999999999</v>
      </c>
      <c r="G51" s="37">
        <v>1591.6</v>
      </c>
      <c r="H51" s="142">
        <f t="shared" si="6"/>
        <v>24.298957199999997</v>
      </c>
      <c r="I51" s="13">
        <f>F51/5*G51</f>
        <v>4859.79144</v>
      </c>
      <c r="J51" s="24"/>
      <c r="L51" s="20"/>
      <c r="M51" s="21"/>
      <c r="N51" s="22"/>
    </row>
    <row r="52" spans="1:14" ht="31.5" hidden="1" customHeight="1">
      <c r="A52" s="30"/>
      <c r="B52" s="35" t="s">
        <v>120</v>
      </c>
      <c r="C52" s="45" t="s">
        <v>116</v>
      </c>
      <c r="D52" s="35" t="s">
        <v>43</v>
      </c>
      <c r="E52" s="144">
        <f>E51</f>
        <v>3053.4</v>
      </c>
      <c r="F52" s="34">
        <f>SUM(E52*2/1000)</f>
        <v>6.1067999999999998</v>
      </c>
      <c r="G52" s="37">
        <v>1591.6</v>
      </c>
      <c r="H52" s="142">
        <f t="shared" si="6"/>
        <v>9.7195828800000008</v>
      </c>
      <c r="I52" s="13">
        <f t="shared" si="7"/>
        <v>4859.79144</v>
      </c>
      <c r="J52" s="24"/>
      <c r="L52" s="20"/>
      <c r="M52" s="21"/>
      <c r="N52" s="22"/>
    </row>
    <row r="53" spans="1:14" ht="31.5" hidden="1" customHeight="1">
      <c r="A53" s="30"/>
      <c r="B53" s="35" t="s">
        <v>143</v>
      </c>
      <c r="C53" s="45" t="s">
        <v>39</v>
      </c>
      <c r="D53" s="35" t="s">
        <v>43</v>
      </c>
      <c r="E53" s="144">
        <v>20</v>
      </c>
      <c r="F53" s="34">
        <f>SUM(E53*2/100)</f>
        <v>0.4</v>
      </c>
      <c r="G53" s="37">
        <v>3581.13</v>
      </c>
      <c r="H53" s="142">
        <f t="shared" si="6"/>
        <v>1.4324520000000003</v>
      </c>
      <c r="I53" s="13">
        <f t="shared" si="7"/>
        <v>716.22600000000011</v>
      </c>
      <c r="J53" s="24"/>
      <c r="L53" s="20"/>
      <c r="M53" s="21"/>
      <c r="N53" s="22"/>
    </row>
    <row r="54" spans="1:14" ht="15.75" hidden="1" customHeight="1">
      <c r="A54" s="30"/>
      <c r="B54" s="35" t="s">
        <v>40</v>
      </c>
      <c r="C54" s="45" t="s">
        <v>41</v>
      </c>
      <c r="D54" s="35" t="s">
        <v>43</v>
      </c>
      <c r="E54" s="144">
        <v>1</v>
      </c>
      <c r="F54" s="34">
        <v>0.02</v>
      </c>
      <c r="G54" s="37">
        <v>7412.92</v>
      </c>
      <c r="H54" s="142">
        <f t="shared" si="6"/>
        <v>0.14825839999999998</v>
      </c>
      <c r="I54" s="13">
        <f t="shared" si="7"/>
        <v>74.129199999999997</v>
      </c>
      <c r="J54" s="24"/>
      <c r="L54" s="20"/>
      <c r="M54" s="21"/>
      <c r="N54" s="22"/>
    </row>
    <row r="55" spans="1:14" ht="15.75" hidden="1" customHeight="1">
      <c r="A55" s="30">
        <v>16</v>
      </c>
      <c r="B55" s="35" t="s">
        <v>42</v>
      </c>
      <c r="C55" s="45" t="s">
        <v>97</v>
      </c>
      <c r="D55" s="35" t="s">
        <v>74</v>
      </c>
      <c r="E55" s="144">
        <v>128</v>
      </c>
      <c r="F55" s="34">
        <f>SUM(E55)*3</f>
        <v>384</v>
      </c>
      <c r="G55" s="38">
        <v>86.15</v>
      </c>
      <c r="H55" s="142">
        <f t="shared" si="6"/>
        <v>33.081600000000009</v>
      </c>
      <c r="I55" s="13">
        <f>E55*G55</f>
        <v>11027.2</v>
      </c>
      <c r="J55" s="24"/>
      <c r="L55" s="20"/>
      <c r="M55" s="21"/>
      <c r="N55" s="22"/>
    </row>
    <row r="56" spans="1:14" ht="15.75" customHeight="1">
      <c r="A56" s="180" t="s">
        <v>156</v>
      </c>
      <c r="B56" s="181"/>
      <c r="C56" s="181"/>
      <c r="D56" s="181"/>
      <c r="E56" s="181"/>
      <c r="F56" s="181"/>
      <c r="G56" s="181"/>
      <c r="H56" s="181"/>
      <c r="I56" s="182"/>
      <c r="J56" s="24"/>
      <c r="L56" s="20"/>
      <c r="M56" s="21"/>
      <c r="N56" s="22"/>
    </row>
    <row r="57" spans="1:14" ht="15.75" hidden="1" customHeight="1">
      <c r="A57" s="30"/>
      <c r="B57" s="107" t="s">
        <v>44</v>
      </c>
      <c r="C57" s="80"/>
      <c r="D57" s="79"/>
      <c r="E57" s="81"/>
      <c r="F57" s="82"/>
      <c r="G57" s="82"/>
      <c r="H57" s="86"/>
      <c r="I57" s="87"/>
      <c r="J57" s="24"/>
      <c r="L57" s="20"/>
      <c r="M57" s="21"/>
      <c r="N57" s="22"/>
    </row>
    <row r="58" spans="1:14" ht="31.5" hidden="1" customHeight="1">
      <c r="A58" s="30">
        <v>17</v>
      </c>
      <c r="B58" s="79" t="s">
        <v>121</v>
      </c>
      <c r="C58" s="80" t="s">
        <v>102</v>
      </c>
      <c r="D58" s="79" t="s">
        <v>122</v>
      </c>
      <c r="E58" s="81">
        <v>92.7</v>
      </c>
      <c r="F58" s="82">
        <f>SUM(E58*6/100)</f>
        <v>5.5620000000000003</v>
      </c>
      <c r="G58" s="13">
        <v>2431.1799999999998</v>
      </c>
      <c r="H58" s="86">
        <f>SUM(F58*G58/1000)</f>
        <v>13.522223159999999</v>
      </c>
      <c r="I58" s="13">
        <f>F58/6*G58</f>
        <v>2253.7038600000001</v>
      </c>
      <c r="J58" s="24"/>
      <c r="L58" s="20"/>
      <c r="M58" s="21"/>
      <c r="N58" s="22"/>
    </row>
    <row r="59" spans="1:14" ht="15.75" hidden="1" customHeight="1">
      <c r="A59" s="30"/>
      <c r="B59" s="79" t="s">
        <v>144</v>
      </c>
      <c r="C59" s="80" t="s">
        <v>145</v>
      </c>
      <c r="D59" s="14" t="s">
        <v>69</v>
      </c>
      <c r="E59" s="81"/>
      <c r="F59" s="82">
        <v>2</v>
      </c>
      <c r="G59" s="75">
        <v>1582.05</v>
      </c>
      <c r="H59" s="86">
        <f>SUM(F59*G59/1000)</f>
        <v>3.1640999999999999</v>
      </c>
      <c r="I59" s="13">
        <v>0</v>
      </c>
      <c r="J59" s="24"/>
      <c r="L59" s="20"/>
      <c r="M59" s="21"/>
      <c r="N59" s="22"/>
    </row>
    <row r="60" spans="1:14" ht="15.75" customHeight="1">
      <c r="A60" s="30"/>
      <c r="B60" s="107" t="s">
        <v>45</v>
      </c>
      <c r="C60" s="80"/>
      <c r="D60" s="79"/>
      <c r="E60" s="81"/>
      <c r="F60" s="82"/>
      <c r="G60" s="82"/>
      <c r="H60" s="83" t="s">
        <v>142</v>
      </c>
      <c r="I60" s="87"/>
      <c r="J60" s="24"/>
      <c r="L60" s="20"/>
      <c r="M60" s="21"/>
      <c r="N60" s="22"/>
    </row>
    <row r="61" spans="1:14" ht="15.75" hidden="1" customHeight="1">
      <c r="A61" s="30"/>
      <c r="B61" s="35" t="s">
        <v>46</v>
      </c>
      <c r="C61" s="45" t="s">
        <v>102</v>
      </c>
      <c r="D61" s="35" t="s">
        <v>55</v>
      </c>
      <c r="E61" s="146">
        <v>145</v>
      </c>
      <c r="F61" s="34">
        <f>SUM(E61/100)</f>
        <v>1.45</v>
      </c>
      <c r="G61" s="37">
        <v>1040.8399999999999</v>
      </c>
      <c r="H61" s="147">
        <v>9.1679999999999993</v>
      </c>
      <c r="I61" s="13">
        <v>0</v>
      </c>
      <c r="J61" s="24"/>
      <c r="L61" s="20"/>
      <c r="M61" s="21"/>
      <c r="N61" s="22"/>
    </row>
    <row r="62" spans="1:14" ht="15.75" customHeight="1">
      <c r="A62" s="30">
        <v>10</v>
      </c>
      <c r="B62" s="148" t="s">
        <v>98</v>
      </c>
      <c r="C62" s="149" t="s">
        <v>25</v>
      </c>
      <c r="D62" s="148" t="s">
        <v>30</v>
      </c>
      <c r="E62" s="146">
        <v>255.2</v>
      </c>
      <c r="F62" s="34">
        <f>SUM(E62*12)</f>
        <v>3062.3999999999996</v>
      </c>
      <c r="G62" s="150">
        <v>2.8</v>
      </c>
      <c r="H62" s="151">
        <f>G62*F62/1000</f>
        <v>8.5747199999999992</v>
      </c>
      <c r="I62" s="13">
        <f>F62/12*G62</f>
        <v>714.55999999999983</v>
      </c>
      <c r="J62" s="24"/>
      <c r="L62" s="20"/>
      <c r="M62" s="21"/>
      <c r="N62" s="22"/>
    </row>
    <row r="63" spans="1:14" ht="15.75" customHeight="1">
      <c r="A63" s="30"/>
      <c r="B63" s="117" t="s">
        <v>47</v>
      </c>
      <c r="C63" s="94"/>
      <c r="D63" s="93"/>
      <c r="E63" s="90"/>
      <c r="F63" s="95"/>
      <c r="G63" s="95"/>
      <c r="H63" s="96" t="s">
        <v>142</v>
      </c>
      <c r="I63" s="87"/>
      <c r="J63" s="24"/>
      <c r="L63" s="20"/>
      <c r="M63" s="21"/>
      <c r="N63" s="22"/>
    </row>
    <row r="64" spans="1:14" ht="15.75" customHeight="1">
      <c r="A64" s="30">
        <v>11</v>
      </c>
      <c r="B64" s="57" t="s">
        <v>48</v>
      </c>
      <c r="C64" s="41" t="s">
        <v>97</v>
      </c>
      <c r="D64" s="40" t="s">
        <v>69</v>
      </c>
      <c r="E64" s="18">
        <v>6</v>
      </c>
      <c r="F64" s="34">
        <f>SUM(E64)</f>
        <v>6</v>
      </c>
      <c r="G64" s="37">
        <v>291.68</v>
      </c>
      <c r="H64" s="134">
        <f t="shared" ref="H64:H72" si="8">SUM(F64*G64/1000)</f>
        <v>1.7500799999999999</v>
      </c>
      <c r="I64" s="13">
        <f>G64*9</f>
        <v>2625.12</v>
      </c>
      <c r="J64" s="24"/>
      <c r="L64" s="20"/>
    </row>
    <row r="65" spans="1:22" ht="15.75" hidden="1" customHeight="1">
      <c r="A65" s="30"/>
      <c r="B65" s="57" t="s">
        <v>49</v>
      </c>
      <c r="C65" s="41" t="s">
        <v>97</v>
      </c>
      <c r="D65" s="40" t="s">
        <v>69</v>
      </c>
      <c r="E65" s="18">
        <v>4</v>
      </c>
      <c r="F65" s="34">
        <f>SUM(E65)</f>
        <v>4</v>
      </c>
      <c r="G65" s="37">
        <v>100.01</v>
      </c>
      <c r="H65" s="134">
        <f t="shared" si="8"/>
        <v>0.40004000000000001</v>
      </c>
      <c r="I65" s="13">
        <v>0</v>
      </c>
      <c r="J65" s="24"/>
      <c r="L65" s="20"/>
    </row>
    <row r="66" spans="1:22" ht="15.75" hidden="1" customHeight="1">
      <c r="A66" s="30"/>
      <c r="B66" s="57" t="s">
        <v>50</v>
      </c>
      <c r="C66" s="43" t="s">
        <v>123</v>
      </c>
      <c r="D66" s="40" t="s">
        <v>55</v>
      </c>
      <c r="E66" s="144">
        <v>15552</v>
      </c>
      <c r="F66" s="38">
        <f>SUM(E66/100)</f>
        <v>155.52000000000001</v>
      </c>
      <c r="G66" s="37">
        <v>278.24</v>
      </c>
      <c r="H66" s="134">
        <f t="shared" si="8"/>
        <v>43.271884800000009</v>
      </c>
      <c r="I66" s="13">
        <v>0</v>
      </c>
    </row>
    <row r="67" spans="1:22" ht="15.75" hidden="1" customHeight="1">
      <c r="A67" s="30"/>
      <c r="B67" s="57" t="s">
        <v>51</v>
      </c>
      <c r="C67" s="41" t="s">
        <v>124</v>
      </c>
      <c r="D67" s="40"/>
      <c r="E67" s="144">
        <v>15552</v>
      </c>
      <c r="F67" s="37">
        <f>SUM(E67/1000)</f>
        <v>15.552</v>
      </c>
      <c r="G67" s="37">
        <v>216.68</v>
      </c>
      <c r="H67" s="134">
        <f t="shared" si="8"/>
        <v>3.3698073600000003</v>
      </c>
      <c r="I67" s="13">
        <v>0</v>
      </c>
    </row>
    <row r="68" spans="1:22" ht="15.75" hidden="1" customHeight="1">
      <c r="A68" s="30"/>
      <c r="B68" s="57" t="s">
        <v>52</v>
      </c>
      <c r="C68" s="41" t="s">
        <v>81</v>
      </c>
      <c r="D68" s="40" t="s">
        <v>55</v>
      </c>
      <c r="E68" s="144">
        <v>2432</v>
      </c>
      <c r="F68" s="37">
        <f>SUM(E68/100)</f>
        <v>24.32</v>
      </c>
      <c r="G68" s="37">
        <v>2720.94</v>
      </c>
      <c r="H68" s="134">
        <f t="shared" si="8"/>
        <v>66.173260800000008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15.75" hidden="1" customHeight="1">
      <c r="A69" s="30"/>
      <c r="B69" s="54" t="s">
        <v>75</v>
      </c>
      <c r="C69" s="41" t="s">
        <v>33</v>
      </c>
      <c r="D69" s="40"/>
      <c r="E69" s="144">
        <v>14.8</v>
      </c>
      <c r="F69" s="37">
        <f>SUM(E69)</f>
        <v>14.8</v>
      </c>
      <c r="G69" s="37">
        <v>42.61</v>
      </c>
      <c r="H69" s="134">
        <f t="shared" si="8"/>
        <v>0.63062800000000008</v>
      </c>
      <c r="I69" s="13">
        <v>0</v>
      </c>
      <c r="J69" s="26"/>
      <c r="K69" s="26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31.5" hidden="1" customHeight="1">
      <c r="A70" s="30"/>
      <c r="B70" s="54" t="s">
        <v>76</v>
      </c>
      <c r="C70" s="41" t="s">
        <v>33</v>
      </c>
      <c r="D70" s="40"/>
      <c r="E70" s="144">
        <f>E69</f>
        <v>14.8</v>
      </c>
      <c r="F70" s="37">
        <f>SUM(E70)</f>
        <v>14.8</v>
      </c>
      <c r="G70" s="37">
        <v>46.04</v>
      </c>
      <c r="H70" s="134">
        <f t="shared" si="8"/>
        <v>0.681392</v>
      </c>
      <c r="I70" s="13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15.75" hidden="1" customHeight="1">
      <c r="A71" s="30"/>
      <c r="B71" s="40" t="s">
        <v>59</v>
      </c>
      <c r="C71" s="41" t="s">
        <v>60</v>
      </c>
      <c r="D71" s="40" t="s">
        <v>55</v>
      </c>
      <c r="E71" s="18">
        <v>5</v>
      </c>
      <c r="F71" s="34">
        <f>SUM(E71)</f>
        <v>5</v>
      </c>
      <c r="G71" s="37">
        <v>65.42</v>
      </c>
      <c r="H71" s="134">
        <f t="shared" si="8"/>
        <v>0.3271</v>
      </c>
      <c r="I71" s="13">
        <v>0</v>
      </c>
      <c r="J71" s="5"/>
      <c r="K71" s="5"/>
      <c r="L71" s="5"/>
      <c r="M71" s="5"/>
      <c r="N71" s="5"/>
      <c r="O71" s="5"/>
      <c r="P71" s="5"/>
      <c r="Q71" s="5"/>
      <c r="R71" s="183"/>
      <c r="S71" s="183"/>
      <c r="T71" s="183"/>
      <c r="U71" s="183"/>
    </row>
    <row r="72" spans="1:22" ht="15.75" customHeight="1">
      <c r="A72" s="30">
        <v>12</v>
      </c>
      <c r="B72" s="40" t="s">
        <v>212</v>
      </c>
      <c r="C72" s="46" t="s">
        <v>213</v>
      </c>
      <c r="D72" s="40" t="s">
        <v>69</v>
      </c>
      <c r="E72" s="18">
        <f>E51</f>
        <v>3053.4</v>
      </c>
      <c r="F72" s="34">
        <f>SUM(E72*12)</f>
        <v>36640.800000000003</v>
      </c>
      <c r="G72" s="37">
        <v>2.2799999999999998</v>
      </c>
      <c r="H72" s="134">
        <f t="shared" si="8"/>
        <v>83.541024000000007</v>
      </c>
      <c r="I72" s="13">
        <f>F72/12*G72</f>
        <v>6961.7519999999995</v>
      </c>
      <c r="J72" s="5"/>
      <c r="K72" s="5"/>
      <c r="L72" s="5"/>
      <c r="M72" s="5"/>
      <c r="N72" s="5"/>
      <c r="O72" s="5"/>
      <c r="P72" s="5"/>
      <c r="Q72" s="5"/>
      <c r="R72" s="68"/>
      <c r="S72" s="68"/>
      <c r="T72" s="68"/>
      <c r="U72" s="68"/>
    </row>
    <row r="73" spans="1:22" ht="15.75" customHeight="1">
      <c r="A73" s="30"/>
      <c r="B73" s="74" t="s">
        <v>77</v>
      </c>
      <c r="C73" s="16"/>
      <c r="D73" s="14"/>
      <c r="E73" s="19"/>
      <c r="F73" s="13"/>
      <c r="G73" s="13"/>
      <c r="H73" s="97" t="s">
        <v>142</v>
      </c>
      <c r="I73" s="87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4" spans="1:22" ht="15.75" hidden="1" customHeight="1">
      <c r="A74" s="30">
        <v>19</v>
      </c>
      <c r="B74" s="40" t="s">
        <v>214</v>
      </c>
      <c r="C74" s="41" t="s">
        <v>215</v>
      </c>
      <c r="D74" s="40" t="s">
        <v>69</v>
      </c>
      <c r="E74" s="18">
        <v>1</v>
      </c>
      <c r="F74" s="37">
        <f>E74</f>
        <v>1</v>
      </c>
      <c r="G74" s="37">
        <v>1029.1199999999999</v>
      </c>
      <c r="H74" s="133">
        <f t="shared" ref="H74:H75" si="9">SUM(F74*G74/1000)</f>
        <v>1.0291199999999998</v>
      </c>
      <c r="I74" s="13">
        <v>0</v>
      </c>
    </row>
    <row r="75" spans="1:22" ht="15.75" hidden="1" customHeight="1">
      <c r="A75" s="30"/>
      <c r="B75" s="40" t="s">
        <v>216</v>
      </c>
      <c r="C75" s="41" t="s">
        <v>217</v>
      </c>
      <c r="D75" s="152"/>
      <c r="E75" s="18">
        <v>1</v>
      </c>
      <c r="F75" s="37">
        <v>1</v>
      </c>
      <c r="G75" s="37">
        <v>735</v>
      </c>
      <c r="H75" s="133">
        <f t="shared" si="9"/>
        <v>0.73499999999999999</v>
      </c>
      <c r="I75" s="13">
        <v>0</v>
      </c>
    </row>
    <row r="76" spans="1:22" ht="15.75" hidden="1" customHeight="1">
      <c r="A76" s="30"/>
      <c r="B76" s="40" t="s">
        <v>78</v>
      </c>
      <c r="C76" s="41" t="s">
        <v>79</v>
      </c>
      <c r="D76" s="40" t="s">
        <v>69</v>
      </c>
      <c r="E76" s="18">
        <v>5</v>
      </c>
      <c r="F76" s="34">
        <f>SUM(E76/10)</f>
        <v>0.5</v>
      </c>
      <c r="G76" s="37">
        <v>657.87</v>
      </c>
      <c r="H76" s="133">
        <f>SUM(F76*G76/1000)</f>
        <v>0.32893499999999998</v>
      </c>
      <c r="I76" s="13">
        <v>0</v>
      </c>
    </row>
    <row r="77" spans="1:22" ht="15.75" hidden="1" customHeight="1">
      <c r="A77" s="30"/>
      <c r="B77" s="40" t="s">
        <v>137</v>
      </c>
      <c r="C77" s="41" t="s">
        <v>97</v>
      </c>
      <c r="D77" s="40" t="s">
        <v>69</v>
      </c>
      <c r="E77" s="18">
        <v>1</v>
      </c>
      <c r="F77" s="37">
        <f>E77</f>
        <v>1</v>
      </c>
      <c r="G77" s="37">
        <v>1118.72</v>
      </c>
      <c r="H77" s="133">
        <f>SUM(F77*G77/1000)</f>
        <v>1.1187199999999999</v>
      </c>
      <c r="I77" s="13">
        <v>0</v>
      </c>
    </row>
    <row r="78" spans="1:22" ht="15.75" customHeight="1">
      <c r="A78" s="30">
        <v>13</v>
      </c>
      <c r="B78" s="135" t="s">
        <v>218</v>
      </c>
      <c r="C78" s="136" t="s">
        <v>97</v>
      </c>
      <c r="D78" s="40" t="s">
        <v>69</v>
      </c>
      <c r="E78" s="18">
        <v>2</v>
      </c>
      <c r="F78" s="34">
        <f>E78*12</f>
        <v>24</v>
      </c>
      <c r="G78" s="37">
        <v>53.42</v>
      </c>
      <c r="H78" s="133">
        <f t="shared" ref="H78:H79" si="10">SUM(F78*G78/1000)</f>
        <v>1.2820799999999999</v>
      </c>
      <c r="I78" s="13">
        <f>G78*2</f>
        <v>106.84</v>
      </c>
    </row>
    <row r="79" spans="1:22" ht="31.5" customHeight="1">
      <c r="A79" s="30">
        <v>14</v>
      </c>
      <c r="B79" s="135" t="s">
        <v>219</v>
      </c>
      <c r="C79" s="136" t="s">
        <v>97</v>
      </c>
      <c r="D79" s="40" t="s">
        <v>30</v>
      </c>
      <c r="E79" s="18">
        <v>1</v>
      </c>
      <c r="F79" s="34">
        <f>E79*12</f>
        <v>12</v>
      </c>
      <c r="G79" s="37">
        <v>1194</v>
      </c>
      <c r="H79" s="133">
        <f t="shared" si="10"/>
        <v>14.327999999999999</v>
      </c>
      <c r="I79" s="13">
        <f>G79</f>
        <v>1194</v>
      </c>
    </row>
    <row r="80" spans="1:22" ht="15.75" hidden="1" customHeight="1">
      <c r="A80" s="30"/>
      <c r="B80" s="101" t="s">
        <v>80</v>
      </c>
      <c r="C80" s="16"/>
      <c r="D80" s="14"/>
      <c r="E80" s="19"/>
      <c r="F80" s="19"/>
      <c r="G80" s="19"/>
      <c r="H80" s="19"/>
      <c r="I80" s="87"/>
    </row>
    <row r="81" spans="1:9" ht="15.75" hidden="1" customHeight="1">
      <c r="A81" s="30"/>
      <c r="B81" s="42" t="s">
        <v>127</v>
      </c>
      <c r="C81" s="43" t="s">
        <v>81</v>
      </c>
      <c r="D81" s="57"/>
      <c r="E81" s="60"/>
      <c r="F81" s="38">
        <v>0.3</v>
      </c>
      <c r="G81" s="38">
        <v>3619.09</v>
      </c>
      <c r="H81" s="134">
        <f t="shared" ref="H81" si="11">SUM(F81*G81/1000)</f>
        <v>1.0857270000000001</v>
      </c>
      <c r="I81" s="13">
        <v>0</v>
      </c>
    </row>
    <row r="82" spans="1:9" ht="15.75" hidden="1" customHeight="1">
      <c r="A82" s="30"/>
      <c r="B82" s="74" t="s">
        <v>125</v>
      </c>
      <c r="C82" s="101"/>
      <c r="D82" s="32"/>
      <c r="E82" s="33"/>
      <c r="F82" s="102"/>
      <c r="G82" s="102"/>
      <c r="H82" s="103">
        <f>SUM(H58:H81)</f>
        <v>254.48184212000004</v>
      </c>
      <c r="I82" s="85"/>
    </row>
    <row r="83" spans="1:9" ht="15.75" hidden="1" customHeight="1">
      <c r="A83" s="108"/>
      <c r="B83" s="35" t="s">
        <v>126</v>
      </c>
      <c r="C83" s="153"/>
      <c r="D83" s="154"/>
      <c r="E83" s="155"/>
      <c r="F83" s="39">
        <f>232/10</f>
        <v>23.2</v>
      </c>
      <c r="G83" s="39">
        <v>12361.2</v>
      </c>
      <c r="H83" s="134">
        <f>G83*F83/1000</f>
        <v>286.77984000000004</v>
      </c>
      <c r="I83" s="109">
        <v>0</v>
      </c>
    </row>
    <row r="84" spans="1:9" ht="15.75" customHeight="1">
      <c r="A84" s="186" t="s">
        <v>157</v>
      </c>
      <c r="B84" s="187"/>
      <c r="C84" s="187"/>
      <c r="D84" s="187"/>
      <c r="E84" s="187"/>
      <c r="F84" s="187"/>
      <c r="G84" s="187"/>
      <c r="H84" s="187"/>
      <c r="I84" s="188"/>
    </row>
    <row r="85" spans="1:9" ht="15.75" customHeight="1">
      <c r="A85" s="110">
        <v>15</v>
      </c>
      <c r="B85" s="35" t="s">
        <v>128</v>
      </c>
      <c r="C85" s="41" t="s">
        <v>56</v>
      </c>
      <c r="D85" s="122" t="s">
        <v>57</v>
      </c>
      <c r="E85" s="37">
        <v>3053.4</v>
      </c>
      <c r="F85" s="37">
        <f>SUM(E85*12)</f>
        <v>36640.800000000003</v>
      </c>
      <c r="G85" s="37">
        <v>3.1</v>
      </c>
      <c r="H85" s="134">
        <f>SUM(F85*G85/1000)</f>
        <v>113.58648000000001</v>
      </c>
      <c r="I85" s="115">
        <f>F85/12*G85</f>
        <v>9465.5400000000009</v>
      </c>
    </row>
    <row r="86" spans="1:9" ht="31.5" customHeight="1">
      <c r="A86" s="30">
        <v>16</v>
      </c>
      <c r="B86" s="40" t="s">
        <v>82</v>
      </c>
      <c r="C86" s="41"/>
      <c r="D86" s="122" t="s">
        <v>57</v>
      </c>
      <c r="E86" s="144">
        <v>3053.4</v>
      </c>
      <c r="F86" s="37">
        <f>E86*12</f>
        <v>36640.800000000003</v>
      </c>
      <c r="G86" s="37">
        <v>3.5</v>
      </c>
      <c r="H86" s="134">
        <f>F86*G86/1000</f>
        <v>128.24280000000002</v>
      </c>
      <c r="I86" s="13">
        <f>F86/12*G86</f>
        <v>10686.9</v>
      </c>
    </row>
    <row r="87" spans="1:9" ht="15.75" customHeight="1">
      <c r="A87" s="30"/>
      <c r="B87" s="44" t="s">
        <v>85</v>
      </c>
      <c r="C87" s="101"/>
      <c r="D87" s="99"/>
      <c r="E87" s="102"/>
      <c r="F87" s="102"/>
      <c r="G87" s="102"/>
      <c r="H87" s="103">
        <f>SUM(H86)</f>
        <v>128.24280000000002</v>
      </c>
      <c r="I87" s="102">
        <f>I16+I17+I18+I26+I27+I30+I31+I33+I34+I62+I64+I72+I78+I79+I85+I86</f>
        <v>59222.380414555555</v>
      </c>
    </row>
    <row r="88" spans="1:9" ht="15.75" customHeight="1">
      <c r="A88" s="169" t="s">
        <v>62</v>
      </c>
      <c r="B88" s="170"/>
      <c r="C88" s="170"/>
      <c r="D88" s="170"/>
      <c r="E88" s="170"/>
      <c r="F88" s="170"/>
      <c r="G88" s="170"/>
      <c r="H88" s="170"/>
      <c r="I88" s="171"/>
    </row>
    <row r="89" spans="1:9" ht="31.5" customHeight="1">
      <c r="A89" s="30">
        <v>17</v>
      </c>
      <c r="B89" s="58" t="s">
        <v>95</v>
      </c>
      <c r="C89" s="59" t="s">
        <v>108</v>
      </c>
      <c r="D89" s="138"/>
      <c r="E89" s="37"/>
      <c r="F89" s="37">
        <v>4</v>
      </c>
      <c r="G89" s="37">
        <v>589.84</v>
      </c>
      <c r="H89" s="134">
        <f>F89*G89/1000</f>
        <v>2.3593600000000001</v>
      </c>
      <c r="I89" s="13">
        <f>G89</f>
        <v>589.84</v>
      </c>
    </row>
    <row r="90" spans="1:9" ht="15.75" customHeight="1">
      <c r="A90" s="30">
        <v>18</v>
      </c>
      <c r="B90" s="135" t="s">
        <v>107</v>
      </c>
      <c r="C90" s="136" t="s">
        <v>97</v>
      </c>
      <c r="D90" s="53"/>
      <c r="E90" s="37"/>
      <c r="F90" s="37">
        <v>128</v>
      </c>
      <c r="G90" s="37">
        <v>53.42</v>
      </c>
      <c r="H90" s="134">
        <f t="shared" ref="H90:H91" si="12">F90*G90/1000</f>
        <v>6.8377600000000003</v>
      </c>
      <c r="I90" s="13">
        <f>G90*64</f>
        <v>3418.88</v>
      </c>
    </row>
    <row r="91" spans="1:9" ht="31.5" customHeight="1">
      <c r="A91" s="30">
        <v>19</v>
      </c>
      <c r="B91" s="58" t="s">
        <v>87</v>
      </c>
      <c r="C91" s="59" t="s">
        <v>39</v>
      </c>
      <c r="D91" s="138"/>
      <c r="E91" s="37"/>
      <c r="F91" s="37">
        <v>0.02</v>
      </c>
      <c r="G91" s="37">
        <v>3581.13</v>
      </c>
      <c r="H91" s="134">
        <f t="shared" si="12"/>
        <v>7.1622600000000008E-2</v>
      </c>
      <c r="I91" s="13">
        <f>G91*0.01</f>
        <v>35.811300000000003</v>
      </c>
    </row>
    <row r="92" spans="1:9" ht="31.5" customHeight="1">
      <c r="A92" s="30">
        <v>20</v>
      </c>
      <c r="B92" s="58" t="s">
        <v>84</v>
      </c>
      <c r="C92" s="59" t="s">
        <v>97</v>
      </c>
      <c r="D92" s="53"/>
      <c r="E92" s="13"/>
      <c r="F92" s="13">
        <v>1</v>
      </c>
      <c r="G92" s="13">
        <v>83.36</v>
      </c>
      <c r="H92" s="100">
        <f>F92*G92/1000</f>
        <v>8.3360000000000004E-2</v>
      </c>
      <c r="I92" s="13">
        <f t="shared" ref="I92" si="13">G92</f>
        <v>83.36</v>
      </c>
    </row>
    <row r="93" spans="1:9" ht="15.75" customHeight="1">
      <c r="A93" s="30"/>
      <c r="B93" s="51" t="s">
        <v>53</v>
      </c>
      <c r="C93" s="47"/>
      <c r="D93" s="55"/>
      <c r="E93" s="47">
        <v>1</v>
      </c>
      <c r="F93" s="47"/>
      <c r="G93" s="47"/>
      <c r="H93" s="47"/>
      <c r="I93" s="33">
        <f>SUM(I89:I92)</f>
        <v>4127.8913000000002</v>
      </c>
    </row>
    <row r="94" spans="1:9" ht="15.75" customHeight="1">
      <c r="A94" s="30"/>
      <c r="B94" s="53" t="s">
        <v>83</v>
      </c>
      <c r="C94" s="15"/>
      <c r="D94" s="15"/>
      <c r="E94" s="48"/>
      <c r="F94" s="48"/>
      <c r="G94" s="49"/>
      <c r="H94" s="49"/>
      <c r="I94" s="18">
        <v>0</v>
      </c>
    </row>
    <row r="95" spans="1:9" ht="15.75" customHeight="1">
      <c r="A95" s="56"/>
      <c r="B95" s="52" t="s">
        <v>170</v>
      </c>
      <c r="C95" s="36"/>
      <c r="D95" s="36"/>
      <c r="E95" s="36"/>
      <c r="F95" s="36"/>
      <c r="G95" s="36"/>
      <c r="H95" s="36"/>
      <c r="I95" s="50">
        <f>I87+I93</f>
        <v>63350.271714555558</v>
      </c>
    </row>
    <row r="96" spans="1:9" ht="15.75">
      <c r="A96" s="184" t="s">
        <v>220</v>
      </c>
      <c r="B96" s="184"/>
      <c r="C96" s="184"/>
      <c r="D96" s="184"/>
      <c r="E96" s="184"/>
      <c r="F96" s="184"/>
      <c r="G96" s="184"/>
      <c r="H96" s="184"/>
      <c r="I96" s="184"/>
    </row>
    <row r="97" spans="1:9" ht="15.75">
      <c r="A97" s="70"/>
      <c r="B97" s="193" t="s">
        <v>221</v>
      </c>
      <c r="C97" s="193"/>
      <c r="D97" s="193"/>
      <c r="E97" s="193"/>
      <c r="F97" s="193"/>
      <c r="G97" s="193"/>
      <c r="H97" s="78"/>
      <c r="I97" s="3"/>
    </row>
    <row r="98" spans="1:9">
      <c r="A98" s="68"/>
      <c r="B98" s="190" t="s">
        <v>6</v>
      </c>
      <c r="C98" s="190"/>
      <c r="D98" s="190"/>
      <c r="E98" s="190"/>
      <c r="F98" s="190"/>
      <c r="G98" s="190"/>
      <c r="H98" s="25"/>
      <c r="I98" s="5"/>
    </row>
    <row r="99" spans="1:9" ht="15.75" customHeight="1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 customHeight="1">
      <c r="A100" s="194" t="s">
        <v>7</v>
      </c>
      <c r="B100" s="194"/>
      <c r="C100" s="194"/>
      <c r="D100" s="194"/>
      <c r="E100" s="194"/>
      <c r="F100" s="194"/>
      <c r="G100" s="194"/>
      <c r="H100" s="194"/>
      <c r="I100" s="194"/>
    </row>
    <row r="101" spans="1:9" ht="15.75" customHeight="1">
      <c r="A101" s="194" t="s">
        <v>8</v>
      </c>
      <c r="B101" s="194"/>
      <c r="C101" s="194"/>
      <c r="D101" s="194"/>
      <c r="E101" s="194"/>
      <c r="F101" s="194"/>
      <c r="G101" s="194"/>
      <c r="H101" s="194"/>
      <c r="I101" s="194"/>
    </row>
    <row r="102" spans="1:9" ht="15.75" customHeight="1">
      <c r="A102" s="177" t="s">
        <v>63</v>
      </c>
      <c r="B102" s="177"/>
      <c r="C102" s="177"/>
      <c r="D102" s="177"/>
      <c r="E102" s="177"/>
      <c r="F102" s="177"/>
      <c r="G102" s="177"/>
      <c r="H102" s="177"/>
      <c r="I102" s="177"/>
    </row>
    <row r="103" spans="1:9" ht="15.75" customHeight="1">
      <c r="A103" s="11"/>
    </row>
    <row r="104" spans="1:9" ht="15.75" customHeight="1">
      <c r="A104" s="178" t="s">
        <v>9</v>
      </c>
      <c r="B104" s="178"/>
      <c r="C104" s="178"/>
      <c r="D104" s="178"/>
      <c r="E104" s="178"/>
      <c r="F104" s="178"/>
      <c r="G104" s="178"/>
      <c r="H104" s="178"/>
      <c r="I104" s="178"/>
    </row>
    <row r="105" spans="1:9" ht="15.75" customHeight="1">
      <c r="A105" s="4"/>
    </row>
    <row r="106" spans="1:9" ht="15.75" customHeight="1">
      <c r="B106" s="69" t="s">
        <v>10</v>
      </c>
      <c r="C106" s="189" t="s">
        <v>96</v>
      </c>
      <c r="D106" s="189"/>
      <c r="E106" s="189"/>
      <c r="F106" s="76"/>
      <c r="I106" s="72"/>
    </row>
    <row r="107" spans="1:9" ht="15.75" customHeight="1">
      <c r="A107" s="68"/>
      <c r="C107" s="190" t="s">
        <v>11</v>
      </c>
      <c r="D107" s="190"/>
      <c r="E107" s="190"/>
      <c r="F107" s="25"/>
      <c r="I107" s="71" t="s">
        <v>12</v>
      </c>
    </row>
    <row r="108" spans="1:9" ht="15.75" customHeight="1">
      <c r="A108" s="26"/>
      <c r="C108" s="12"/>
      <c r="D108" s="12"/>
      <c r="G108" s="12"/>
      <c r="H108" s="12"/>
    </row>
    <row r="109" spans="1:9" ht="15.75" customHeight="1">
      <c r="B109" s="69" t="s">
        <v>13</v>
      </c>
      <c r="C109" s="191"/>
      <c r="D109" s="191"/>
      <c r="E109" s="191"/>
      <c r="F109" s="77"/>
      <c r="I109" s="72"/>
    </row>
    <row r="110" spans="1:9" ht="15.75" customHeight="1">
      <c r="A110" s="68"/>
      <c r="C110" s="183" t="s">
        <v>11</v>
      </c>
      <c r="D110" s="183"/>
      <c r="E110" s="183"/>
      <c r="F110" s="68"/>
      <c r="I110" s="71" t="s">
        <v>12</v>
      </c>
    </row>
    <row r="111" spans="1:9" ht="15.75" customHeight="1">
      <c r="A111" s="4" t="s">
        <v>14</v>
      </c>
    </row>
    <row r="112" spans="1:9">
      <c r="A112" s="192" t="s">
        <v>15</v>
      </c>
      <c r="B112" s="192"/>
      <c r="C112" s="192"/>
      <c r="D112" s="192"/>
      <c r="E112" s="192"/>
      <c r="F112" s="192"/>
      <c r="G112" s="192"/>
      <c r="H112" s="192"/>
      <c r="I112" s="192"/>
    </row>
    <row r="113" spans="1:9" ht="45" customHeight="1">
      <c r="A113" s="185" t="s">
        <v>16</v>
      </c>
      <c r="B113" s="185"/>
      <c r="C113" s="185"/>
      <c r="D113" s="185"/>
      <c r="E113" s="185"/>
      <c r="F113" s="185"/>
      <c r="G113" s="185"/>
      <c r="H113" s="185"/>
      <c r="I113" s="185"/>
    </row>
    <row r="114" spans="1:9" ht="30" customHeight="1">
      <c r="A114" s="185" t="s">
        <v>17</v>
      </c>
      <c r="B114" s="185"/>
      <c r="C114" s="185"/>
      <c r="D114" s="185"/>
      <c r="E114" s="185"/>
      <c r="F114" s="185"/>
      <c r="G114" s="185"/>
      <c r="H114" s="185"/>
      <c r="I114" s="185"/>
    </row>
    <row r="115" spans="1:9" ht="30" customHeight="1">
      <c r="A115" s="185" t="s">
        <v>21</v>
      </c>
      <c r="B115" s="185"/>
      <c r="C115" s="185"/>
      <c r="D115" s="185"/>
      <c r="E115" s="185"/>
      <c r="F115" s="185"/>
      <c r="G115" s="185"/>
      <c r="H115" s="185"/>
      <c r="I115" s="185"/>
    </row>
    <row r="116" spans="1:9" ht="15" customHeight="1">
      <c r="A116" s="185" t="s">
        <v>20</v>
      </c>
      <c r="B116" s="185"/>
      <c r="C116" s="185"/>
      <c r="D116" s="185"/>
      <c r="E116" s="185"/>
      <c r="F116" s="185"/>
      <c r="G116" s="185"/>
      <c r="H116" s="185"/>
      <c r="I116" s="185"/>
    </row>
  </sheetData>
  <autoFilter ref="I12:I66"/>
  <mergeCells count="29">
    <mergeCell ref="A14:I14"/>
    <mergeCell ref="A15:I15"/>
    <mergeCell ref="A28:I28"/>
    <mergeCell ref="A45:I45"/>
    <mergeCell ref="A56:I56"/>
    <mergeCell ref="A3:I3"/>
    <mergeCell ref="A4:I4"/>
    <mergeCell ref="A5:I5"/>
    <mergeCell ref="A8:I8"/>
    <mergeCell ref="A10:I10"/>
    <mergeCell ref="R71:U71"/>
    <mergeCell ref="C110:E110"/>
    <mergeCell ref="A88:I88"/>
    <mergeCell ref="A96:I96"/>
    <mergeCell ref="B97:G97"/>
    <mergeCell ref="B98:G98"/>
    <mergeCell ref="A100:I100"/>
    <mergeCell ref="A101:I101"/>
    <mergeCell ref="A102:I102"/>
    <mergeCell ref="A104:I104"/>
    <mergeCell ref="C106:E106"/>
    <mergeCell ref="C107:E107"/>
    <mergeCell ref="C109:E109"/>
    <mergeCell ref="A84:I84"/>
    <mergeCell ref="A112:I112"/>
    <mergeCell ref="A113:I113"/>
    <mergeCell ref="A114:I114"/>
    <mergeCell ref="A115:I115"/>
    <mergeCell ref="A116:I11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16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91</v>
      </c>
      <c r="I1" s="27"/>
      <c r="J1" s="1"/>
      <c r="K1" s="1"/>
      <c r="L1" s="1"/>
      <c r="M1" s="1"/>
    </row>
    <row r="2" spans="1:13" ht="15.75" customHeight="1">
      <c r="A2" s="29" t="s">
        <v>64</v>
      </c>
      <c r="J2" s="2"/>
      <c r="K2" s="2"/>
      <c r="L2" s="2"/>
      <c r="M2" s="2"/>
    </row>
    <row r="3" spans="1:13" ht="15.75" customHeight="1">
      <c r="A3" s="172" t="s">
        <v>162</v>
      </c>
      <c r="B3" s="172"/>
      <c r="C3" s="172"/>
      <c r="D3" s="172"/>
      <c r="E3" s="172"/>
      <c r="F3" s="172"/>
      <c r="G3" s="172"/>
      <c r="H3" s="172"/>
      <c r="I3" s="172"/>
      <c r="J3" s="3"/>
      <c r="K3" s="3"/>
      <c r="L3" s="3"/>
    </row>
    <row r="4" spans="1:13" ht="31.5" customHeight="1">
      <c r="A4" s="173" t="s">
        <v>129</v>
      </c>
      <c r="B4" s="173"/>
      <c r="C4" s="173"/>
      <c r="D4" s="173"/>
      <c r="E4" s="173"/>
      <c r="F4" s="173"/>
      <c r="G4" s="173"/>
      <c r="H4" s="173"/>
      <c r="I4" s="173"/>
    </row>
    <row r="5" spans="1:13" ht="15.75" customHeight="1">
      <c r="A5" s="172" t="s">
        <v>222</v>
      </c>
      <c r="B5" s="174"/>
      <c r="C5" s="174"/>
      <c r="D5" s="174"/>
      <c r="E5" s="174"/>
      <c r="F5" s="174"/>
      <c r="G5" s="174"/>
      <c r="H5" s="174"/>
      <c r="I5" s="174"/>
      <c r="J5" s="2"/>
      <c r="K5" s="2"/>
      <c r="L5" s="2"/>
      <c r="M5" s="2"/>
    </row>
    <row r="6" spans="1:13" ht="15.75" customHeight="1">
      <c r="A6" s="2"/>
      <c r="B6" s="73"/>
      <c r="C6" s="73"/>
      <c r="D6" s="73"/>
      <c r="E6" s="73"/>
      <c r="F6" s="73"/>
      <c r="G6" s="73"/>
      <c r="H6" s="73"/>
      <c r="I6" s="31">
        <v>42978</v>
      </c>
      <c r="J6" s="2"/>
      <c r="K6" s="2"/>
      <c r="L6" s="2"/>
      <c r="M6" s="2"/>
    </row>
    <row r="7" spans="1:13" ht="15.75" customHeight="1">
      <c r="B7" s="69"/>
      <c r="C7" s="69"/>
      <c r="D7" s="69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75" t="s">
        <v>204</v>
      </c>
      <c r="B8" s="175"/>
      <c r="C8" s="175"/>
      <c r="D8" s="175"/>
      <c r="E8" s="175"/>
      <c r="F8" s="175"/>
      <c r="G8" s="175"/>
      <c r="H8" s="175"/>
      <c r="I8" s="17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76" t="s">
        <v>247</v>
      </c>
      <c r="B10" s="176"/>
      <c r="C10" s="176"/>
      <c r="D10" s="176"/>
      <c r="E10" s="176"/>
      <c r="F10" s="176"/>
      <c r="G10" s="176"/>
      <c r="H10" s="176"/>
      <c r="I10" s="17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68" t="s">
        <v>61</v>
      </c>
      <c r="B14" s="168"/>
      <c r="C14" s="168"/>
      <c r="D14" s="168"/>
      <c r="E14" s="168"/>
      <c r="F14" s="168"/>
      <c r="G14" s="168"/>
      <c r="H14" s="168"/>
      <c r="I14" s="168"/>
      <c r="J14" s="8"/>
      <c r="K14" s="8"/>
      <c r="L14" s="8"/>
      <c r="M14" s="8"/>
    </row>
    <row r="15" spans="1:13" ht="15.75" customHeight="1">
      <c r="A15" s="179" t="s">
        <v>4</v>
      </c>
      <c r="B15" s="179"/>
      <c r="C15" s="179"/>
      <c r="D15" s="179"/>
      <c r="E15" s="179"/>
      <c r="F15" s="179"/>
      <c r="G15" s="179"/>
      <c r="H15" s="179"/>
      <c r="I15" s="179"/>
      <c r="J15" s="8"/>
      <c r="K15" s="8"/>
      <c r="L15" s="8"/>
      <c r="M15" s="8"/>
    </row>
    <row r="16" spans="1:13" ht="15.75" customHeight="1">
      <c r="A16" s="30">
        <v>1</v>
      </c>
      <c r="B16" s="79" t="s">
        <v>92</v>
      </c>
      <c r="C16" s="80" t="s">
        <v>102</v>
      </c>
      <c r="D16" s="79" t="s">
        <v>130</v>
      </c>
      <c r="E16" s="81">
        <v>92.5</v>
      </c>
      <c r="F16" s="82">
        <f>SUM(E16*156/100)</f>
        <v>144.30000000000001</v>
      </c>
      <c r="G16" s="82">
        <v>230</v>
      </c>
      <c r="H16" s="86">
        <f t="shared" ref="H16:H25" si="0">SUM(F16*G16/1000)</f>
        <v>33.189</v>
      </c>
      <c r="I16" s="13">
        <f>F16/12*G16</f>
        <v>2765.75</v>
      </c>
      <c r="J16" s="8"/>
      <c r="K16" s="8"/>
      <c r="L16" s="8"/>
      <c r="M16" s="8"/>
    </row>
    <row r="17" spans="1:13" ht="15.75" customHeight="1">
      <c r="A17" s="30">
        <v>2</v>
      </c>
      <c r="B17" s="79" t="s">
        <v>93</v>
      </c>
      <c r="C17" s="80" t="s">
        <v>102</v>
      </c>
      <c r="D17" s="79" t="s">
        <v>131</v>
      </c>
      <c r="E17" s="81">
        <v>288.8</v>
      </c>
      <c r="F17" s="82">
        <f>SUM(E17*104/100)</f>
        <v>300.35200000000003</v>
      </c>
      <c r="G17" s="82">
        <v>230</v>
      </c>
      <c r="H17" s="86">
        <f t="shared" si="0"/>
        <v>69.080960000000005</v>
      </c>
      <c r="I17" s="13">
        <f>F17/12*G17</f>
        <v>5756.7466666666678</v>
      </c>
      <c r="J17" s="23"/>
      <c r="K17" s="8"/>
      <c r="L17" s="8"/>
      <c r="M17" s="8"/>
    </row>
    <row r="18" spans="1:13" ht="15.75" customHeight="1">
      <c r="A18" s="30">
        <v>3</v>
      </c>
      <c r="B18" s="79" t="s">
        <v>94</v>
      </c>
      <c r="C18" s="80" t="s">
        <v>102</v>
      </c>
      <c r="D18" s="79" t="s">
        <v>167</v>
      </c>
      <c r="E18" s="81">
        <f>SUM(E16+E17)</f>
        <v>381.3</v>
      </c>
      <c r="F18" s="82">
        <f>SUM(E18*12/100)</f>
        <v>45.756</v>
      </c>
      <c r="G18" s="82">
        <v>661.67</v>
      </c>
      <c r="H18" s="86">
        <f t="shared" si="0"/>
        <v>30.275372519999998</v>
      </c>
      <c r="I18" s="13">
        <f>F18/12*G18</f>
        <v>2522.9477099999999</v>
      </c>
      <c r="J18" s="23"/>
      <c r="K18" s="8"/>
      <c r="L18" s="8"/>
      <c r="M18" s="8"/>
    </row>
    <row r="19" spans="1:13" ht="15.75" hidden="1" customHeight="1">
      <c r="A19" s="30">
        <v>4</v>
      </c>
      <c r="B19" s="79" t="s">
        <v>112</v>
      </c>
      <c r="C19" s="80" t="s">
        <v>113</v>
      </c>
      <c r="D19" s="79" t="s">
        <v>114</v>
      </c>
      <c r="E19" s="81">
        <v>19.2</v>
      </c>
      <c r="F19" s="82">
        <f>SUM(E19/10)</f>
        <v>1.92</v>
      </c>
      <c r="G19" s="82">
        <v>223.17</v>
      </c>
      <c r="H19" s="86">
        <f t="shared" si="0"/>
        <v>0.42848639999999993</v>
      </c>
      <c r="I19" s="13">
        <v>0</v>
      </c>
      <c r="J19" s="23"/>
      <c r="K19" s="8"/>
      <c r="L19" s="8"/>
      <c r="M19" s="8"/>
    </row>
    <row r="20" spans="1:13" ht="15.75" hidden="1" customHeight="1">
      <c r="A20" s="30">
        <v>4</v>
      </c>
      <c r="B20" s="79" t="s">
        <v>101</v>
      </c>
      <c r="C20" s="80" t="s">
        <v>102</v>
      </c>
      <c r="D20" s="79" t="s">
        <v>205</v>
      </c>
      <c r="E20" s="81">
        <v>27.3</v>
      </c>
      <c r="F20" s="82">
        <f>SUM(E20*2/100)</f>
        <v>0.54600000000000004</v>
      </c>
      <c r="G20" s="82">
        <v>285.76</v>
      </c>
      <c r="H20" s="86">
        <f t="shared" si="0"/>
        <v>0.15602495999999999</v>
      </c>
      <c r="I20" s="13">
        <f>F20/2*G20</f>
        <v>78.012479999999996</v>
      </c>
      <c r="J20" s="23"/>
      <c r="K20" s="8"/>
      <c r="L20" s="8"/>
      <c r="M20" s="8"/>
    </row>
    <row r="21" spans="1:13" ht="15.75" hidden="1" customHeight="1">
      <c r="A21" s="30">
        <v>5</v>
      </c>
      <c r="B21" s="79" t="s">
        <v>109</v>
      </c>
      <c r="C21" s="80" t="s">
        <v>102</v>
      </c>
      <c r="D21" s="79" t="s">
        <v>205</v>
      </c>
      <c r="E21" s="81">
        <v>9.08</v>
      </c>
      <c r="F21" s="82">
        <f>SUM(E21*2/100)</f>
        <v>0.18160000000000001</v>
      </c>
      <c r="G21" s="82">
        <v>283.44</v>
      </c>
      <c r="H21" s="86">
        <f>SUM(F21*G21/1000)</f>
        <v>5.1472704000000001E-2</v>
      </c>
      <c r="I21" s="13">
        <f>F21/2*G21</f>
        <v>25.736352</v>
      </c>
      <c r="J21" s="23"/>
      <c r="K21" s="8"/>
      <c r="L21" s="8"/>
      <c r="M21" s="8"/>
    </row>
    <row r="22" spans="1:13" ht="15.75" hidden="1" customHeight="1">
      <c r="A22" s="30">
        <v>7</v>
      </c>
      <c r="B22" s="79" t="s">
        <v>103</v>
      </c>
      <c r="C22" s="80" t="s">
        <v>54</v>
      </c>
      <c r="D22" s="79" t="s">
        <v>114</v>
      </c>
      <c r="E22" s="84">
        <v>30</v>
      </c>
      <c r="F22" s="82">
        <f>SUM(E22/100)</f>
        <v>0.3</v>
      </c>
      <c r="G22" s="82">
        <v>58.08</v>
      </c>
      <c r="H22" s="86">
        <f t="shared" si="0"/>
        <v>1.7423999999999999E-2</v>
      </c>
      <c r="I22" s="13">
        <v>0</v>
      </c>
      <c r="J22" s="23"/>
      <c r="K22" s="8"/>
      <c r="L22" s="8"/>
      <c r="M22" s="8"/>
    </row>
    <row r="23" spans="1:13" ht="15.75" hidden="1" customHeight="1">
      <c r="A23" s="30">
        <v>6</v>
      </c>
      <c r="B23" s="79" t="s">
        <v>104</v>
      </c>
      <c r="C23" s="80" t="s">
        <v>54</v>
      </c>
      <c r="D23" s="79" t="s">
        <v>114</v>
      </c>
      <c r="E23" s="81">
        <v>20</v>
      </c>
      <c r="F23" s="82">
        <f>SUM(E23/100)</f>
        <v>0.2</v>
      </c>
      <c r="G23" s="82">
        <v>511.12</v>
      </c>
      <c r="H23" s="86">
        <f t="shared" si="0"/>
        <v>0.10222400000000001</v>
      </c>
      <c r="I23" s="13">
        <v>0</v>
      </c>
      <c r="J23" s="23"/>
      <c r="K23" s="8"/>
      <c r="L23" s="8"/>
      <c r="M23" s="8"/>
    </row>
    <row r="24" spans="1:13" ht="15.75" hidden="1" customHeight="1">
      <c r="A24" s="30">
        <v>9</v>
      </c>
      <c r="B24" s="79" t="s">
        <v>106</v>
      </c>
      <c r="C24" s="80" t="s">
        <v>54</v>
      </c>
      <c r="D24" s="79" t="s">
        <v>114</v>
      </c>
      <c r="E24" s="81">
        <v>8.5</v>
      </c>
      <c r="F24" s="82">
        <f>SUM(E24/100)</f>
        <v>8.5000000000000006E-2</v>
      </c>
      <c r="G24" s="82">
        <v>683.05</v>
      </c>
      <c r="H24" s="86">
        <f t="shared" si="0"/>
        <v>5.805925E-2</v>
      </c>
      <c r="I24" s="13">
        <v>0</v>
      </c>
      <c r="J24" s="23"/>
      <c r="K24" s="8"/>
      <c r="L24" s="8"/>
      <c r="M24" s="8"/>
    </row>
    <row r="25" spans="1:13" ht="15.75" hidden="1" customHeight="1">
      <c r="A25" s="108">
        <v>7</v>
      </c>
      <c r="B25" s="93" t="s">
        <v>110</v>
      </c>
      <c r="C25" s="94" t="s">
        <v>54</v>
      </c>
      <c r="D25" s="93" t="s">
        <v>55</v>
      </c>
      <c r="E25" s="90">
        <v>20</v>
      </c>
      <c r="F25" s="95">
        <f>SUM(E25/100)</f>
        <v>0.2</v>
      </c>
      <c r="G25" s="95">
        <v>283.44</v>
      </c>
      <c r="H25" s="91">
        <f t="shared" si="0"/>
        <v>5.6688000000000002E-2</v>
      </c>
      <c r="I25" s="13">
        <v>0</v>
      </c>
      <c r="J25" s="23"/>
      <c r="K25" s="8"/>
      <c r="L25" s="8"/>
      <c r="M25" s="8"/>
    </row>
    <row r="26" spans="1:13" ht="15.75" customHeight="1">
      <c r="A26" s="30">
        <v>4</v>
      </c>
      <c r="B26" s="35" t="s">
        <v>66</v>
      </c>
      <c r="C26" s="45" t="s">
        <v>33</v>
      </c>
      <c r="D26" s="35" t="s">
        <v>206</v>
      </c>
      <c r="E26" s="141">
        <v>0.05</v>
      </c>
      <c r="F26" s="34">
        <f>SUM(E26*182)</f>
        <v>9.1</v>
      </c>
      <c r="G26" s="34">
        <v>264.85000000000002</v>
      </c>
      <c r="H26" s="142">
        <f t="shared" ref="H26:H27" si="1">SUM(F26*G26/1000)</f>
        <v>2.4101350000000004</v>
      </c>
      <c r="I26" s="13">
        <f>F26/12*G26</f>
        <v>200.84458333333333</v>
      </c>
      <c r="J26" s="24"/>
    </row>
    <row r="27" spans="1:13" ht="15.75" customHeight="1">
      <c r="A27" s="30">
        <v>5</v>
      </c>
      <c r="B27" s="143" t="s">
        <v>23</v>
      </c>
      <c r="C27" s="45" t="s">
        <v>24</v>
      </c>
      <c r="D27" s="143" t="s">
        <v>142</v>
      </c>
      <c r="E27" s="144">
        <v>3053.4</v>
      </c>
      <c r="F27" s="34">
        <f>SUM(E27*12)</f>
        <v>36640.800000000003</v>
      </c>
      <c r="G27" s="34">
        <v>4.09</v>
      </c>
      <c r="H27" s="142">
        <f t="shared" si="1"/>
        <v>149.860872</v>
      </c>
      <c r="I27" s="13">
        <f>F27/12*G27</f>
        <v>12488.405999999999</v>
      </c>
      <c r="J27" s="24"/>
    </row>
    <row r="28" spans="1:13" ht="15.75" customHeight="1">
      <c r="A28" s="179" t="s">
        <v>168</v>
      </c>
      <c r="B28" s="179"/>
      <c r="C28" s="179"/>
      <c r="D28" s="179"/>
      <c r="E28" s="179"/>
      <c r="F28" s="179"/>
      <c r="G28" s="179"/>
      <c r="H28" s="179"/>
      <c r="I28" s="179"/>
      <c r="J28" s="23"/>
      <c r="K28" s="8"/>
      <c r="L28" s="8"/>
      <c r="M28" s="8"/>
    </row>
    <row r="29" spans="1:13" ht="15.75" customHeight="1">
      <c r="A29" s="110"/>
      <c r="B29" s="124" t="s">
        <v>28</v>
      </c>
      <c r="C29" s="112"/>
      <c r="D29" s="111"/>
      <c r="E29" s="113"/>
      <c r="F29" s="114"/>
      <c r="G29" s="114"/>
      <c r="H29" s="125"/>
      <c r="I29" s="126"/>
      <c r="J29" s="23"/>
      <c r="K29" s="8"/>
      <c r="L29" s="8"/>
      <c r="M29" s="8"/>
    </row>
    <row r="30" spans="1:13" ht="15.75" customHeight="1">
      <c r="A30" s="30">
        <v>6</v>
      </c>
      <c r="B30" s="79" t="s">
        <v>115</v>
      </c>
      <c r="C30" s="80" t="s">
        <v>116</v>
      </c>
      <c r="D30" s="79" t="s">
        <v>132</v>
      </c>
      <c r="E30" s="82">
        <v>317.7</v>
      </c>
      <c r="F30" s="82">
        <f>SUM(E30*52/1000)</f>
        <v>16.520399999999999</v>
      </c>
      <c r="G30" s="82">
        <v>204.44</v>
      </c>
      <c r="H30" s="86">
        <f t="shared" ref="H30:H36" si="2">SUM(F30*G30/1000)</f>
        <v>3.3774305759999996</v>
      </c>
      <c r="I30" s="13">
        <f t="shared" ref="I30:I34" si="3">F30/6*G30</f>
        <v>562.90509599999996</v>
      </c>
      <c r="J30" s="23"/>
      <c r="K30" s="8"/>
      <c r="L30" s="8"/>
      <c r="M30" s="8"/>
    </row>
    <row r="31" spans="1:13" ht="31.5" customHeight="1">
      <c r="A31" s="30">
        <v>7</v>
      </c>
      <c r="B31" s="79" t="s">
        <v>149</v>
      </c>
      <c r="C31" s="80" t="s">
        <v>116</v>
      </c>
      <c r="D31" s="79" t="s">
        <v>133</v>
      </c>
      <c r="E31" s="82">
        <v>146.1</v>
      </c>
      <c r="F31" s="82">
        <f>SUM(E31*78/1000)</f>
        <v>11.395799999999999</v>
      </c>
      <c r="G31" s="82">
        <v>339.21</v>
      </c>
      <c r="H31" s="86">
        <f t="shared" si="2"/>
        <v>3.8655693179999995</v>
      </c>
      <c r="I31" s="13">
        <f t="shared" si="3"/>
        <v>644.26155299999994</v>
      </c>
      <c r="J31" s="23"/>
      <c r="K31" s="8"/>
      <c r="L31" s="8"/>
      <c r="M31" s="8"/>
    </row>
    <row r="32" spans="1:13" ht="15.75" hidden="1" customHeight="1">
      <c r="A32" s="30">
        <v>11</v>
      </c>
      <c r="B32" s="79" t="s">
        <v>27</v>
      </c>
      <c r="C32" s="80" t="s">
        <v>116</v>
      </c>
      <c r="D32" s="79" t="s">
        <v>55</v>
      </c>
      <c r="E32" s="82">
        <f>E30</f>
        <v>317.7</v>
      </c>
      <c r="F32" s="82">
        <f>SUM(E32/1000)</f>
        <v>0.31769999999999998</v>
      </c>
      <c r="G32" s="82">
        <v>3961.23</v>
      </c>
      <c r="H32" s="86">
        <f t="shared" si="2"/>
        <v>1.2584827709999999</v>
      </c>
      <c r="I32" s="13">
        <f>F32*G32</f>
        <v>1258.482771</v>
      </c>
      <c r="J32" s="23"/>
      <c r="K32" s="8"/>
      <c r="L32" s="8"/>
      <c r="M32" s="8"/>
    </row>
    <row r="33" spans="1:14" ht="15.75" customHeight="1">
      <c r="A33" s="30">
        <v>8</v>
      </c>
      <c r="B33" s="79" t="s">
        <v>207</v>
      </c>
      <c r="C33" s="80" t="s">
        <v>41</v>
      </c>
      <c r="D33" s="79" t="s">
        <v>65</v>
      </c>
      <c r="E33" s="82">
        <v>5</v>
      </c>
      <c r="F33" s="82">
        <f>E33*155/100</f>
        <v>7.75</v>
      </c>
      <c r="G33" s="82">
        <v>1707.63</v>
      </c>
      <c r="H33" s="86">
        <f t="shared" si="2"/>
        <v>13.234132500000001</v>
      </c>
      <c r="I33" s="13">
        <f t="shared" si="3"/>
        <v>2205.6887500000003</v>
      </c>
      <c r="J33" s="23"/>
      <c r="K33" s="8"/>
      <c r="L33" s="8"/>
      <c r="M33" s="8"/>
    </row>
    <row r="34" spans="1:14" ht="15.75" customHeight="1">
      <c r="A34" s="30">
        <v>9</v>
      </c>
      <c r="B34" s="79" t="s">
        <v>117</v>
      </c>
      <c r="C34" s="80" t="s">
        <v>31</v>
      </c>
      <c r="D34" s="79" t="s">
        <v>65</v>
      </c>
      <c r="E34" s="88">
        <f>1/6</f>
        <v>0.16666666666666666</v>
      </c>
      <c r="F34" s="82">
        <f>155/6</f>
        <v>25.833333333333332</v>
      </c>
      <c r="G34" s="82">
        <v>74.349999999999994</v>
      </c>
      <c r="H34" s="86">
        <f t="shared" si="2"/>
        <v>1.920708333333333</v>
      </c>
      <c r="I34" s="13">
        <f t="shared" si="3"/>
        <v>320.11805555555554</v>
      </c>
      <c r="J34" s="23"/>
      <c r="K34" s="8"/>
      <c r="L34" s="8"/>
      <c r="M34" s="8"/>
    </row>
    <row r="35" spans="1:14" ht="15.75" hidden="1" customHeight="1">
      <c r="A35" s="30"/>
      <c r="B35" s="35" t="s">
        <v>67</v>
      </c>
      <c r="C35" s="45" t="s">
        <v>33</v>
      </c>
      <c r="D35" s="35" t="s">
        <v>69</v>
      </c>
      <c r="E35" s="144"/>
      <c r="F35" s="34">
        <v>2</v>
      </c>
      <c r="G35" s="34">
        <v>250.92</v>
      </c>
      <c r="H35" s="142">
        <f t="shared" si="2"/>
        <v>0.50183999999999995</v>
      </c>
      <c r="I35" s="13">
        <v>0</v>
      </c>
      <c r="J35" s="23"/>
      <c r="K35" s="8"/>
    </row>
    <row r="36" spans="1:14" ht="15.75" hidden="1" customHeight="1">
      <c r="A36" s="30"/>
      <c r="B36" s="35" t="s">
        <v>68</v>
      </c>
      <c r="C36" s="45" t="s">
        <v>32</v>
      </c>
      <c r="D36" s="35" t="s">
        <v>69</v>
      </c>
      <c r="E36" s="144"/>
      <c r="F36" s="34">
        <v>1</v>
      </c>
      <c r="G36" s="34">
        <v>1490.31</v>
      </c>
      <c r="H36" s="142">
        <f t="shared" si="2"/>
        <v>1.49031</v>
      </c>
      <c r="I36" s="13"/>
      <c r="J36" s="23"/>
      <c r="K36" s="8"/>
    </row>
    <row r="37" spans="1:14" ht="15.75" hidden="1" customHeight="1">
      <c r="A37" s="30"/>
      <c r="B37" s="107" t="s">
        <v>5</v>
      </c>
      <c r="C37" s="80"/>
      <c r="D37" s="79"/>
      <c r="E37" s="81"/>
      <c r="F37" s="82"/>
      <c r="G37" s="82"/>
      <c r="H37" s="86" t="s">
        <v>142</v>
      </c>
      <c r="I37" s="87"/>
      <c r="J37" s="24"/>
    </row>
    <row r="38" spans="1:14" ht="15.75" hidden="1" customHeight="1">
      <c r="A38" s="30">
        <v>9</v>
      </c>
      <c r="B38" s="79" t="s">
        <v>26</v>
      </c>
      <c r="C38" s="80" t="s">
        <v>32</v>
      </c>
      <c r="D38" s="79"/>
      <c r="E38" s="81"/>
      <c r="F38" s="82">
        <v>3</v>
      </c>
      <c r="G38" s="82">
        <v>2003</v>
      </c>
      <c r="H38" s="86">
        <f t="shared" ref="H38:H44" si="4">SUM(F38*G38/1000)</f>
        <v>6.0090000000000003</v>
      </c>
      <c r="I38" s="13">
        <f t="shared" ref="I38:I44" si="5">F38/6*G38</f>
        <v>1001.5</v>
      </c>
      <c r="J38" s="24"/>
    </row>
    <row r="39" spans="1:14" ht="15.75" hidden="1" customHeight="1">
      <c r="A39" s="30">
        <v>10</v>
      </c>
      <c r="B39" s="79" t="s">
        <v>70</v>
      </c>
      <c r="C39" s="80" t="s">
        <v>29</v>
      </c>
      <c r="D39" s="79" t="s">
        <v>208</v>
      </c>
      <c r="E39" s="82">
        <v>160.6</v>
      </c>
      <c r="F39" s="82">
        <f>SUM(E39*18/1000)</f>
        <v>2.8907999999999996</v>
      </c>
      <c r="G39" s="82">
        <v>2757.78</v>
      </c>
      <c r="H39" s="86">
        <f t="shared" si="4"/>
        <v>7.972190423999999</v>
      </c>
      <c r="I39" s="13">
        <f t="shared" si="5"/>
        <v>1328.698404</v>
      </c>
      <c r="J39" s="24"/>
    </row>
    <row r="40" spans="1:14" ht="15.75" hidden="1" customHeight="1">
      <c r="A40" s="30">
        <v>11</v>
      </c>
      <c r="B40" s="79" t="s">
        <v>71</v>
      </c>
      <c r="C40" s="80" t="s">
        <v>29</v>
      </c>
      <c r="D40" s="79" t="s">
        <v>135</v>
      </c>
      <c r="E40" s="81">
        <v>89.1</v>
      </c>
      <c r="F40" s="82">
        <f>SUM(E40*155/1000)</f>
        <v>13.810499999999999</v>
      </c>
      <c r="G40" s="82">
        <v>460.02</v>
      </c>
      <c r="H40" s="86">
        <f t="shared" si="4"/>
        <v>6.3531062099999991</v>
      </c>
      <c r="I40" s="13">
        <f t="shared" si="5"/>
        <v>1058.8510349999999</v>
      </c>
      <c r="J40" s="24"/>
    </row>
    <row r="41" spans="1:14" ht="15.75" hidden="1" customHeight="1">
      <c r="A41" s="30">
        <v>12</v>
      </c>
      <c r="B41" s="79" t="s">
        <v>209</v>
      </c>
      <c r="C41" s="80" t="s">
        <v>210</v>
      </c>
      <c r="D41" s="79" t="s">
        <v>69</v>
      </c>
      <c r="E41" s="81"/>
      <c r="F41" s="82">
        <v>39</v>
      </c>
      <c r="G41" s="82">
        <v>301.70999999999998</v>
      </c>
      <c r="H41" s="86">
        <f t="shared" si="4"/>
        <v>11.766689999999999</v>
      </c>
      <c r="I41" s="13">
        <v>0</v>
      </c>
      <c r="J41" s="24"/>
    </row>
    <row r="42" spans="1:14" ht="47.25" hidden="1" customHeight="1">
      <c r="A42" s="30">
        <v>13</v>
      </c>
      <c r="B42" s="79" t="s">
        <v>88</v>
      </c>
      <c r="C42" s="80" t="s">
        <v>116</v>
      </c>
      <c r="D42" s="79" t="s">
        <v>211</v>
      </c>
      <c r="E42" s="82">
        <v>46.5</v>
      </c>
      <c r="F42" s="82">
        <f>SUM(E42*35/1000)</f>
        <v>1.6274999999999999</v>
      </c>
      <c r="G42" s="82">
        <v>7611.16</v>
      </c>
      <c r="H42" s="86">
        <f t="shared" si="4"/>
        <v>12.3871629</v>
      </c>
      <c r="I42" s="13">
        <f t="shared" si="5"/>
        <v>2064.5271499999999</v>
      </c>
      <c r="J42" s="24"/>
      <c r="L42" s="20"/>
      <c r="M42" s="21"/>
      <c r="N42" s="22"/>
    </row>
    <row r="43" spans="1:14" ht="15.75" hidden="1" customHeight="1">
      <c r="A43" s="108">
        <v>14</v>
      </c>
      <c r="B43" s="79" t="s">
        <v>118</v>
      </c>
      <c r="C43" s="80" t="s">
        <v>116</v>
      </c>
      <c r="D43" s="79" t="s">
        <v>72</v>
      </c>
      <c r="E43" s="82">
        <v>89.1</v>
      </c>
      <c r="F43" s="82">
        <f>SUM(E43*45/1000)</f>
        <v>4.0094999999999992</v>
      </c>
      <c r="G43" s="82">
        <v>562.25</v>
      </c>
      <c r="H43" s="86">
        <f t="shared" si="4"/>
        <v>2.2543413749999996</v>
      </c>
      <c r="I43" s="13">
        <f t="shared" si="5"/>
        <v>375.72356249999996</v>
      </c>
      <c r="J43" s="24"/>
      <c r="L43" s="20"/>
      <c r="M43" s="21"/>
      <c r="N43" s="22"/>
    </row>
    <row r="44" spans="1:14" ht="15.75" hidden="1" customHeight="1">
      <c r="A44" s="145"/>
      <c r="B44" s="79" t="s">
        <v>73</v>
      </c>
      <c r="C44" s="80" t="s">
        <v>33</v>
      </c>
      <c r="D44" s="79"/>
      <c r="E44" s="81"/>
      <c r="F44" s="82">
        <v>0.9</v>
      </c>
      <c r="G44" s="82">
        <v>974.83</v>
      </c>
      <c r="H44" s="86">
        <f t="shared" si="4"/>
        <v>0.8773470000000001</v>
      </c>
      <c r="I44" s="13">
        <f t="shared" si="5"/>
        <v>146.22450000000001</v>
      </c>
      <c r="J44" s="24"/>
      <c r="L44" s="20"/>
      <c r="M44" s="21"/>
      <c r="N44" s="22"/>
    </row>
    <row r="45" spans="1:14" ht="15.75" hidden="1" customHeight="1">
      <c r="A45" s="186" t="s">
        <v>150</v>
      </c>
      <c r="B45" s="187"/>
      <c r="C45" s="187"/>
      <c r="D45" s="187"/>
      <c r="E45" s="187"/>
      <c r="F45" s="187"/>
      <c r="G45" s="187"/>
      <c r="H45" s="187"/>
      <c r="I45" s="188"/>
      <c r="J45" s="24"/>
      <c r="L45" s="20"/>
      <c r="M45" s="21"/>
      <c r="N45" s="22"/>
    </row>
    <row r="46" spans="1:14" ht="15.75" hidden="1" customHeight="1">
      <c r="A46" s="110"/>
      <c r="B46" s="35" t="s">
        <v>119</v>
      </c>
      <c r="C46" s="45" t="s">
        <v>116</v>
      </c>
      <c r="D46" s="35" t="s">
        <v>43</v>
      </c>
      <c r="E46" s="144">
        <v>1632.75</v>
      </c>
      <c r="F46" s="34">
        <f>SUM(E46*2/1000)</f>
        <v>3.2654999999999998</v>
      </c>
      <c r="G46" s="37">
        <v>1062</v>
      </c>
      <c r="H46" s="142">
        <f t="shared" ref="H46:H55" si="6">SUM(F46*G46/1000)</f>
        <v>3.4679609999999998</v>
      </c>
      <c r="I46" s="13">
        <f>F46/2*G46</f>
        <v>1733.9804999999999</v>
      </c>
      <c r="J46" s="24"/>
      <c r="L46" s="20"/>
      <c r="M46" s="21"/>
      <c r="N46" s="22"/>
    </row>
    <row r="47" spans="1:14" ht="15.75" hidden="1" customHeight="1">
      <c r="A47" s="30"/>
      <c r="B47" s="35" t="s">
        <v>36</v>
      </c>
      <c r="C47" s="45" t="s">
        <v>116</v>
      </c>
      <c r="D47" s="35" t="s">
        <v>43</v>
      </c>
      <c r="E47" s="144">
        <v>53.75</v>
      </c>
      <c r="F47" s="34">
        <f>SUM(E47*2/1000)</f>
        <v>0.1075</v>
      </c>
      <c r="G47" s="37">
        <v>759.98</v>
      </c>
      <c r="H47" s="142">
        <f t="shared" si="6"/>
        <v>8.1697850000000002E-2</v>
      </c>
      <c r="I47" s="13">
        <f t="shared" ref="I47:I54" si="7">F47/2*G47</f>
        <v>40.848925000000001</v>
      </c>
      <c r="J47" s="24"/>
      <c r="L47" s="20"/>
      <c r="M47" s="21"/>
      <c r="N47" s="22"/>
    </row>
    <row r="48" spans="1:14" ht="15.75" hidden="1" customHeight="1">
      <c r="A48" s="30"/>
      <c r="B48" s="35" t="s">
        <v>37</v>
      </c>
      <c r="C48" s="45" t="s">
        <v>116</v>
      </c>
      <c r="D48" s="35" t="s">
        <v>43</v>
      </c>
      <c r="E48" s="144">
        <v>2285.6</v>
      </c>
      <c r="F48" s="34">
        <f>SUM(E48*2/1000)</f>
        <v>4.5712000000000002</v>
      </c>
      <c r="G48" s="37">
        <v>759.98</v>
      </c>
      <c r="H48" s="142">
        <f t="shared" si="6"/>
        <v>3.4740205760000005</v>
      </c>
      <c r="I48" s="13">
        <f t="shared" si="7"/>
        <v>1737.0102880000002</v>
      </c>
      <c r="J48" s="24"/>
      <c r="L48" s="20"/>
      <c r="M48" s="21"/>
      <c r="N48" s="22"/>
    </row>
    <row r="49" spans="1:14" ht="15.75" hidden="1" customHeight="1">
      <c r="A49" s="30"/>
      <c r="B49" s="35" t="s">
        <v>38</v>
      </c>
      <c r="C49" s="45" t="s">
        <v>116</v>
      </c>
      <c r="D49" s="35" t="s">
        <v>43</v>
      </c>
      <c r="E49" s="144">
        <v>1860</v>
      </c>
      <c r="F49" s="34">
        <f>SUM(E49*2/1000)</f>
        <v>3.72</v>
      </c>
      <c r="G49" s="37">
        <v>795.82</v>
      </c>
      <c r="H49" s="142">
        <f t="shared" si="6"/>
        <v>2.9604504</v>
      </c>
      <c r="I49" s="13">
        <f t="shared" si="7"/>
        <v>1480.2252000000001</v>
      </c>
      <c r="J49" s="24"/>
      <c r="L49" s="20"/>
      <c r="M49" s="21"/>
      <c r="N49" s="22"/>
    </row>
    <row r="50" spans="1:14" ht="15.75" hidden="1" customHeight="1">
      <c r="A50" s="30"/>
      <c r="B50" s="35" t="s">
        <v>34</v>
      </c>
      <c r="C50" s="45" t="s">
        <v>35</v>
      </c>
      <c r="D50" s="35" t="s">
        <v>43</v>
      </c>
      <c r="E50" s="144">
        <v>120.5</v>
      </c>
      <c r="F50" s="34">
        <f>SUM(E50*2/100)</f>
        <v>2.41</v>
      </c>
      <c r="G50" s="37">
        <v>95.49</v>
      </c>
      <c r="H50" s="142">
        <f t="shared" si="6"/>
        <v>0.2301309</v>
      </c>
      <c r="I50" s="13">
        <f t="shared" si="7"/>
        <v>115.06545</v>
      </c>
      <c r="J50" s="24"/>
      <c r="L50" s="20"/>
      <c r="M50" s="21"/>
      <c r="N50" s="22"/>
    </row>
    <row r="51" spans="1:14" ht="15.75" hidden="1" customHeight="1">
      <c r="A51" s="30">
        <v>15</v>
      </c>
      <c r="B51" s="35" t="s">
        <v>58</v>
      </c>
      <c r="C51" s="45" t="s">
        <v>116</v>
      </c>
      <c r="D51" s="35" t="s">
        <v>153</v>
      </c>
      <c r="E51" s="144">
        <v>3053.4</v>
      </c>
      <c r="F51" s="34">
        <f>SUM(E51*5/1000)</f>
        <v>15.266999999999999</v>
      </c>
      <c r="G51" s="37">
        <v>1591.6</v>
      </c>
      <c r="H51" s="142">
        <f t="shared" si="6"/>
        <v>24.298957199999997</v>
      </c>
      <c r="I51" s="13">
        <f>F51/5*G51</f>
        <v>4859.79144</v>
      </c>
      <c r="J51" s="24"/>
      <c r="L51" s="20"/>
      <c r="M51" s="21"/>
      <c r="N51" s="22"/>
    </row>
    <row r="52" spans="1:14" ht="31.5" hidden="1" customHeight="1">
      <c r="A52" s="30"/>
      <c r="B52" s="35" t="s">
        <v>120</v>
      </c>
      <c r="C52" s="45" t="s">
        <v>116</v>
      </c>
      <c r="D52" s="35" t="s">
        <v>43</v>
      </c>
      <c r="E52" s="144">
        <f>E51</f>
        <v>3053.4</v>
      </c>
      <c r="F52" s="34">
        <f>SUM(E52*2/1000)</f>
        <v>6.1067999999999998</v>
      </c>
      <c r="G52" s="37">
        <v>1591.6</v>
      </c>
      <c r="H52" s="142">
        <f t="shared" si="6"/>
        <v>9.7195828800000008</v>
      </c>
      <c r="I52" s="13">
        <f t="shared" si="7"/>
        <v>4859.79144</v>
      </c>
      <c r="J52" s="24"/>
      <c r="L52" s="20"/>
      <c r="M52" s="21"/>
      <c r="N52" s="22"/>
    </row>
    <row r="53" spans="1:14" ht="31.5" hidden="1" customHeight="1">
      <c r="A53" s="30"/>
      <c r="B53" s="35" t="s">
        <v>143</v>
      </c>
      <c r="C53" s="45" t="s">
        <v>39</v>
      </c>
      <c r="D53" s="35" t="s">
        <v>43</v>
      </c>
      <c r="E53" s="144">
        <v>20</v>
      </c>
      <c r="F53" s="34">
        <f>SUM(E53*2/100)</f>
        <v>0.4</v>
      </c>
      <c r="G53" s="37">
        <v>3581.13</v>
      </c>
      <c r="H53" s="142">
        <f t="shared" si="6"/>
        <v>1.4324520000000003</v>
      </c>
      <c r="I53" s="13">
        <f t="shared" si="7"/>
        <v>716.22600000000011</v>
      </c>
      <c r="J53" s="24"/>
      <c r="L53" s="20"/>
      <c r="M53" s="21"/>
      <c r="N53" s="22"/>
    </row>
    <row r="54" spans="1:14" ht="15.75" hidden="1" customHeight="1">
      <c r="A54" s="30"/>
      <c r="B54" s="35" t="s">
        <v>40</v>
      </c>
      <c r="C54" s="45" t="s">
        <v>41</v>
      </c>
      <c r="D54" s="35" t="s">
        <v>43</v>
      </c>
      <c r="E54" s="144">
        <v>1</v>
      </c>
      <c r="F54" s="34">
        <v>0.02</v>
      </c>
      <c r="G54" s="37">
        <v>7412.92</v>
      </c>
      <c r="H54" s="142">
        <f t="shared" si="6"/>
        <v>0.14825839999999998</v>
      </c>
      <c r="I54" s="13">
        <f t="shared" si="7"/>
        <v>74.129199999999997</v>
      </c>
      <c r="J54" s="24"/>
      <c r="L54" s="20"/>
      <c r="M54" s="21"/>
      <c r="N54" s="22"/>
    </row>
    <row r="55" spans="1:14" ht="15.75" hidden="1" customHeight="1">
      <c r="A55" s="30">
        <v>16</v>
      </c>
      <c r="B55" s="35" t="s">
        <v>42</v>
      </c>
      <c r="C55" s="45" t="s">
        <v>97</v>
      </c>
      <c r="D55" s="35" t="s">
        <v>74</v>
      </c>
      <c r="E55" s="144">
        <v>128</v>
      </c>
      <c r="F55" s="34">
        <f>SUM(E55)*3</f>
        <v>384</v>
      </c>
      <c r="G55" s="38">
        <v>86.15</v>
      </c>
      <c r="H55" s="142">
        <f t="shared" si="6"/>
        <v>33.081600000000009</v>
      </c>
      <c r="I55" s="13">
        <f>E55*G55</f>
        <v>11027.2</v>
      </c>
      <c r="J55" s="24"/>
      <c r="L55" s="20"/>
      <c r="M55" s="21"/>
      <c r="N55" s="22"/>
    </row>
    <row r="56" spans="1:14" ht="15.75" customHeight="1">
      <c r="A56" s="180" t="s">
        <v>156</v>
      </c>
      <c r="B56" s="181"/>
      <c r="C56" s="181"/>
      <c r="D56" s="181"/>
      <c r="E56" s="181"/>
      <c r="F56" s="181"/>
      <c r="G56" s="181"/>
      <c r="H56" s="181"/>
      <c r="I56" s="182"/>
      <c r="J56" s="24"/>
      <c r="L56" s="20"/>
      <c r="M56" s="21"/>
      <c r="N56" s="22"/>
    </row>
    <row r="57" spans="1:14" ht="15.75" customHeight="1">
      <c r="A57" s="30"/>
      <c r="B57" s="107" t="s">
        <v>44</v>
      </c>
      <c r="C57" s="80"/>
      <c r="D57" s="79"/>
      <c r="E57" s="81"/>
      <c r="F57" s="82"/>
      <c r="G57" s="82"/>
      <c r="H57" s="86"/>
      <c r="I57" s="87"/>
      <c r="J57" s="24"/>
      <c r="L57" s="20"/>
      <c r="M57" s="21"/>
      <c r="N57" s="22"/>
    </row>
    <row r="58" spans="1:14" ht="31.5" hidden="1" customHeight="1">
      <c r="A58" s="30">
        <v>17</v>
      </c>
      <c r="B58" s="79" t="s">
        <v>121</v>
      </c>
      <c r="C58" s="80" t="s">
        <v>102</v>
      </c>
      <c r="D58" s="79" t="s">
        <v>122</v>
      </c>
      <c r="E58" s="81">
        <v>92.7</v>
      </c>
      <c r="F58" s="82">
        <f>SUM(E58*6/100)</f>
        <v>5.5620000000000003</v>
      </c>
      <c r="G58" s="13">
        <v>2431.1799999999998</v>
      </c>
      <c r="H58" s="86">
        <f>SUM(F58*G58/1000)</f>
        <v>13.522223159999999</v>
      </c>
      <c r="I58" s="13">
        <f>F58/6*G58</f>
        <v>2253.7038600000001</v>
      </c>
      <c r="J58" s="24"/>
      <c r="L58" s="20"/>
      <c r="M58" s="21"/>
      <c r="N58" s="22"/>
    </row>
    <row r="59" spans="1:14" ht="15.75" customHeight="1">
      <c r="A59" s="30">
        <v>10</v>
      </c>
      <c r="B59" s="79" t="s">
        <v>144</v>
      </c>
      <c r="C59" s="80" t="s">
        <v>145</v>
      </c>
      <c r="D59" s="14" t="s">
        <v>69</v>
      </c>
      <c r="E59" s="81"/>
      <c r="F59" s="82">
        <v>2</v>
      </c>
      <c r="G59" s="75">
        <v>1582.05</v>
      </c>
      <c r="H59" s="86">
        <f>SUM(F59*G59/1000)</f>
        <v>3.1640999999999999</v>
      </c>
      <c r="I59" s="13">
        <f>G59*2</f>
        <v>3164.1</v>
      </c>
      <c r="J59" s="24"/>
      <c r="L59" s="20"/>
      <c r="M59" s="21"/>
      <c r="N59" s="22"/>
    </row>
    <row r="60" spans="1:14" ht="15.75" customHeight="1">
      <c r="A60" s="30"/>
      <c r="B60" s="107" t="s">
        <v>45</v>
      </c>
      <c r="C60" s="80"/>
      <c r="D60" s="79"/>
      <c r="E60" s="81"/>
      <c r="F60" s="82"/>
      <c r="G60" s="82"/>
      <c r="H60" s="83" t="s">
        <v>142</v>
      </c>
      <c r="I60" s="87"/>
      <c r="J60" s="24"/>
      <c r="L60" s="20"/>
      <c r="M60" s="21"/>
      <c r="N60" s="22"/>
    </row>
    <row r="61" spans="1:14" ht="15.75" hidden="1" customHeight="1">
      <c r="A61" s="30"/>
      <c r="B61" s="35" t="s">
        <v>46</v>
      </c>
      <c r="C61" s="45" t="s">
        <v>102</v>
      </c>
      <c r="D61" s="35" t="s">
        <v>55</v>
      </c>
      <c r="E61" s="146">
        <v>145</v>
      </c>
      <c r="F61" s="34">
        <f>SUM(E61/100)</f>
        <v>1.45</v>
      </c>
      <c r="G61" s="37">
        <v>1040.8399999999999</v>
      </c>
      <c r="H61" s="147">
        <v>9.1679999999999993</v>
      </c>
      <c r="I61" s="13">
        <v>0</v>
      </c>
      <c r="J61" s="24"/>
      <c r="L61" s="20"/>
      <c r="M61" s="21"/>
      <c r="N61" s="22"/>
    </row>
    <row r="62" spans="1:14" ht="15.75" customHeight="1">
      <c r="A62" s="30">
        <v>11</v>
      </c>
      <c r="B62" s="148" t="s">
        <v>98</v>
      </c>
      <c r="C62" s="149" t="s">
        <v>25</v>
      </c>
      <c r="D62" s="148" t="s">
        <v>30</v>
      </c>
      <c r="E62" s="146">
        <v>255.2</v>
      </c>
      <c r="F62" s="34">
        <f>SUM(E62*12)</f>
        <v>3062.3999999999996</v>
      </c>
      <c r="G62" s="150">
        <v>2.8</v>
      </c>
      <c r="H62" s="151">
        <f>G62*F62/1000</f>
        <v>8.5747199999999992</v>
      </c>
      <c r="I62" s="13">
        <f>F62/12*G62</f>
        <v>714.55999999999983</v>
      </c>
      <c r="J62" s="24"/>
      <c r="L62" s="20"/>
      <c r="M62" s="21"/>
      <c r="N62" s="22"/>
    </row>
    <row r="63" spans="1:14" ht="15.75" customHeight="1">
      <c r="A63" s="30"/>
      <c r="B63" s="117" t="s">
        <v>47</v>
      </c>
      <c r="C63" s="94"/>
      <c r="D63" s="93"/>
      <c r="E63" s="90"/>
      <c r="F63" s="95"/>
      <c r="G63" s="95"/>
      <c r="H63" s="96" t="s">
        <v>142</v>
      </c>
      <c r="I63" s="87"/>
      <c r="J63" s="24"/>
      <c r="L63" s="20"/>
      <c r="M63" s="21"/>
      <c r="N63" s="22"/>
    </row>
    <row r="64" spans="1:14" ht="15.75" customHeight="1">
      <c r="A64" s="30">
        <v>12</v>
      </c>
      <c r="B64" s="57" t="s">
        <v>48</v>
      </c>
      <c r="C64" s="41" t="s">
        <v>97</v>
      </c>
      <c r="D64" s="40" t="s">
        <v>69</v>
      </c>
      <c r="E64" s="18">
        <v>6</v>
      </c>
      <c r="F64" s="34">
        <f>SUM(E64)</f>
        <v>6</v>
      </c>
      <c r="G64" s="37">
        <v>291.68</v>
      </c>
      <c r="H64" s="134">
        <f t="shared" ref="H64:H72" si="8">SUM(F64*G64/1000)</f>
        <v>1.7500799999999999</v>
      </c>
      <c r="I64" s="13">
        <f>G64*7</f>
        <v>2041.76</v>
      </c>
      <c r="J64" s="24"/>
      <c r="L64" s="20"/>
    </row>
    <row r="65" spans="1:22" ht="15.75" hidden="1" customHeight="1">
      <c r="A65" s="30"/>
      <c r="B65" s="57" t="s">
        <v>49</v>
      </c>
      <c r="C65" s="41" t="s">
        <v>97</v>
      </c>
      <c r="D65" s="40" t="s">
        <v>69</v>
      </c>
      <c r="E65" s="18">
        <v>4</v>
      </c>
      <c r="F65" s="34">
        <f>SUM(E65)</f>
        <v>4</v>
      </c>
      <c r="G65" s="37">
        <v>100.01</v>
      </c>
      <c r="H65" s="134">
        <f t="shared" si="8"/>
        <v>0.40004000000000001</v>
      </c>
      <c r="I65" s="13">
        <v>0</v>
      </c>
      <c r="J65" s="24"/>
      <c r="L65" s="20"/>
    </row>
    <row r="66" spans="1:22" ht="15.75" hidden="1" customHeight="1">
      <c r="A66" s="30"/>
      <c r="B66" s="57" t="s">
        <v>50</v>
      </c>
      <c r="C66" s="43" t="s">
        <v>123</v>
      </c>
      <c r="D66" s="40" t="s">
        <v>55</v>
      </c>
      <c r="E66" s="144">
        <v>15552</v>
      </c>
      <c r="F66" s="38">
        <f>SUM(E66/100)</f>
        <v>155.52000000000001</v>
      </c>
      <c r="G66" s="37">
        <v>278.24</v>
      </c>
      <c r="H66" s="134">
        <f t="shared" si="8"/>
        <v>43.271884800000009</v>
      </c>
      <c r="I66" s="13">
        <v>0</v>
      </c>
    </row>
    <row r="67" spans="1:22" ht="15.75" hidden="1" customHeight="1">
      <c r="A67" s="30"/>
      <c r="B67" s="57" t="s">
        <v>51</v>
      </c>
      <c r="C67" s="41" t="s">
        <v>124</v>
      </c>
      <c r="D67" s="40"/>
      <c r="E67" s="144">
        <v>15552</v>
      </c>
      <c r="F67" s="37">
        <f>SUM(E67/1000)</f>
        <v>15.552</v>
      </c>
      <c r="G67" s="37">
        <v>216.68</v>
      </c>
      <c r="H67" s="134">
        <f t="shared" si="8"/>
        <v>3.3698073600000003</v>
      </c>
      <c r="I67" s="13">
        <v>0</v>
      </c>
    </row>
    <row r="68" spans="1:22" ht="15.75" hidden="1" customHeight="1">
      <c r="A68" s="30"/>
      <c r="B68" s="57" t="s">
        <v>52</v>
      </c>
      <c r="C68" s="41" t="s">
        <v>81</v>
      </c>
      <c r="D68" s="40" t="s">
        <v>55</v>
      </c>
      <c r="E68" s="144">
        <v>2432</v>
      </c>
      <c r="F68" s="37">
        <f>SUM(E68/100)</f>
        <v>24.32</v>
      </c>
      <c r="G68" s="37">
        <v>2720.94</v>
      </c>
      <c r="H68" s="134">
        <f t="shared" si="8"/>
        <v>66.173260800000008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15.75" hidden="1" customHeight="1">
      <c r="A69" s="30"/>
      <c r="B69" s="54" t="s">
        <v>75</v>
      </c>
      <c r="C69" s="41" t="s">
        <v>33</v>
      </c>
      <c r="D69" s="40"/>
      <c r="E69" s="144">
        <v>14.8</v>
      </c>
      <c r="F69" s="37">
        <f>SUM(E69)</f>
        <v>14.8</v>
      </c>
      <c r="G69" s="37">
        <v>42.61</v>
      </c>
      <c r="H69" s="134">
        <f t="shared" si="8"/>
        <v>0.63062800000000008</v>
      </c>
      <c r="I69" s="13">
        <v>0</v>
      </c>
      <c r="J69" s="26"/>
      <c r="K69" s="26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31.5" hidden="1" customHeight="1">
      <c r="A70" s="30"/>
      <c r="B70" s="54" t="s">
        <v>76</v>
      </c>
      <c r="C70" s="41" t="s">
        <v>33</v>
      </c>
      <c r="D70" s="40"/>
      <c r="E70" s="144">
        <f>E69</f>
        <v>14.8</v>
      </c>
      <c r="F70" s="37">
        <f>SUM(E70)</f>
        <v>14.8</v>
      </c>
      <c r="G70" s="37">
        <v>46.04</v>
      </c>
      <c r="H70" s="134">
        <f t="shared" si="8"/>
        <v>0.681392</v>
      </c>
      <c r="I70" s="13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15.75" hidden="1" customHeight="1">
      <c r="A71" s="30"/>
      <c r="B71" s="40" t="s">
        <v>59</v>
      </c>
      <c r="C71" s="41" t="s">
        <v>60</v>
      </c>
      <c r="D71" s="40" t="s">
        <v>55</v>
      </c>
      <c r="E71" s="18">
        <v>5</v>
      </c>
      <c r="F71" s="34">
        <f>SUM(E71)</f>
        <v>5</v>
      </c>
      <c r="G71" s="37">
        <v>65.42</v>
      </c>
      <c r="H71" s="134">
        <f t="shared" si="8"/>
        <v>0.3271</v>
      </c>
      <c r="I71" s="13">
        <v>0</v>
      </c>
      <c r="J71" s="5"/>
      <c r="K71" s="5"/>
      <c r="L71" s="5"/>
      <c r="M71" s="5"/>
      <c r="N71" s="5"/>
      <c r="O71" s="5"/>
      <c r="P71" s="5"/>
      <c r="Q71" s="5"/>
      <c r="R71" s="183"/>
      <c r="S71" s="183"/>
      <c r="T71" s="183"/>
      <c r="U71" s="183"/>
    </row>
    <row r="72" spans="1:22" ht="15.75" customHeight="1">
      <c r="A72" s="30">
        <v>13</v>
      </c>
      <c r="B72" s="40" t="s">
        <v>212</v>
      </c>
      <c r="C72" s="46" t="s">
        <v>213</v>
      </c>
      <c r="D72" s="40" t="s">
        <v>69</v>
      </c>
      <c r="E72" s="18">
        <f>E51</f>
        <v>3053.4</v>
      </c>
      <c r="F72" s="34">
        <f>SUM(E72*12)</f>
        <v>36640.800000000003</v>
      </c>
      <c r="G72" s="37">
        <v>2.2799999999999998</v>
      </c>
      <c r="H72" s="134">
        <f t="shared" si="8"/>
        <v>83.541024000000007</v>
      </c>
      <c r="I72" s="13">
        <f>F72/12*G72</f>
        <v>6961.7519999999995</v>
      </c>
      <c r="J72" s="5"/>
      <c r="K72" s="5"/>
      <c r="L72" s="5"/>
      <c r="M72" s="5"/>
      <c r="N72" s="5"/>
      <c r="O72" s="5"/>
      <c r="P72" s="5"/>
      <c r="Q72" s="5"/>
      <c r="R72" s="68"/>
      <c r="S72" s="68"/>
      <c r="T72" s="68"/>
      <c r="U72" s="68"/>
    </row>
    <row r="73" spans="1:22" ht="15.75" customHeight="1">
      <c r="A73" s="30"/>
      <c r="B73" s="74" t="s">
        <v>77</v>
      </c>
      <c r="C73" s="16"/>
      <c r="D73" s="14"/>
      <c r="E73" s="19"/>
      <c r="F73" s="13"/>
      <c r="G73" s="13"/>
      <c r="H73" s="97" t="s">
        <v>142</v>
      </c>
      <c r="I73" s="87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4" spans="1:22" ht="15.75" hidden="1" customHeight="1">
      <c r="A74" s="30">
        <v>19</v>
      </c>
      <c r="B74" s="40" t="s">
        <v>214</v>
      </c>
      <c r="C74" s="41" t="s">
        <v>215</v>
      </c>
      <c r="D74" s="40" t="s">
        <v>69</v>
      </c>
      <c r="E74" s="18">
        <v>1</v>
      </c>
      <c r="F74" s="37">
        <f>E74</f>
        <v>1</v>
      </c>
      <c r="G74" s="37">
        <v>1029.1199999999999</v>
      </c>
      <c r="H74" s="133">
        <f t="shared" ref="H74:H75" si="9">SUM(F74*G74/1000)</f>
        <v>1.0291199999999998</v>
      </c>
      <c r="I74" s="13">
        <v>0</v>
      </c>
    </row>
    <row r="75" spans="1:22" ht="15.75" hidden="1" customHeight="1">
      <c r="A75" s="30"/>
      <c r="B75" s="40" t="s">
        <v>216</v>
      </c>
      <c r="C75" s="41" t="s">
        <v>217</v>
      </c>
      <c r="D75" s="152"/>
      <c r="E75" s="18">
        <v>1</v>
      </c>
      <c r="F75" s="37">
        <v>1</v>
      </c>
      <c r="G75" s="37">
        <v>735</v>
      </c>
      <c r="H75" s="133">
        <f t="shared" si="9"/>
        <v>0.73499999999999999</v>
      </c>
      <c r="I75" s="13">
        <v>0</v>
      </c>
    </row>
    <row r="76" spans="1:22" ht="15.75" hidden="1" customHeight="1">
      <c r="A76" s="30"/>
      <c r="B76" s="40" t="s">
        <v>78</v>
      </c>
      <c r="C76" s="41" t="s">
        <v>79</v>
      </c>
      <c r="D76" s="40" t="s">
        <v>69</v>
      </c>
      <c r="E76" s="18">
        <v>5</v>
      </c>
      <c r="F76" s="34">
        <f>SUM(E76/10)</f>
        <v>0.5</v>
      </c>
      <c r="G76" s="37">
        <v>657.87</v>
      </c>
      <c r="H76" s="133">
        <f>SUM(F76*G76/1000)</f>
        <v>0.32893499999999998</v>
      </c>
      <c r="I76" s="13">
        <v>0</v>
      </c>
    </row>
    <row r="77" spans="1:22" ht="15.75" hidden="1" customHeight="1">
      <c r="A77" s="30"/>
      <c r="B77" s="40" t="s">
        <v>137</v>
      </c>
      <c r="C77" s="41" t="s">
        <v>97</v>
      </c>
      <c r="D77" s="40" t="s">
        <v>69</v>
      </c>
      <c r="E77" s="18">
        <v>1</v>
      </c>
      <c r="F77" s="37">
        <f>E77</f>
        <v>1</v>
      </c>
      <c r="G77" s="37">
        <v>1118.72</v>
      </c>
      <c r="H77" s="133">
        <f>SUM(F77*G77/1000)</f>
        <v>1.1187199999999999</v>
      </c>
      <c r="I77" s="13">
        <v>0</v>
      </c>
    </row>
    <row r="78" spans="1:22" ht="15.75" customHeight="1">
      <c r="A78" s="30">
        <v>14</v>
      </c>
      <c r="B78" s="135" t="s">
        <v>218</v>
      </c>
      <c r="C78" s="136" t="s">
        <v>97</v>
      </c>
      <c r="D78" s="40" t="s">
        <v>69</v>
      </c>
      <c r="E78" s="18">
        <v>2</v>
      </c>
      <c r="F78" s="34">
        <f>E78*12</f>
        <v>24</v>
      </c>
      <c r="G78" s="37">
        <v>53.42</v>
      </c>
      <c r="H78" s="133">
        <f t="shared" ref="H78:H79" si="10">SUM(F78*G78/1000)</f>
        <v>1.2820799999999999</v>
      </c>
      <c r="I78" s="13">
        <f>G78*2</f>
        <v>106.84</v>
      </c>
    </row>
    <row r="79" spans="1:22" ht="31.5" customHeight="1">
      <c r="A79" s="30">
        <v>15</v>
      </c>
      <c r="B79" s="135" t="s">
        <v>219</v>
      </c>
      <c r="C79" s="136" t="s">
        <v>97</v>
      </c>
      <c r="D79" s="40" t="s">
        <v>30</v>
      </c>
      <c r="E79" s="18">
        <v>1</v>
      </c>
      <c r="F79" s="34">
        <f>E79*12</f>
        <v>12</v>
      </c>
      <c r="G79" s="37">
        <v>1194</v>
      </c>
      <c r="H79" s="133">
        <f t="shared" si="10"/>
        <v>14.327999999999999</v>
      </c>
      <c r="I79" s="13">
        <f>G79</f>
        <v>1194</v>
      </c>
    </row>
    <row r="80" spans="1:22" ht="15.75" hidden="1" customHeight="1">
      <c r="A80" s="30"/>
      <c r="B80" s="101" t="s">
        <v>80</v>
      </c>
      <c r="C80" s="16"/>
      <c r="D80" s="14"/>
      <c r="E80" s="19"/>
      <c r="F80" s="19"/>
      <c r="G80" s="19"/>
      <c r="H80" s="19"/>
      <c r="I80" s="87"/>
    </row>
    <row r="81" spans="1:9" ht="15.75" hidden="1" customHeight="1">
      <c r="A81" s="30"/>
      <c r="B81" s="42" t="s">
        <v>127</v>
      </c>
      <c r="C81" s="43" t="s">
        <v>81</v>
      </c>
      <c r="D81" s="57"/>
      <c r="E81" s="60"/>
      <c r="F81" s="38">
        <v>0.3</v>
      </c>
      <c r="G81" s="38">
        <v>3619.09</v>
      </c>
      <c r="H81" s="134">
        <f t="shared" ref="H81" si="11">SUM(F81*G81/1000)</f>
        <v>1.0857270000000001</v>
      </c>
      <c r="I81" s="13">
        <v>0</v>
      </c>
    </row>
    <row r="82" spans="1:9" ht="15.75" hidden="1" customHeight="1">
      <c r="A82" s="30"/>
      <c r="B82" s="74" t="s">
        <v>125</v>
      </c>
      <c r="C82" s="101"/>
      <c r="D82" s="32"/>
      <c r="E82" s="33"/>
      <c r="F82" s="102"/>
      <c r="G82" s="102"/>
      <c r="H82" s="103">
        <f>SUM(H58:H81)</f>
        <v>254.48184212000004</v>
      </c>
      <c r="I82" s="85"/>
    </row>
    <row r="83" spans="1:9" ht="15.75" hidden="1" customHeight="1">
      <c r="A83" s="108"/>
      <c r="B83" s="35" t="s">
        <v>126</v>
      </c>
      <c r="C83" s="153"/>
      <c r="D83" s="154"/>
      <c r="E83" s="155"/>
      <c r="F83" s="39">
        <f>232/10</f>
        <v>23.2</v>
      </c>
      <c r="G83" s="39">
        <v>12361.2</v>
      </c>
      <c r="H83" s="134">
        <f>G83*F83/1000</f>
        <v>286.77984000000004</v>
      </c>
      <c r="I83" s="109">
        <v>0</v>
      </c>
    </row>
    <row r="84" spans="1:9" ht="15.75" customHeight="1">
      <c r="A84" s="186" t="s">
        <v>157</v>
      </c>
      <c r="B84" s="187"/>
      <c r="C84" s="187"/>
      <c r="D84" s="187"/>
      <c r="E84" s="187"/>
      <c r="F84" s="187"/>
      <c r="G84" s="187"/>
      <c r="H84" s="187"/>
      <c r="I84" s="188"/>
    </row>
    <row r="85" spans="1:9" ht="15.75" customHeight="1">
      <c r="A85" s="110">
        <v>16</v>
      </c>
      <c r="B85" s="35" t="s">
        <v>128</v>
      </c>
      <c r="C85" s="41" t="s">
        <v>56</v>
      </c>
      <c r="D85" s="122" t="s">
        <v>57</v>
      </c>
      <c r="E85" s="37">
        <v>3053.4</v>
      </c>
      <c r="F85" s="37">
        <f>SUM(E85*12)</f>
        <v>36640.800000000003</v>
      </c>
      <c r="G85" s="37">
        <v>3.1</v>
      </c>
      <c r="H85" s="134">
        <f>SUM(F85*G85/1000)</f>
        <v>113.58648000000001</v>
      </c>
      <c r="I85" s="115">
        <f>F85/12*G85</f>
        <v>9465.5400000000009</v>
      </c>
    </row>
    <row r="86" spans="1:9" ht="31.5" customHeight="1">
      <c r="A86" s="30">
        <v>17</v>
      </c>
      <c r="B86" s="40" t="s">
        <v>82</v>
      </c>
      <c r="C86" s="41"/>
      <c r="D86" s="122" t="s">
        <v>57</v>
      </c>
      <c r="E86" s="144">
        <v>3053.4</v>
      </c>
      <c r="F86" s="37">
        <f>E86*12</f>
        <v>36640.800000000003</v>
      </c>
      <c r="G86" s="37">
        <v>3.5</v>
      </c>
      <c r="H86" s="134">
        <f>F86*G86/1000</f>
        <v>128.24280000000002</v>
      </c>
      <c r="I86" s="13">
        <f>F86/12*G86</f>
        <v>10686.9</v>
      </c>
    </row>
    <row r="87" spans="1:9" ht="15.75" customHeight="1">
      <c r="A87" s="30"/>
      <c r="B87" s="44" t="s">
        <v>85</v>
      </c>
      <c r="C87" s="101"/>
      <c r="D87" s="99"/>
      <c r="E87" s="102"/>
      <c r="F87" s="102"/>
      <c r="G87" s="102"/>
      <c r="H87" s="103">
        <f>SUM(H86)</f>
        <v>128.24280000000002</v>
      </c>
      <c r="I87" s="102">
        <f>I16+I17+I18+I26+I27+I30+I31+I33+I34+I59+I62+I64+I72+I78+I79+I85+I86</f>
        <v>61803.120414555553</v>
      </c>
    </row>
    <row r="88" spans="1:9" ht="15.75" customHeight="1">
      <c r="A88" s="169" t="s">
        <v>62</v>
      </c>
      <c r="B88" s="170"/>
      <c r="C88" s="170"/>
      <c r="D88" s="170"/>
      <c r="E88" s="170"/>
      <c r="F88" s="170"/>
      <c r="G88" s="170"/>
      <c r="H88" s="170"/>
      <c r="I88" s="171"/>
    </row>
    <row r="89" spans="1:9" ht="31.5" customHeight="1">
      <c r="A89" s="30">
        <v>18</v>
      </c>
      <c r="B89" s="58" t="s">
        <v>95</v>
      </c>
      <c r="C89" s="59" t="s">
        <v>108</v>
      </c>
      <c r="D89" s="138"/>
      <c r="E89" s="37"/>
      <c r="F89" s="37">
        <v>4</v>
      </c>
      <c r="G89" s="37">
        <v>589.84</v>
      </c>
      <c r="H89" s="134">
        <f>F89*G89/1000</f>
        <v>2.3593600000000001</v>
      </c>
      <c r="I89" s="13">
        <f>G89</f>
        <v>589.84</v>
      </c>
    </row>
    <row r="90" spans="1:9" ht="15.75" customHeight="1">
      <c r="A90" s="30">
        <v>19</v>
      </c>
      <c r="B90" s="135" t="s">
        <v>107</v>
      </c>
      <c r="C90" s="136" t="s">
        <v>97</v>
      </c>
      <c r="D90" s="53"/>
      <c r="E90" s="37"/>
      <c r="F90" s="37">
        <v>128</v>
      </c>
      <c r="G90" s="37">
        <v>53.42</v>
      </c>
      <c r="H90" s="134">
        <f t="shared" ref="H90" si="12">F90*G90/1000</f>
        <v>6.8377600000000003</v>
      </c>
      <c r="I90" s="13">
        <f>G90*64</f>
        <v>3418.88</v>
      </c>
    </row>
    <row r="91" spans="1:9" ht="31.5" customHeight="1">
      <c r="A91" s="30">
        <v>20</v>
      </c>
      <c r="B91" s="58" t="s">
        <v>146</v>
      </c>
      <c r="C91" s="16" t="s">
        <v>147</v>
      </c>
      <c r="D91" s="138"/>
      <c r="E91" s="37"/>
      <c r="F91" s="13">
        <v>2</v>
      </c>
      <c r="G91" s="37">
        <v>1187</v>
      </c>
      <c r="H91" s="133">
        <f>F91*G91/1000</f>
        <v>2.3740000000000001</v>
      </c>
      <c r="I91" s="13">
        <f>G91</f>
        <v>1187</v>
      </c>
    </row>
    <row r="92" spans="1:9" ht="31.5" customHeight="1">
      <c r="A92" s="30">
        <v>21</v>
      </c>
      <c r="B92" s="135" t="s">
        <v>223</v>
      </c>
      <c r="C92" s="136" t="s">
        <v>100</v>
      </c>
      <c r="D92" s="40"/>
      <c r="E92" s="18"/>
      <c r="F92" s="37">
        <f>(16.7)/10</f>
        <v>1.67</v>
      </c>
      <c r="G92" s="37">
        <v>5945.91</v>
      </c>
      <c r="H92" s="133">
        <f t="shared" ref="H92" si="13">F92*G92/1000</f>
        <v>9.929669699999998</v>
      </c>
      <c r="I92" s="13">
        <f>G92*(7.7/10)</f>
        <v>4578.3507</v>
      </c>
    </row>
    <row r="93" spans="1:9" ht="15.75" customHeight="1">
      <c r="A93" s="30"/>
      <c r="B93" s="51" t="s">
        <v>53</v>
      </c>
      <c r="C93" s="47"/>
      <c r="D93" s="55"/>
      <c r="E93" s="47">
        <v>1</v>
      </c>
      <c r="F93" s="47"/>
      <c r="G93" s="47"/>
      <c r="H93" s="47"/>
      <c r="I93" s="33">
        <f>SUM(I89:I92)</f>
        <v>9774.0707000000002</v>
      </c>
    </row>
    <row r="94" spans="1:9" ht="15.75" customHeight="1">
      <c r="A94" s="30"/>
      <c r="B94" s="53" t="s">
        <v>83</v>
      </c>
      <c r="C94" s="15"/>
      <c r="D94" s="15"/>
      <c r="E94" s="48"/>
      <c r="F94" s="48"/>
      <c r="G94" s="49"/>
      <c r="H94" s="49"/>
      <c r="I94" s="18">
        <v>0</v>
      </c>
    </row>
    <row r="95" spans="1:9" ht="15.75" customHeight="1">
      <c r="A95" s="56"/>
      <c r="B95" s="52" t="s">
        <v>170</v>
      </c>
      <c r="C95" s="36"/>
      <c r="D95" s="36"/>
      <c r="E95" s="36"/>
      <c r="F95" s="36"/>
      <c r="G95" s="36"/>
      <c r="H95" s="36"/>
      <c r="I95" s="50">
        <f>I87+I93</f>
        <v>71577.19111455555</v>
      </c>
    </row>
    <row r="96" spans="1:9" ht="15.75">
      <c r="A96" s="184" t="s">
        <v>224</v>
      </c>
      <c r="B96" s="184"/>
      <c r="C96" s="184"/>
      <c r="D96" s="184"/>
      <c r="E96" s="184"/>
      <c r="F96" s="184"/>
      <c r="G96" s="184"/>
      <c r="H96" s="184"/>
      <c r="I96" s="184"/>
    </row>
    <row r="97" spans="1:9" ht="15.75">
      <c r="A97" s="70"/>
      <c r="B97" s="193" t="s">
        <v>225</v>
      </c>
      <c r="C97" s="193"/>
      <c r="D97" s="193"/>
      <c r="E97" s="193"/>
      <c r="F97" s="193"/>
      <c r="G97" s="193"/>
      <c r="H97" s="78"/>
      <c r="I97" s="3"/>
    </row>
    <row r="98" spans="1:9">
      <c r="A98" s="68"/>
      <c r="B98" s="190" t="s">
        <v>6</v>
      </c>
      <c r="C98" s="190"/>
      <c r="D98" s="190"/>
      <c r="E98" s="190"/>
      <c r="F98" s="190"/>
      <c r="G98" s="190"/>
      <c r="H98" s="25"/>
      <c r="I98" s="5"/>
    </row>
    <row r="99" spans="1:9" ht="15.75" customHeight="1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 customHeight="1">
      <c r="A100" s="194" t="s">
        <v>7</v>
      </c>
      <c r="B100" s="194"/>
      <c r="C100" s="194"/>
      <c r="D100" s="194"/>
      <c r="E100" s="194"/>
      <c r="F100" s="194"/>
      <c r="G100" s="194"/>
      <c r="H100" s="194"/>
      <c r="I100" s="194"/>
    </row>
    <row r="101" spans="1:9" ht="15.75" customHeight="1">
      <c r="A101" s="194" t="s">
        <v>8</v>
      </c>
      <c r="B101" s="194"/>
      <c r="C101" s="194"/>
      <c r="D101" s="194"/>
      <c r="E101" s="194"/>
      <c r="F101" s="194"/>
      <c r="G101" s="194"/>
      <c r="H101" s="194"/>
      <c r="I101" s="194"/>
    </row>
    <row r="102" spans="1:9" ht="15.75" customHeight="1">
      <c r="A102" s="177" t="s">
        <v>63</v>
      </c>
      <c r="B102" s="177"/>
      <c r="C102" s="177"/>
      <c r="D102" s="177"/>
      <c r="E102" s="177"/>
      <c r="F102" s="177"/>
      <c r="G102" s="177"/>
      <c r="H102" s="177"/>
      <c r="I102" s="177"/>
    </row>
    <row r="103" spans="1:9" ht="15.75" customHeight="1">
      <c r="A103" s="11"/>
    </row>
    <row r="104" spans="1:9" ht="15.75" customHeight="1">
      <c r="A104" s="178" t="s">
        <v>9</v>
      </c>
      <c r="B104" s="178"/>
      <c r="C104" s="178"/>
      <c r="D104" s="178"/>
      <c r="E104" s="178"/>
      <c r="F104" s="178"/>
      <c r="G104" s="178"/>
      <c r="H104" s="178"/>
      <c r="I104" s="178"/>
    </row>
    <row r="105" spans="1:9" ht="15.75" customHeight="1">
      <c r="A105" s="4"/>
    </row>
    <row r="106" spans="1:9" ht="15.75" customHeight="1">
      <c r="B106" s="69" t="s">
        <v>10</v>
      </c>
      <c r="C106" s="189" t="s">
        <v>96</v>
      </c>
      <c r="D106" s="189"/>
      <c r="E106" s="189"/>
      <c r="F106" s="76"/>
      <c r="I106" s="72"/>
    </row>
    <row r="107" spans="1:9" ht="15.75" customHeight="1">
      <c r="A107" s="68"/>
      <c r="C107" s="190" t="s">
        <v>11</v>
      </c>
      <c r="D107" s="190"/>
      <c r="E107" s="190"/>
      <c r="F107" s="25"/>
      <c r="I107" s="71" t="s">
        <v>12</v>
      </c>
    </row>
    <row r="108" spans="1:9" ht="15.75" customHeight="1">
      <c r="A108" s="26"/>
      <c r="C108" s="12"/>
      <c r="D108" s="12"/>
      <c r="G108" s="12"/>
      <c r="H108" s="12"/>
    </row>
    <row r="109" spans="1:9" ht="15.75" customHeight="1">
      <c r="B109" s="69" t="s">
        <v>13</v>
      </c>
      <c r="C109" s="191"/>
      <c r="D109" s="191"/>
      <c r="E109" s="191"/>
      <c r="F109" s="77"/>
      <c r="I109" s="72"/>
    </row>
    <row r="110" spans="1:9" ht="15.75" customHeight="1">
      <c r="A110" s="68"/>
      <c r="C110" s="183" t="s">
        <v>11</v>
      </c>
      <c r="D110" s="183"/>
      <c r="E110" s="183"/>
      <c r="F110" s="68"/>
      <c r="I110" s="71" t="s">
        <v>12</v>
      </c>
    </row>
    <row r="111" spans="1:9" ht="15.75" customHeight="1">
      <c r="A111" s="4" t="s">
        <v>14</v>
      </c>
    </row>
    <row r="112" spans="1:9">
      <c r="A112" s="192" t="s">
        <v>15</v>
      </c>
      <c r="B112" s="192"/>
      <c r="C112" s="192"/>
      <c r="D112" s="192"/>
      <c r="E112" s="192"/>
      <c r="F112" s="192"/>
      <c r="G112" s="192"/>
      <c r="H112" s="192"/>
      <c r="I112" s="192"/>
    </row>
    <row r="113" spans="1:9" ht="45" customHeight="1">
      <c r="A113" s="185" t="s">
        <v>16</v>
      </c>
      <c r="B113" s="185"/>
      <c r="C113" s="185"/>
      <c r="D113" s="185"/>
      <c r="E113" s="185"/>
      <c r="F113" s="185"/>
      <c r="G113" s="185"/>
      <c r="H113" s="185"/>
      <c r="I113" s="185"/>
    </row>
    <row r="114" spans="1:9" ht="30" customHeight="1">
      <c r="A114" s="185" t="s">
        <v>17</v>
      </c>
      <c r="B114" s="185"/>
      <c r="C114" s="185"/>
      <c r="D114" s="185"/>
      <c r="E114" s="185"/>
      <c r="F114" s="185"/>
      <c r="G114" s="185"/>
      <c r="H114" s="185"/>
      <c r="I114" s="185"/>
    </row>
    <row r="115" spans="1:9" ht="30" customHeight="1">
      <c r="A115" s="185" t="s">
        <v>21</v>
      </c>
      <c r="B115" s="185"/>
      <c r="C115" s="185"/>
      <c r="D115" s="185"/>
      <c r="E115" s="185"/>
      <c r="F115" s="185"/>
      <c r="G115" s="185"/>
      <c r="H115" s="185"/>
      <c r="I115" s="185"/>
    </row>
    <row r="116" spans="1:9" ht="15" customHeight="1">
      <c r="A116" s="185" t="s">
        <v>20</v>
      </c>
      <c r="B116" s="185"/>
      <c r="C116" s="185"/>
      <c r="D116" s="185"/>
      <c r="E116" s="185"/>
      <c r="F116" s="185"/>
      <c r="G116" s="185"/>
      <c r="H116" s="185"/>
      <c r="I116" s="185"/>
    </row>
  </sheetData>
  <autoFilter ref="I12:I66"/>
  <mergeCells count="29">
    <mergeCell ref="A14:I14"/>
    <mergeCell ref="A15:I15"/>
    <mergeCell ref="A28:I28"/>
    <mergeCell ref="A45:I45"/>
    <mergeCell ref="A56:I56"/>
    <mergeCell ref="A3:I3"/>
    <mergeCell ref="A4:I4"/>
    <mergeCell ref="A5:I5"/>
    <mergeCell ref="A8:I8"/>
    <mergeCell ref="A10:I10"/>
    <mergeCell ref="R71:U71"/>
    <mergeCell ref="C110:E110"/>
    <mergeCell ref="A88:I88"/>
    <mergeCell ref="A96:I96"/>
    <mergeCell ref="B97:G97"/>
    <mergeCell ref="B98:G98"/>
    <mergeCell ref="A100:I100"/>
    <mergeCell ref="A101:I101"/>
    <mergeCell ref="A102:I102"/>
    <mergeCell ref="A104:I104"/>
    <mergeCell ref="C106:E106"/>
    <mergeCell ref="C107:E107"/>
    <mergeCell ref="C109:E109"/>
    <mergeCell ref="A84:I84"/>
    <mergeCell ref="A112:I112"/>
    <mergeCell ref="A113:I113"/>
    <mergeCell ref="A114:I114"/>
    <mergeCell ref="A115:I115"/>
    <mergeCell ref="A116:I11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9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91</v>
      </c>
      <c r="I1" s="27"/>
      <c r="J1" s="1"/>
      <c r="K1" s="1"/>
      <c r="L1" s="1"/>
      <c r="M1" s="1"/>
    </row>
    <row r="2" spans="1:13" ht="15.75" customHeight="1">
      <c r="A2" s="29" t="s">
        <v>64</v>
      </c>
      <c r="J2" s="2"/>
      <c r="K2" s="2"/>
      <c r="L2" s="2"/>
      <c r="M2" s="2"/>
    </row>
    <row r="3" spans="1:13" ht="15.75" customHeight="1">
      <c r="A3" s="172" t="s">
        <v>163</v>
      </c>
      <c r="B3" s="172"/>
      <c r="C3" s="172"/>
      <c r="D3" s="172"/>
      <c r="E3" s="172"/>
      <c r="F3" s="172"/>
      <c r="G3" s="172"/>
      <c r="H3" s="172"/>
      <c r="I3" s="172"/>
      <c r="J3" s="3"/>
      <c r="K3" s="3"/>
      <c r="L3" s="3"/>
    </row>
    <row r="4" spans="1:13" ht="31.5" customHeight="1">
      <c r="A4" s="173" t="s">
        <v>129</v>
      </c>
      <c r="B4" s="173"/>
      <c r="C4" s="173"/>
      <c r="D4" s="173"/>
      <c r="E4" s="173"/>
      <c r="F4" s="173"/>
      <c r="G4" s="173"/>
      <c r="H4" s="173"/>
      <c r="I4" s="173"/>
    </row>
    <row r="5" spans="1:13" ht="15.75" customHeight="1">
      <c r="A5" s="172" t="s">
        <v>226</v>
      </c>
      <c r="B5" s="174"/>
      <c r="C5" s="174"/>
      <c r="D5" s="174"/>
      <c r="E5" s="174"/>
      <c r="F5" s="174"/>
      <c r="G5" s="174"/>
      <c r="H5" s="174"/>
      <c r="I5" s="174"/>
      <c r="J5" s="2"/>
      <c r="K5" s="2"/>
      <c r="L5" s="2"/>
      <c r="M5" s="2"/>
    </row>
    <row r="6" spans="1:13" ht="15.75" customHeight="1">
      <c r="A6" s="2"/>
      <c r="B6" s="73"/>
      <c r="C6" s="73"/>
      <c r="D6" s="73"/>
      <c r="E6" s="73"/>
      <c r="F6" s="73"/>
      <c r="G6" s="73"/>
      <c r="H6" s="73"/>
      <c r="I6" s="31">
        <v>43008</v>
      </c>
      <c r="J6" s="2"/>
      <c r="K6" s="2"/>
      <c r="L6" s="2"/>
      <c r="M6" s="2"/>
    </row>
    <row r="7" spans="1:13" ht="15.75" customHeight="1">
      <c r="B7" s="69"/>
      <c r="C7" s="69"/>
      <c r="D7" s="69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75" t="s">
        <v>204</v>
      </c>
      <c r="B8" s="175"/>
      <c r="C8" s="175"/>
      <c r="D8" s="175"/>
      <c r="E8" s="175"/>
      <c r="F8" s="175"/>
      <c r="G8" s="175"/>
      <c r="H8" s="175"/>
      <c r="I8" s="17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76" t="s">
        <v>247</v>
      </c>
      <c r="B10" s="176"/>
      <c r="C10" s="176"/>
      <c r="D10" s="176"/>
      <c r="E10" s="176"/>
      <c r="F10" s="176"/>
      <c r="G10" s="176"/>
      <c r="H10" s="176"/>
      <c r="I10" s="17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68" t="s">
        <v>61</v>
      </c>
      <c r="B14" s="168"/>
      <c r="C14" s="168"/>
      <c r="D14" s="168"/>
      <c r="E14" s="168"/>
      <c r="F14" s="168"/>
      <c r="G14" s="168"/>
      <c r="H14" s="168"/>
      <c r="I14" s="168"/>
      <c r="J14" s="8"/>
      <c r="K14" s="8"/>
      <c r="L14" s="8"/>
      <c r="M14" s="8"/>
    </row>
    <row r="15" spans="1:13" ht="15.75" customHeight="1">
      <c r="A15" s="179" t="s">
        <v>4</v>
      </c>
      <c r="B15" s="179"/>
      <c r="C15" s="179"/>
      <c r="D15" s="179"/>
      <c r="E15" s="179"/>
      <c r="F15" s="179"/>
      <c r="G15" s="179"/>
      <c r="H15" s="179"/>
      <c r="I15" s="179"/>
      <c r="J15" s="8"/>
      <c r="K15" s="8"/>
      <c r="L15" s="8"/>
      <c r="M15" s="8"/>
    </row>
    <row r="16" spans="1:13" ht="15.75" customHeight="1">
      <c r="A16" s="30">
        <v>1</v>
      </c>
      <c r="B16" s="79" t="s">
        <v>92</v>
      </c>
      <c r="C16" s="80" t="s">
        <v>102</v>
      </c>
      <c r="D16" s="79" t="s">
        <v>130</v>
      </c>
      <c r="E16" s="81">
        <v>92.5</v>
      </c>
      <c r="F16" s="82">
        <f>SUM(E16*156/100)</f>
        <v>144.30000000000001</v>
      </c>
      <c r="G16" s="82">
        <v>230</v>
      </c>
      <c r="H16" s="86">
        <f t="shared" ref="H16:H25" si="0">SUM(F16*G16/1000)</f>
        <v>33.189</v>
      </c>
      <c r="I16" s="13">
        <f>F16/12*G16</f>
        <v>2765.75</v>
      </c>
      <c r="J16" s="8"/>
      <c r="K16" s="8"/>
      <c r="L16" s="8"/>
      <c r="M16" s="8"/>
    </row>
    <row r="17" spans="1:13" ht="15.75" customHeight="1">
      <c r="A17" s="30">
        <v>2</v>
      </c>
      <c r="B17" s="79" t="s">
        <v>93</v>
      </c>
      <c r="C17" s="80" t="s">
        <v>102</v>
      </c>
      <c r="D17" s="79" t="s">
        <v>131</v>
      </c>
      <c r="E17" s="81">
        <v>288.8</v>
      </c>
      <c r="F17" s="82">
        <f>SUM(E17*104/100)</f>
        <v>300.35200000000003</v>
      </c>
      <c r="G17" s="82">
        <v>230</v>
      </c>
      <c r="H17" s="86">
        <f t="shared" si="0"/>
        <v>69.080960000000005</v>
      </c>
      <c r="I17" s="13">
        <f>F17/12*G17</f>
        <v>5756.7466666666678</v>
      </c>
      <c r="J17" s="23"/>
      <c r="K17" s="8"/>
      <c r="L17" s="8"/>
      <c r="M17" s="8"/>
    </row>
    <row r="18" spans="1:13" ht="15.75" customHeight="1">
      <c r="A18" s="30">
        <v>3</v>
      </c>
      <c r="B18" s="79" t="s">
        <v>94</v>
      </c>
      <c r="C18" s="80" t="s">
        <v>102</v>
      </c>
      <c r="D18" s="79" t="s">
        <v>167</v>
      </c>
      <c r="E18" s="81">
        <f>SUM(E16+E17)</f>
        <v>381.3</v>
      </c>
      <c r="F18" s="82">
        <f>SUM(E18*12/100)</f>
        <v>45.756</v>
      </c>
      <c r="G18" s="82">
        <v>661.67</v>
      </c>
      <c r="H18" s="86">
        <f t="shared" si="0"/>
        <v>30.275372519999998</v>
      </c>
      <c r="I18" s="13">
        <f>F18/12*G18</f>
        <v>2522.9477099999999</v>
      </c>
      <c r="J18" s="23"/>
      <c r="K18" s="8"/>
      <c r="L18" s="8"/>
      <c r="M18" s="8"/>
    </row>
    <row r="19" spans="1:13" ht="15.75" hidden="1" customHeight="1">
      <c r="A19" s="30">
        <v>4</v>
      </c>
      <c r="B19" s="79" t="s">
        <v>112</v>
      </c>
      <c r="C19" s="80" t="s">
        <v>113</v>
      </c>
      <c r="D19" s="79" t="s">
        <v>114</v>
      </c>
      <c r="E19" s="81">
        <v>19.2</v>
      </c>
      <c r="F19" s="82">
        <f>SUM(E19/10)</f>
        <v>1.92</v>
      </c>
      <c r="G19" s="82">
        <v>223.17</v>
      </c>
      <c r="H19" s="86">
        <f t="shared" si="0"/>
        <v>0.42848639999999993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79" t="s">
        <v>101</v>
      </c>
      <c r="C20" s="80" t="s">
        <v>102</v>
      </c>
      <c r="D20" s="79" t="s">
        <v>205</v>
      </c>
      <c r="E20" s="81">
        <v>27.3</v>
      </c>
      <c r="F20" s="82">
        <f>SUM(E20*2/100)</f>
        <v>0.54600000000000004</v>
      </c>
      <c r="G20" s="82">
        <v>285.76</v>
      </c>
      <c r="H20" s="86">
        <f t="shared" si="0"/>
        <v>0.15602495999999999</v>
      </c>
      <c r="I20" s="13">
        <f>F20/2*G20</f>
        <v>78.012479999999996</v>
      </c>
      <c r="J20" s="23"/>
      <c r="K20" s="8"/>
      <c r="L20" s="8"/>
      <c r="M20" s="8"/>
    </row>
    <row r="21" spans="1:13" ht="15.75" customHeight="1">
      <c r="A21" s="30">
        <v>5</v>
      </c>
      <c r="B21" s="79" t="s">
        <v>109</v>
      </c>
      <c r="C21" s="80" t="s">
        <v>102</v>
      </c>
      <c r="D21" s="79" t="s">
        <v>205</v>
      </c>
      <c r="E21" s="81">
        <v>9.08</v>
      </c>
      <c r="F21" s="82">
        <f>SUM(E21*2/100)</f>
        <v>0.18160000000000001</v>
      </c>
      <c r="G21" s="82">
        <v>283.44</v>
      </c>
      <c r="H21" s="86">
        <f>SUM(F21*G21/1000)</f>
        <v>5.1472704000000001E-2</v>
      </c>
      <c r="I21" s="13">
        <f>F21/2*G21</f>
        <v>25.736352</v>
      </c>
      <c r="J21" s="23"/>
      <c r="K21" s="8"/>
      <c r="L21" s="8"/>
      <c r="M21" s="8"/>
    </row>
    <row r="22" spans="1:13" ht="15.75" hidden="1" customHeight="1">
      <c r="A22" s="30">
        <v>7</v>
      </c>
      <c r="B22" s="79" t="s">
        <v>103</v>
      </c>
      <c r="C22" s="80" t="s">
        <v>54</v>
      </c>
      <c r="D22" s="79" t="s">
        <v>114</v>
      </c>
      <c r="E22" s="84">
        <v>30</v>
      </c>
      <c r="F22" s="82">
        <f>SUM(E22/100)</f>
        <v>0.3</v>
      </c>
      <c r="G22" s="82">
        <v>58.08</v>
      </c>
      <c r="H22" s="86">
        <f t="shared" si="0"/>
        <v>1.7423999999999999E-2</v>
      </c>
      <c r="I22" s="13">
        <v>0</v>
      </c>
      <c r="J22" s="23"/>
      <c r="K22" s="8"/>
      <c r="L22" s="8"/>
      <c r="M22" s="8"/>
    </row>
    <row r="23" spans="1:13" ht="15.75" hidden="1" customHeight="1">
      <c r="A23" s="30">
        <v>6</v>
      </c>
      <c r="B23" s="79" t="s">
        <v>104</v>
      </c>
      <c r="C23" s="80" t="s">
        <v>54</v>
      </c>
      <c r="D23" s="79" t="s">
        <v>114</v>
      </c>
      <c r="E23" s="81">
        <v>20</v>
      </c>
      <c r="F23" s="82">
        <f>SUM(E23/100)</f>
        <v>0.2</v>
      </c>
      <c r="G23" s="82">
        <v>511.12</v>
      </c>
      <c r="H23" s="86">
        <f t="shared" si="0"/>
        <v>0.10222400000000001</v>
      </c>
      <c r="I23" s="13">
        <v>0</v>
      </c>
      <c r="J23" s="23"/>
      <c r="K23" s="8"/>
      <c r="L23" s="8"/>
      <c r="M23" s="8"/>
    </row>
    <row r="24" spans="1:13" ht="15.75" hidden="1" customHeight="1">
      <c r="A24" s="30">
        <v>9</v>
      </c>
      <c r="B24" s="79" t="s">
        <v>106</v>
      </c>
      <c r="C24" s="80" t="s">
        <v>54</v>
      </c>
      <c r="D24" s="79" t="s">
        <v>114</v>
      </c>
      <c r="E24" s="81">
        <v>8.5</v>
      </c>
      <c r="F24" s="82">
        <f>SUM(E24/100)</f>
        <v>8.5000000000000006E-2</v>
      </c>
      <c r="G24" s="82">
        <v>683.05</v>
      </c>
      <c r="H24" s="86">
        <f t="shared" si="0"/>
        <v>5.805925E-2</v>
      </c>
      <c r="I24" s="13">
        <v>0</v>
      </c>
      <c r="J24" s="23"/>
      <c r="K24" s="8"/>
      <c r="L24" s="8"/>
      <c r="M24" s="8"/>
    </row>
    <row r="25" spans="1:13" ht="15.75" hidden="1" customHeight="1">
      <c r="A25" s="108">
        <v>7</v>
      </c>
      <c r="B25" s="93" t="s">
        <v>110</v>
      </c>
      <c r="C25" s="94" t="s">
        <v>54</v>
      </c>
      <c r="D25" s="93" t="s">
        <v>55</v>
      </c>
      <c r="E25" s="90">
        <v>20</v>
      </c>
      <c r="F25" s="95">
        <f>SUM(E25/100)</f>
        <v>0.2</v>
      </c>
      <c r="G25" s="95">
        <v>283.44</v>
      </c>
      <c r="H25" s="91">
        <f t="shared" si="0"/>
        <v>5.6688000000000002E-2</v>
      </c>
      <c r="I25" s="13">
        <v>0</v>
      </c>
      <c r="J25" s="23"/>
      <c r="K25" s="8"/>
      <c r="L25" s="8"/>
      <c r="M25" s="8"/>
    </row>
    <row r="26" spans="1:13" ht="15.75" customHeight="1">
      <c r="A26" s="30">
        <v>6</v>
      </c>
      <c r="B26" s="35" t="s">
        <v>66</v>
      </c>
      <c r="C26" s="45" t="s">
        <v>33</v>
      </c>
      <c r="D26" s="35" t="s">
        <v>206</v>
      </c>
      <c r="E26" s="141">
        <v>0.05</v>
      </c>
      <c r="F26" s="34">
        <f>SUM(E26*182)</f>
        <v>9.1</v>
      </c>
      <c r="G26" s="34">
        <v>264.85000000000002</v>
      </c>
      <c r="H26" s="142">
        <f t="shared" ref="H26:H27" si="1">SUM(F26*G26/1000)</f>
        <v>2.4101350000000004</v>
      </c>
      <c r="I26" s="13">
        <f>F26/12*G26</f>
        <v>200.84458333333333</v>
      </c>
      <c r="J26" s="24"/>
    </row>
    <row r="27" spans="1:13" ht="15.75" customHeight="1">
      <c r="A27" s="30">
        <v>7</v>
      </c>
      <c r="B27" s="143" t="s">
        <v>23</v>
      </c>
      <c r="C27" s="45" t="s">
        <v>24</v>
      </c>
      <c r="D27" s="143" t="s">
        <v>142</v>
      </c>
      <c r="E27" s="144">
        <v>3053.4</v>
      </c>
      <c r="F27" s="34">
        <f>SUM(E27*12)</f>
        <v>36640.800000000003</v>
      </c>
      <c r="G27" s="34">
        <v>4.09</v>
      </c>
      <c r="H27" s="142">
        <f t="shared" si="1"/>
        <v>149.860872</v>
      </c>
      <c r="I27" s="13">
        <f>F27/12*G27</f>
        <v>12488.405999999999</v>
      </c>
      <c r="J27" s="24"/>
    </row>
    <row r="28" spans="1:13" ht="15.75" customHeight="1">
      <c r="A28" s="179" t="s">
        <v>168</v>
      </c>
      <c r="B28" s="179"/>
      <c r="C28" s="179"/>
      <c r="D28" s="179"/>
      <c r="E28" s="179"/>
      <c r="F28" s="179"/>
      <c r="G28" s="179"/>
      <c r="H28" s="179"/>
      <c r="I28" s="179"/>
      <c r="J28" s="23"/>
      <c r="K28" s="8"/>
      <c r="L28" s="8"/>
      <c r="M28" s="8"/>
    </row>
    <row r="29" spans="1:13" ht="15.75" customHeight="1">
      <c r="A29" s="110"/>
      <c r="B29" s="124" t="s">
        <v>28</v>
      </c>
      <c r="C29" s="112"/>
      <c r="D29" s="111"/>
      <c r="E29" s="113"/>
      <c r="F29" s="114"/>
      <c r="G29" s="114"/>
      <c r="H29" s="125"/>
      <c r="I29" s="126"/>
      <c r="J29" s="23"/>
      <c r="K29" s="8"/>
      <c r="L29" s="8"/>
      <c r="M29" s="8"/>
    </row>
    <row r="30" spans="1:13" ht="15.75" customHeight="1">
      <c r="A30" s="30">
        <v>8</v>
      </c>
      <c r="B30" s="79" t="s">
        <v>115</v>
      </c>
      <c r="C30" s="80" t="s">
        <v>116</v>
      </c>
      <c r="D30" s="79" t="s">
        <v>132</v>
      </c>
      <c r="E30" s="82">
        <v>317.7</v>
      </c>
      <c r="F30" s="82">
        <f>SUM(E30*52/1000)</f>
        <v>16.520399999999999</v>
      </c>
      <c r="G30" s="82">
        <v>204.44</v>
      </c>
      <c r="H30" s="86">
        <f t="shared" ref="H30:H36" si="2">SUM(F30*G30/1000)</f>
        <v>3.3774305759999996</v>
      </c>
      <c r="I30" s="13">
        <f t="shared" ref="I30:I34" si="3">F30/6*G30</f>
        <v>562.90509599999996</v>
      </c>
      <c r="J30" s="23"/>
      <c r="K30" s="8"/>
      <c r="L30" s="8"/>
      <c r="M30" s="8"/>
    </row>
    <row r="31" spans="1:13" ht="31.5" customHeight="1">
      <c r="A31" s="30">
        <v>9</v>
      </c>
      <c r="B31" s="79" t="s">
        <v>149</v>
      </c>
      <c r="C31" s="80" t="s">
        <v>116</v>
      </c>
      <c r="D31" s="79" t="s">
        <v>133</v>
      </c>
      <c r="E31" s="82">
        <v>146.1</v>
      </c>
      <c r="F31" s="82">
        <f>SUM(E31*78/1000)</f>
        <v>11.395799999999999</v>
      </c>
      <c r="G31" s="82">
        <v>339.21</v>
      </c>
      <c r="H31" s="86">
        <f t="shared" si="2"/>
        <v>3.8655693179999995</v>
      </c>
      <c r="I31" s="13">
        <f t="shared" si="3"/>
        <v>644.26155299999994</v>
      </c>
      <c r="J31" s="23"/>
      <c r="K31" s="8"/>
      <c r="L31" s="8"/>
      <c r="M31" s="8"/>
    </row>
    <row r="32" spans="1:13" ht="15.75" hidden="1" customHeight="1">
      <c r="A32" s="30">
        <v>11</v>
      </c>
      <c r="B32" s="79" t="s">
        <v>27</v>
      </c>
      <c r="C32" s="80" t="s">
        <v>116</v>
      </c>
      <c r="D32" s="79" t="s">
        <v>55</v>
      </c>
      <c r="E32" s="82">
        <f>E30</f>
        <v>317.7</v>
      </c>
      <c r="F32" s="82">
        <f>SUM(E32/1000)</f>
        <v>0.31769999999999998</v>
      </c>
      <c r="G32" s="82">
        <v>3961.23</v>
      </c>
      <c r="H32" s="86">
        <f t="shared" si="2"/>
        <v>1.2584827709999999</v>
      </c>
      <c r="I32" s="13">
        <f>F32*G32</f>
        <v>1258.482771</v>
      </c>
      <c r="J32" s="23"/>
      <c r="K32" s="8"/>
      <c r="L32" s="8"/>
      <c r="M32" s="8"/>
    </row>
    <row r="33" spans="1:14" ht="15.75" customHeight="1">
      <c r="A33" s="30">
        <v>10</v>
      </c>
      <c r="B33" s="79" t="s">
        <v>207</v>
      </c>
      <c r="C33" s="80" t="s">
        <v>41</v>
      </c>
      <c r="D33" s="79" t="s">
        <v>65</v>
      </c>
      <c r="E33" s="82">
        <v>5</v>
      </c>
      <c r="F33" s="82">
        <f>E33*155/100</f>
        <v>7.75</v>
      </c>
      <c r="G33" s="82">
        <v>1707.63</v>
      </c>
      <c r="H33" s="86">
        <f t="shared" si="2"/>
        <v>13.234132500000001</v>
      </c>
      <c r="I33" s="13">
        <f t="shared" si="3"/>
        <v>2205.6887500000003</v>
      </c>
      <c r="J33" s="23"/>
      <c r="K33" s="8"/>
      <c r="L33" s="8"/>
      <c r="M33" s="8"/>
    </row>
    <row r="34" spans="1:14" ht="15.75" customHeight="1">
      <c r="A34" s="30">
        <v>11</v>
      </c>
      <c r="B34" s="79" t="s">
        <v>117</v>
      </c>
      <c r="C34" s="80" t="s">
        <v>31</v>
      </c>
      <c r="D34" s="79" t="s">
        <v>65</v>
      </c>
      <c r="E34" s="88">
        <f>1/6</f>
        <v>0.16666666666666666</v>
      </c>
      <c r="F34" s="82">
        <f>155/6</f>
        <v>25.833333333333332</v>
      </c>
      <c r="G34" s="82">
        <v>74.349999999999994</v>
      </c>
      <c r="H34" s="86">
        <f t="shared" si="2"/>
        <v>1.920708333333333</v>
      </c>
      <c r="I34" s="13">
        <f t="shared" si="3"/>
        <v>320.11805555555554</v>
      </c>
      <c r="J34" s="23"/>
      <c r="K34" s="8"/>
      <c r="L34" s="8"/>
      <c r="M34" s="8"/>
    </row>
    <row r="35" spans="1:14" ht="15.75" hidden="1" customHeight="1">
      <c r="A35" s="30"/>
      <c r="B35" s="35" t="s">
        <v>67</v>
      </c>
      <c r="C35" s="45" t="s">
        <v>33</v>
      </c>
      <c r="D35" s="35" t="s">
        <v>69</v>
      </c>
      <c r="E35" s="144"/>
      <c r="F35" s="34">
        <v>2</v>
      </c>
      <c r="G35" s="34">
        <v>250.92</v>
      </c>
      <c r="H35" s="142">
        <f t="shared" si="2"/>
        <v>0.50183999999999995</v>
      </c>
      <c r="I35" s="13">
        <v>0</v>
      </c>
      <c r="J35" s="23"/>
      <c r="K35" s="8"/>
    </row>
    <row r="36" spans="1:14" ht="15.75" hidden="1" customHeight="1">
      <c r="A36" s="30"/>
      <c r="B36" s="35" t="s">
        <v>68</v>
      </c>
      <c r="C36" s="45" t="s">
        <v>32</v>
      </c>
      <c r="D36" s="35" t="s">
        <v>69</v>
      </c>
      <c r="E36" s="144"/>
      <c r="F36" s="34">
        <v>1</v>
      </c>
      <c r="G36" s="34">
        <v>1490.31</v>
      </c>
      <c r="H36" s="142">
        <f t="shared" si="2"/>
        <v>1.49031</v>
      </c>
      <c r="I36" s="13"/>
      <c r="J36" s="23"/>
      <c r="K36" s="8"/>
    </row>
    <row r="37" spans="1:14" ht="15.75" hidden="1" customHeight="1">
      <c r="A37" s="30"/>
      <c r="B37" s="107" t="s">
        <v>5</v>
      </c>
      <c r="C37" s="80"/>
      <c r="D37" s="79"/>
      <c r="E37" s="81"/>
      <c r="F37" s="82"/>
      <c r="G37" s="82"/>
      <c r="H37" s="86" t="s">
        <v>142</v>
      </c>
      <c r="I37" s="87"/>
      <c r="J37" s="24"/>
    </row>
    <row r="38" spans="1:14" ht="15.75" hidden="1" customHeight="1">
      <c r="A38" s="30">
        <v>9</v>
      </c>
      <c r="B38" s="79" t="s">
        <v>26</v>
      </c>
      <c r="C38" s="80" t="s">
        <v>32</v>
      </c>
      <c r="D38" s="79"/>
      <c r="E38" s="81"/>
      <c r="F38" s="82">
        <v>3</v>
      </c>
      <c r="G38" s="82">
        <v>2003</v>
      </c>
      <c r="H38" s="86">
        <f t="shared" ref="H38:H44" si="4">SUM(F38*G38/1000)</f>
        <v>6.0090000000000003</v>
      </c>
      <c r="I38" s="13">
        <f t="shared" ref="I38:I44" si="5">F38/6*G38</f>
        <v>1001.5</v>
      </c>
      <c r="J38" s="24"/>
    </row>
    <row r="39" spans="1:14" ht="15.75" hidden="1" customHeight="1">
      <c r="A39" s="30">
        <v>10</v>
      </c>
      <c r="B39" s="79" t="s">
        <v>70</v>
      </c>
      <c r="C39" s="80" t="s">
        <v>29</v>
      </c>
      <c r="D39" s="79" t="s">
        <v>208</v>
      </c>
      <c r="E39" s="82">
        <v>160.6</v>
      </c>
      <c r="F39" s="82">
        <f>SUM(E39*18/1000)</f>
        <v>2.8907999999999996</v>
      </c>
      <c r="G39" s="82">
        <v>2757.78</v>
      </c>
      <c r="H39" s="86">
        <f t="shared" si="4"/>
        <v>7.972190423999999</v>
      </c>
      <c r="I39" s="13">
        <f t="shared" si="5"/>
        <v>1328.698404</v>
      </c>
      <c r="J39" s="24"/>
    </row>
    <row r="40" spans="1:14" ht="15.75" hidden="1" customHeight="1">
      <c r="A40" s="30">
        <v>11</v>
      </c>
      <c r="B40" s="79" t="s">
        <v>71</v>
      </c>
      <c r="C40" s="80" t="s">
        <v>29</v>
      </c>
      <c r="D40" s="79" t="s">
        <v>135</v>
      </c>
      <c r="E40" s="81">
        <v>89.1</v>
      </c>
      <c r="F40" s="82">
        <f>SUM(E40*155/1000)</f>
        <v>13.810499999999999</v>
      </c>
      <c r="G40" s="82">
        <v>460.02</v>
      </c>
      <c r="H40" s="86">
        <f t="shared" si="4"/>
        <v>6.3531062099999991</v>
      </c>
      <c r="I40" s="13">
        <f t="shared" si="5"/>
        <v>1058.8510349999999</v>
      </c>
      <c r="J40" s="24"/>
    </row>
    <row r="41" spans="1:14" ht="15.75" hidden="1" customHeight="1">
      <c r="A41" s="30">
        <v>12</v>
      </c>
      <c r="B41" s="79" t="s">
        <v>209</v>
      </c>
      <c r="C41" s="80" t="s">
        <v>210</v>
      </c>
      <c r="D41" s="79" t="s">
        <v>69</v>
      </c>
      <c r="E41" s="81"/>
      <c r="F41" s="82">
        <v>39</v>
      </c>
      <c r="G41" s="82">
        <v>301.70999999999998</v>
      </c>
      <c r="H41" s="86">
        <f t="shared" si="4"/>
        <v>11.766689999999999</v>
      </c>
      <c r="I41" s="13">
        <v>0</v>
      </c>
      <c r="J41" s="24"/>
    </row>
    <row r="42" spans="1:14" ht="47.25" hidden="1" customHeight="1">
      <c r="A42" s="30">
        <v>13</v>
      </c>
      <c r="B42" s="79" t="s">
        <v>88</v>
      </c>
      <c r="C42" s="80" t="s">
        <v>116</v>
      </c>
      <c r="D42" s="79" t="s">
        <v>211</v>
      </c>
      <c r="E42" s="82">
        <v>46.5</v>
      </c>
      <c r="F42" s="82">
        <f>SUM(E42*35/1000)</f>
        <v>1.6274999999999999</v>
      </c>
      <c r="G42" s="82">
        <v>7611.16</v>
      </c>
      <c r="H42" s="86">
        <f t="shared" si="4"/>
        <v>12.3871629</v>
      </c>
      <c r="I42" s="13">
        <f t="shared" si="5"/>
        <v>2064.5271499999999</v>
      </c>
      <c r="J42" s="24"/>
      <c r="L42" s="20"/>
      <c r="M42" s="21"/>
      <c r="N42" s="22"/>
    </row>
    <row r="43" spans="1:14" ht="15.75" hidden="1" customHeight="1">
      <c r="A43" s="108">
        <v>14</v>
      </c>
      <c r="B43" s="79" t="s">
        <v>118</v>
      </c>
      <c r="C43" s="80" t="s">
        <v>116</v>
      </c>
      <c r="D43" s="79" t="s">
        <v>72</v>
      </c>
      <c r="E43" s="82">
        <v>89.1</v>
      </c>
      <c r="F43" s="82">
        <f>SUM(E43*45/1000)</f>
        <v>4.0094999999999992</v>
      </c>
      <c r="G43" s="82">
        <v>562.25</v>
      </c>
      <c r="H43" s="86">
        <f t="shared" si="4"/>
        <v>2.2543413749999996</v>
      </c>
      <c r="I43" s="13">
        <f t="shared" si="5"/>
        <v>375.72356249999996</v>
      </c>
      <c r="J43" s="24"/>
      <c r="L43" s="20"/>
      <c r="M43" s="21"/>
      <c r="N43" s="22"/>
    </row>
    <row r="44" spans="1:14" ht="15.75" hidden="1" customHeight="1">
      <c r="A44" s="145"/>
      <c r="B44" s="79" t="s">
        <v>73</v>
      </c>
      <c r="C44" s="80" t="s">
        <v>33</v>
      </c>
      <c r="D44" s="79"/>
      <c r="E44" s="81"/>
      <c r="F44" s="82">
        <v>0.9</v>
      </c>
      <c r="G44" s="82">
        <v>974.83</v>
      </c>
      <c r="H44" s="86">
        <f t="shared" si="4"/>
        <v>0.8773470000000001</v>
      </c>
      <c r="I44" s="13">
        <f t="shared" si="5"/>
        <v>146.22450000000001</v>
      </c>
      <c r="J44" s="24"/>
      <c r="L44" s="20"/>
      <c r="M44" s="21"/>
      <c r="N44" s="22"/>
    </row>
    <row r="45" spans="1:14" ht="15.75" customHeight="1">
      <c r="A45" s="186" t="s">
        <v>150</v>
      </c>
      <c r="B45" s="187"/>
      <c r="C45" s="187"/>
      <c r="D45" s="187"/>
      <c r="E45" s="187"/>
      <c r="F45" s="187"/>
      <c r="G45" s="187"/>
      <c r="H45" s="187"/>
      <c r="I45" s="188"/>
      <c r="J45" s="24"/>
      <c r="L45" s="20"/>
      <c r="M45" s="21"/>
      <c r="N45" s="22"/>
    </row>
    <row r="46" spans="1:14" ht="15.75" customHeight="1">
      <c r="A46" s="110">
        <v>12</v>
      </c>
      <c r="B46" s="35" t="s">
        <v>119</v>
      </c>
      <c r="C46" s="45" t="s">
        <v>116</v>
      </c>
      <c r="D46" s="35" t="s">
        <v>43</v>
      </c>
      <c r="E46" s="144">
        <v>1632.75</v>
      </c>
      <c r="F46" s="34">
        <f>SUM(E46*2/1000)</f>
        <v>3.2654999999999998</v>
      </c>
      <c r="G46" s="37">
        <v>1062</v>
      </c>
      <c r="H46" s="142">
        <f t="shared" ref="H46:H55" si="6">SUM(F46*G46/1000)</f>
        <v>3.4679609999999998</v>
      </c>
      <c r="I46" s="13">
        <f>F46/2*G46</f>
        <v>1733.9804999999999</v>
      </c>
      <c r="J46" s="24"/>
      <c r="L46" s="20"/>
      <c r="M46" s="21"/>
      <c r="N46" s="22"/>
    </row>
    <row r="47" spans="1:14" ht="15.75" customHeight="1">
      <c r="A47" s="30">
        <v>13</v>
      </c>
      <c r="B47" s="35" t="s">
        <v>36</v>
      </c>
      <c r="C47" s="45" t="s">
        <v>116</v>
      </c>
      <c r="D47" s="35" t="s">
        <v>43</v>
      </c>
      <c r="E47" s="144">
        <v>53.75</v>
      </c>
      <c r="F47" s="34">
        <f>SUM(E47*2/1000)</f>
        <v>0.1075</v>
      </c>
      <c r="G47" s="37">
        <v>759.98</v>
      </c>
      <c r="H47" s="142">
        <f t="shared" si="6"/>
        <v>8.1697850000000002E-2</v>
      </c>
      <c r="I47" s="13">
        <f t="shared" ref="I47:I54" si="7">F47/2*G47</f>
        <v>40.848925000000001</v>
      </c>
      <c r="J47" s="24"/>
      <c r="L47" s="20"/>
      <c r="M47" s="21"/>
      <c r="N47" s="22"/>
    </row>
    <row r="48" spans="1:14" ht="15.75" customHeight="1">
      <c r="A48" s="30">
        <v>14</v>
      </c>
      <c r="B48" s="35" t="s">
        <v>37</v>
      </c>
      <c r="C48" s="45" t="s">
        <v>116</v>
      </c>
      <c r="D48" s="35" t="s">
        <v>43</v>
      </c>
      <c r="E48" s="144">
        <v>2285.6</v>
      </c>
      <c r="F48" s="34">
        <f>SUM(E48*2/1000)</f>
        <v>4.5712000000000002</v>
      </c>
      <c r="G48" s="37">
        <v>759.98</v>
      </c>
      <c r="H48" s="142">
        <f t="shared" si="6"/>
        <v>3.4740205760000005</v>
      </c>
      <c r="I48" s="13">
        <f t="shared" si="7"/>
        <v>1737.0102880000002</v>
      </c>
      <c r="J48" s="24"/>
      <c r="L48" s="20"/>
      <c r="M48" s="21"/>
      <c r="N48" s="22"/>
    </row>
    <row r="49" spans="1:14" ht="15.75" customHeight="1">
      <c r="A49" s="30">
        <v>15</v>
      </c>
      <c r="B49" s="35" t="s">
        <v>38</v>
      </c>
      <c r="C49" s="45" t="s">
        <v>116</v>
      </c>
      <c r="D49" s="35" t="s">
        <v>43</v>
      </c>
      <c r="E49" s="144">
        <v>1860</v>
      </c>
      <c r="F49" s="34">
        <f>SUM(E49*2/1000)</f>
        <v>3.72</v>
      </c>
      <c r="G49" s="37">
        <v>795.82</v>
      </c>
      <c r="H49" s="142">
        <f t="shared" si="6"/>
        <v>2.9604504</v>
      </c>
      <c r="I49" s="13">
        <f t="shared" si="7"/>
        <v>1480.2252000000001</v>
      </c>
      <c r="J49" s="24"/>
      <c r="L49" s="20"/>
      <c r="M49" s="21"/>
      <c r="N49" s="22"/>
    </row>
    <row r="50" spans="1:14" ht="15.75" customHeight="1">
      <c r="A50" s="30">
        <v>16</v>
      </c>
      <c r="B50" s="35" t="s">
        <v>34</v>
      </c>
      <c r="C50" s="45" t="s">
        <v>35</v>
      </c>
      <c r="D50" s="35" t="s">
        <v>43</v>
      </c>
      <c r="E50" s="144">
        <v>120.5</v>
      </c>
      <c r="F50" s="34">
        <f>SUM(E50*2/100)</f>
        <v>2.41</v>
      </c>
      <c r="G50" s="37">
        <v>95.49</v>
      </c>
      <c r="H50" s="142">
        <f t="shared" si="6"/>
        <v>0.2301309</v>
      </c>
      <c r="I50" s="13">
        <f t="shared" si="7"/>
        <v>115.06545</v>
      </c>
      <c r="J50" s="24"/>
      <c r="L50" s="20"/>
      <c r="M50" s="21"/>
      <c r="N50" s="22"/>
    </row>
    <row r="51" spans="1:14" ht="15.75" customHeight="1">
      <c r="A51" s="30">
        <v>17</v>
      </c>
      <c r="B51" s="35" t="s">
        <v>58</v>
      </c>
      <c r="C51" s="45" t="s">
        <v>116</v>
      </c>
      <c r="D51" s="35" t="s">
        <v>153</v>
      </c>
      <c r="E51" s="144">
        <v>3053.4</v>
      </c>
      <c r="F51" s="34">
        <f>SUM(E51*5/1000)</f>
        <v>15.266999999999999</v>
      </c>
      <c r="G51" s="37">
        <v>1591.6</v>
      </c>
      <c r="H51" s="142">
        <f t="shared" si="6"/>
        <v>24.298957199999997</v>
      </c>
      <c r="I51" s="13">
        <f>F51/5*G51</f>
        <v>4859.79144</v>
      </c>
      <c r="J51" s="24"/>
      <c r="L51" s="20"/>
      <c r="M51" s="21"/>
      <c r="N51" s="22"/>
    </row>
    <row r="52" spans="1:14" ht="31.5" hidden="1" customHeight="1">
      <c r="A52" s="30"/>
      <c r="B52" s="35" t="s">
        <v>120</v>
      </c>
      <c r="C52" s="45" t="s">
        <v>116</v>
      </c>
      <c r="D52" s="35" t="s">
        <v>43</v>
      </c>
      <c r="E52" s="144">
        <f>E51</f>
        <v>3053.4</v>
      </c>
      <c r="F52" s="34">
        <f>SUM(E52*2/1000)</f>
        <v>6.1067999999999998</v>
      </c>
      <c r="G52" s="37">
        <v>1591.6</v>
      </c>
      <c r="H52" s="142">
        <f t="shared" si="6"/>
        <v>9.7195828800000008</v>
      </c>
      <c r="I52" s="13">
        <f t="shared" si="7"/>
        <v>4859.79144</v>
      </c>
      <c r="J52" s="24"/>
      <c r="L52" s="20"/>
      <c r="M52" s="21"/>
      <c r="N52" s="22"/>
    </row>
    <row r="53" spans="1:14" ht="31.5" hidden="1" customHeight="1">
      <c r="A53" s="30"/>
      <c r="B53" s="35" t="s">
        <v>143</v>
      </c>
      <c r="C53" s="45" t="s">
        <v>39</v>
      </c>
      <c r="D53" s="35" t="s">
        <v>43</v>
      </c>
      <c r="E53" s="144">
        <v>20</v>
      </c>
      <c r="F53" s="34">
        <f>SUM(E53*2/100)</f>
        <v>0.4</v>
      </c>
      <c r="G53" s="37">
        <v>3581.13</v>
      </c>
      <c r="H53" s="142">
        <f t="shared" si="6"/>
        <v>1.4324520000000003</v>
      </c>
      <c r="I53" s="13">
        <f t="shared" si="7"/>
        <v>716.22600000000011</v>
      </c>
      <c r="J53" s="24"/>
      <c r="L53" s="20"/>
      <c r="M53" s="21"/>
      <c r="N53" s="22"/>
    </row>
    <row r="54" spans="1:14" ht="15.75" hidden="1" customHeight="1">
      <c r="A54" s="30"/>
      <c r="B54" s="35" t="s">
        <v>40</v>
      </c>
      <c r="C54" s="45" t="s">
        <v>41</v>
      </c>
      <c r="D54" s="35" t="s">
        <v>43</v>
      </c>
      <c r="E54" s="144">
        <v>1</v>
      </c>
      <c r="F54" s="34">
        <v>0.02</v>
      </c>
      <c r="G54" s="37">
        <v>7412.92</v>
      </c>
      <c r="H54" s="142">
        <f t="shared" si="6"/>
        <v>0.14825839999999998</v>
      </c>
      <c r="I54" s="13">
        <f t="shared" si="7"/>
        <v>74.129199999999997</v>
      </c>
      <c r="J54" s="24"/>
      <c r="L54" s="20"/>
      <c r="M54" s="21"/>
      <c r="N54" s="22"/>
    </row>
    <row r="55" spans="1:14" ht="15.75" customHeight="1">
      <c r="A55" s="30">
        <v>18</v>
      </c>
      <c r="B55" s="35" t="s">
        <v>42</v>
      </c>
      <c r="C55" s="45" t="s">
        <v>97</v>
      </c>
      <c r="D55" s="35" t="s">
        <v>74</v>
      </c>
      <c r="E55" s="144">
        <v>128</v>
      </c>
      <c r="F55" s="34">
        <f>SUM(E55)*3</f>
        <v>384</v>
      </c>
      <c r="G55" s="38">
        <v>86.15</v>
      </c>
      <c r="H55" s="142">
        <f t="shared" si="6"/>
        <v>33.081600000000009</v>
      </c>
      <c r="I55" s="13">
        <f>E55*G55</f>
        <v>11027.2</v>
      </c>
      <c r="J55" s="24"/>
      <c r="L55" s="20"/>
      <c r="M55" s="21"/>
      <c r="N55" s="22"/>
    </row>
    <row r="56" spans="1:14" ht="15.75" customHeight="1">
      <c r="A56" s="180" t="s">
        <v>151</v>
      </c>
      <c r="B56" s="181"/>
      <c r="C56" s="181"/>
      <c r="D56" s="181"/>
      <c r="E56" s="181"/>
      <c r="F56" s="181"/>
      <c r="G56" s="181"/>
      <c r="H56" s="181"/>
      <c r="I56" s="182"/>
      <c r="J56" s="24"/>
      <c r="L56" s="20"/>
      <c r="M56" s="21"/>
      <c r="N56" s="22"/>
    </row>
    <row r="57" spans="1:14" ht="15.75" customHeight="1">
      <c r="A57" s="30"/>
      <c r="B57" s="107" t="s">
        <v>44</v>
      </c>
      <c r="C57" s="80"/>
      <c r="D57" s="79"/>
      <c r="E57" s="81"/>
      <c r="F57" s="82"/>
      <c r="G57" s="82"/>
      <c r="H57" s="86"/>
      <c r="I57" s="87"/>
      <c r="J57" s="24"/>
      <c r="L57" s="20"/>
      <c r="M57" s="21"/>
      <c r="N57" s="22"/>
    </row>
    <row r="58" spans="1:14" ht="31.5" hidden="1" customHeight="1">
      <c r="A58" s="30">
        <v>17</v>
      </c>
      <c r="B58" s="79" t="s">
        <v>121</v>
      </c>
      <c r="C58" s="80" t="s">
        <v>102</v>
      </c>
      <c r="D58" s="79" t="s">
        <v>122</v>
      </c>
      <c r="E58" s="81">
        <v>92.7</v>
      </c>
      <c r="F58" s="82">
        <f>SUM(E58*6/100)</f>
        <v>5.5620000000000003</v>
      </c>
      <c r="G58" s="13">
        <v>2431.1799999999998</v>
      </c>
      <c r="H58" s="86">
        <f>SUM(F58*G58/1000)</f>
        <v>13.522223159999999</v>
      </c>
      <c r="I58" s="13">
        <f>F58/6*G58</f>
        <v>2253.7038600000001</v>
      </c>
      <c r="J58" s="24"/>
      <c r="L58" s="20"/>
      <c r="M58" s="21"/>
      <c r="N58" s="22"/>
    </row>
    <row r="59" spans="1:14" ht="15.75" customHeight="1">
      <c r="A59" s="30">
        <v>19</v>
      </c>
      <c r="B59" s="79" t="s">
        <v>144</v>
      </c>
      <c r="C59" s="80" t="s">
        <v>145</v>
      </c>
      <c r="D59" s="14" t="s">
        <v>69</v>
      </c>
      <c r="E59" s="81"/>
      <c r="F59" s="82">
        <v>2</v>
      </c>
      <c r="G59" s="75">
        <v>1582.05</v>
      </c>
      <c r="H59" s="86">
        <f>SUM(F59*G59/1000)</f>
        <v>3.1640999999999999</v>
      </c>
      <c r="I59" s="13">
        <f>G59*2</f>
        <v>3164.1</v>
      </c>
      <c r="J59" s="24"/>
      <c r="L59" s="20"/>
      <c r="M59" s="21"/>
      <c r="N59" s="22"/>
    </row>
    <row r="60" spans="1:14" ht="15.75" customHeight="1">
      <c r="A60" s="30"/>
      <c r="B60" s="107" t="s">
        <v>45</v>
      </c>
      <c r="C60" s="80"/>
      <c r="D60" s="79"/>
      <c r="E60" s="81"/>
      <c r="F60" s="82"/>
      <c r="G60" s="82"/>
      <c r="H60" s="83" t="s">
        <v>142</v>
      </c>
      <c r="I60" s="87"/>
      <c r="J60" s="24"/>
      <c r="L60" s="20"/>
      <c r="M60" s="21"/>
      <c r="N60" s="22"/>
    </row>
    <row r="61" spans="1:14" ht="15.75" hidden="1" customHeight="1">
      <c r="A61" s="30"/>
      <c r="B61" s="35" t="s">
        <v>46</v>
      </c>
      <c r="C61" s="45" t="s">
        <v>102</v>
      </c>
      <c r="D61" s="35" t="s">
        <v>55</v>
      </c>
      <c r="E61" s="146">
        <v>145</v>
      </c>
      <c r="F61" s="34">
        <f>SUM(E61/100)</f>
        <v>1.45</v>
      </c>
      <c r="G61" s="37">
        <v>1040.8399999999999</v>
      </c>
      <c r="H61" s="147">
        <v>9.1679999999999993</v>
      </c>
      <c r="I61" s="13">
        <v>0</v>
      </c>
      <c r="J61" s="24"/>
      <c r="L61" s="20"/>
      <c r="M61" s="21"/>
      <c r="N61" s="22"/>
    </row>
    <row r="62" spans="1:14" ht="15.75" customHeight="1">
      <c r="A62" s="30">
        <v>20</v>
      </c>
      <c r="B62" s="148" t="s">
        <v>98</v>
      </c>
      <c r="C62" s="149" t="s">
        <v>25</v>
      </c>
      <c r="D62" s="148" t="s">
        <v>30</v>
      </c>
      <c r="E62" s="146">
        <v>255.2</v>
      </c>
      <c r="F62" s="34">
        <f>SUM(E62*12)</f>
        <v>3062.3999999999996</v>
      </c>
      <c r="G62" s="150">
        <v>2.8</v>
      </c>
      <c r="H62" s="151">
        <f>G62*F62/1000</f>
        <v>8.5747199999999992</v>
      </c>
      <c r="I62" s="13">
        <f>F62/12*G62</f>
        <v>714.55999999999983</v>
      </c>
      <c r="J62" s="24"/>
      <c r="L62" s="20"/>
      <c r="M62" s="21"/>
      <c r="N62" s="22"/>
    </row>
    <row r="63" spans="1:14" ht="15.75" customHeight="1">
      <c r="A63" s="30"/>
      <c r="B63" s="117" t="s">
        <v>47</v>
      </c>
      <c r="C63" s="94"/>
      <c r="D63" s="93"/>
      <c r="E63" s="90"/>
      <c r="F63" s="95"/>
      <c r="G63" s="95"/>
      <c r="H63" s="96" t="s">
        <v>142</v>
      </c>
      <c r="I63" s="87"/>
      <c r="J63" s="24"/>
      <c r="L63" s="20"/>
      <c r="M63" s="21"/>
      <c r="N63" s="22"/>
    </row>
    <row r="64" spans="1:14" ht="15.75" customHeight="1">
      <c r="A64" s="30">
        <v>21</v>
      </c>
      <c r="B64" s="57" t="s">
        <v>48</v>
      </c>
      <c r="C64" s="41" t="s">
        <v>97</v>
      </c>
      <c r="D64" s="40" t="s">
        <v>69</v>
      </c>
      <c r="E64" s="18">
        <v>6</v>
      </c>
      <c r="F64" s="34">
        <f>SUM(E64)</f>
        <v>6</v>
      </c>
      <c r="G64" s="37">
        <v>291.68</v>
      </c>
      <c r="H64" s="134">
        <f t="shared" ref="H64:H72" si="8">SUM(F64*G64/1000)</f>
        <v>1.7500799999999999</v>
      </c>
      <c r="I64" s="13">
        <f>G64*11</f>
        <v>3208.48</v>
      </c>
      <c r="J64" s="24"/>
      <c r="L64" s="20"/>
    </row>
    <row r="65" spans="1:22" ht="15.75" hidden="1" customHeight="1">
      <c r="A65" s="30"/>
      <c r="B65" s="57" t="s">
        <v>49</v>
      </c>
      <c r="C65" s="41" t="s">
        <v>97</v>
      </c>
      <c r="D65" s="40" t="s">
        <v>69</v>
      </c>
      <c r="E65" s="18">
        <v>4</v>
      </c>
      <c r="F65" s="34">
        <f>SUM(E65)</f>
        <v>4</v>
      </c>
      <c r="G65" s="37">
        <v>100.01</v>
      </c>
      <c r="H65" s="134">
        <f t="shared" si="8"/>
        <v>0.40004000000000001</v>
      </c>
      <c r="I65" s="13">
        <v>0</v>
      </c>
      <c r="J65" s="24"/>
      <c r="L65" s="20"/>
    </row>
    <row r="66" spans="1:22" ht="15.75" hidden="1" customHeight="1">
      <c r="A66" s="30"/>
      <c r="B66" s="57" t="s">
        <v>50</v>
      </c>
      <c r="C66" s="43" t="s">
        <v>123</v>
      </c>
      <c r="D66" s="40" t="s">
        <v>55</v>
      </c>
      <c r="E66" s="144">
        <v>15552</v>
      </c>
      <c r="F66" s="38">
        <f>SUM(E66/100)</f>
        <v>155.52000000000001</v>
      </c>
      <c r="G66" s="37">
        <v>278.24</v>
      </c>
      <c r="H66" s="134">
        <f t="shared" si="8"/>
        <v>43.271884800000009</v>
      </c>
      <c r="I66" s="13">
        <v>0</v>
      </c>
    </row>
    <row r="67" spans="1:22" ht="15.75" hidden="1" customHeight="1">
      <c r="A67" s="30"/>
      <c r="B67" s="57" t="s">
        <v>51</v>
      </c>
      <c r="C67" s="41" t="s">
        <v>124</v>
      </c>
      <c r="D67" s="40"/>
      <c r="E67" s="144">
        <v>15552</v>
      </c>
      <c r="F67" s="37">
        <f>SUM(E67/1000)</f>
        <v>15.552</v>
      </c>
      <c r="G67" s="37">
        <v>216.68</v>
      </c>
      <c r="H67" s="134">
        <f t="shared" si="8"/>
        <v>3.3698073600000003</v>
      </c>
      <c r="I67" s="13">
        <v>0</v>
      </c>
    </row>
    <row r="68" spans="1:22" ht="15.75" hidden="1" customHeight="1">
      <c r="A68" s="30"/>
      <c r="B68" s="57" t="s">
        <v>52</v>
      </c>
      <c r="C68" s="41" t="s">
        <v>81</v>
      </c>
      <c r="D68" s="40" t="s">
        <v>55</v>
      </c>
      <c r="E68" s="144">
        <v>2432</v>
      </c>
      <c r="F68" s="37">
        <f>SUM(E68/100)</f>
        <v>24.32</v>
      </c>
      <c r="G68" s="37">
        <v>2720.94</v>
      </c>
      <c r="H68" s="134">
        <f t="shared" si="8"/>
        <v>66.173260800000008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15.75" hidden="1" customHeight="1">
      <c r="A69" s="30"/>
      <c r="B69" s="54" t="s">
        <v>75</v>
      </c>
      <c r="C69" s="41" t="s">
        <v>33</v>
      </c>
      <c r="D69" s="40"/>
      <c r="E69" s="144">
        <v>14.8</v>
      </c>
      <c r="F69" s="37">
        <f>SUM(E69)</f>
        <v>14.8</v>
      </c>
      <c r="G69" s="37">
        <v>42.61</v>
      </c>
      <c r="H69" s="134">
        <f t="shared" si="8"/>
        <v>0.63062800000000008</v>
      </c>
      <c r="I69" s="13">
        <v>0</v>
      </c>
      <c r="J69" s="26"/>
      <c r="K69" s="26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31.5" hidden="1" customHeight="1">
      <c r="A70" s="30"/>
      <c r="B70" s="54" t="s">
        <v>76</v>
      </c>
      <c r="C70" s="41" t="s">
        <v>33</v>
      </c>
      <c r="D70" s="40"/>
      <c r="E70" s="144">
        <f>E69</f>
        <v>14.8</v>
      </c>
      <c r="F70" s="37">
        <f>SUM(E70)</f>
        <v>14.8</v>
      </c>
      <c r="G70" s="37">
        <v>46.04</v>
      </c>
      <c r="H70" s="134">
        <f t="shared" si="8"/>
        <v>0.681392</v>
      </c>
      <c r="I70" s="13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15.75" customHeight="1">
      <c r="A71" s="30">
        <v>22</v>
      </c>
      <c r="B71" s="40" t="s">
        <v>59</v>
      </c>
      <c r="C71" s="41" t="s">
        <v>60</v>
      </c>
      <c r="D71" s="40" t="s">
        <v>55</v>
      </c>
      <c r="E71" s="18">
        <v>5</v>
      </c>
      <c r="F71" s="34">
        <f>SUM(E71)</f>
        <v>5</v>
      </c>
      <c r="G71" s="37">
        <v>65.42</v>
      </c>
      <c r="H71" s="134">
        <f t="shared" si="8"/>
        <v>0.3271</v>
      </c>
      <c r="I71" s="13">
        <f>G71*4</f>
        <v>261.68</v>
      </c>
      <c r="J71" s="5"/>
      <c r="K71" s="5"/>
      <c r="L71" s="5"/>
      <c r="M71" s="5"/>
      <c r="N71" s="5"/>
      <c r="O71" s="5"/>
      <c r="P71" s="5"/>
      <c r="Q71" s="5"/>
      <c r="R71" s="183"/>
      <c r="S71" s="183"/>
      <c r="T71" s="183"/>
      <c r="U71" s="183"/>
    </row>
    <row r="72" spans="1:22" ht="15.75" customHeight="1">
      <c r="A72" s="30">
        <v>23</v>
      </c>
      <c r="B72" s="40" t="s">
        <v>212</v>
      </c>
      <c r="C72" s="46" t="s">
        <v>213</v>
      </c>
      <c r="D72" s="40" t="s">
        <v>69</v>
      </c>
      <c r="E72" s="18">
        <f>E51</f>
        <v>3053.4</v>
      </c>
      <c r="F72" s="34">
        <f>SUM(E72*12)</f>
        <v>36640.800000000003</v>
      </c>
      <c r="G72" s="37">
        <v>2.2799999999999998</v>
      </c>
      <c r="H72" s="134">
        <f t="shared" si="8"/>
        <v>83.541024000000007</v>
      </c>
      <c r="I72" s="13">
        <f>F72/12*G72</f>
        <v>6961.7519999999995</v>
      </c>
      <c r="J72" s="5"/>
      <c r="K72" s="5"/>
      <c r="L72" s="5"/>
      <c r="M72" s="5"/>
      <c r="N72" s="5"/>
      <c r="O72" s="5"/>
      <c r="P72" s="5"/>
      <c r="Q72" s="5"/>
      <c r="R72" s="68"/>
      <c r="S72" s="68"/>
      <c r="T72" s="68"/>
      <c r="U72" s="68"/>
    </row>
    <row r="73" spans="1:22" ht="15.75" customHeight="1">
      <c r="A73" s="30"/>
      <c r="B73" s="74" t="s">
        <v>77</v>
      </c>
      <c r="C73" s="16"/>
      <c r="D73" s="14"/>
      <c r="E73" s="19"/>
      <c r="F73" s="13"/>
      <c r="G73" s="13"/>
      <c r="H73" s="97" t="s">
        <v>142</v>
      </c>
      <c r="I73" s="87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4" spans="1:22" ht="15.75" hidden="1" customHeight="1">
      <c r="A74" s="30">
        <v>19</v>
      </c>
      <c r="B74" s="40" t="s">
        <v>214</v>
      </c>
      <c r="C74" s="41" t="s">
        <v>215</v>
      </c>
      <c r="D74" s="40" t="s">
        <v>69</v>
      </c>
      <c r="E74" s="18">
        <v>1</v>
      </c>
      <c r="F74" s="37">
        <f>E74</f>
        <v>1</v>
      </c>
      <c r="G74" s="37">
        <v>1029.1199999999999</v>
      </c>
      <c r="H74" s="133">
        <f t="shared" ref="H74:H75" si="9">SUM(F74*G74/1000)</f>
        <v>1.0291199999999998</v>
      </c>
      <c r="I74" s="13">
        <v>0</v>
      </c>
    </row>
    <row r="75" spans="1:22" ht="15.75" hidden="1" customHeight="1">
      <c r="A75" s="30"/>
      <c r="B75" s="40" t="s">
        <v>216</v>
      </c>
      <c r="C75" s="41" t="s">
        <v>217</v>
      </c>
      <c r="D75" s="152"/>
      <c r="E75" s="18">
        <v>1</v>
      </c>
      <c r="F75" s="37">
        <v>1</v>
      </c>
      <c r="G75" s="37">
        <v>735</v>
      </c>
      <c r="H75" s="133">
        <f t="shared" si="9"/>
        <v>0.73499999999999999</v>
      </c>
      <c r="I75" s="13">
        <v>0</v>
      </c>
    </row>
    <row r="76" spans="1:22" ht="15.75" hidden="1" customHeight="1">
      <c r="A76" s="30"/>
      <c r="B76" s="40" t="s">
        <v>78</v>
      </c>
      <c r="C76" s="41" t="s">
        <v>79</v>
      </c>
      <c r="D76" s="40" t="s">
        <v>69</v>
      </c>
      <c r="E76" s="18">
        <v>5</v>
      </c>
      <c r="F76" s="34">
        <f>SUM(E76/10)</f>
        <v>0.5</v>
      </c>
      <c r="G76" s="37">
        <v>657.87</v>
      </c>
      <c r="H76" s="133">
        <f>SUM(F76*G76/1000)</f>
        <v>0.32893499999999998</v>
      </c>
      <c r="I76" s="13">
        <v>0</v>
      </c>
    </row>
    <row r="77" spans="1:22" ht="15.75" hidden="1" customHeight="1">
      <c r="A77" s="30"/>
      <c r="B77" s="40" t="s">
        <v>137</v>
      </c>
      <c r="C77" s="41" t="s">
        <v>97</v>
      </c>
      <c r="D77" s="40" t="s">
        <v>69</v>
      </c>
      <c r="E77" s="18">
        <v>1</v>
      </c>
      <c r="F77" s="37">
        <f>E77</f>
        <v>1</v>
      </c>
      <c r="G77" s="37">
        <v>1118.72</v>
      </c>
      <c r="H77" s="133">
        <f>SUM(F77*G77/1000)</f>
        <v>1.1187199999999999</v>
      </c>
      <c r="I77" s="13">
        <v>0</v>
      </c>
    </row>
    <row r="78" spans="1:22" ht="15.75" customHeight="1">
      <c r="A78" s="30">
        <v>24</v>
      </c>
      <c r="B78" s="135" t="s">
        <v>218</v>
      </c>
      <c r="C78" s="136" t="s">
        <v>97</v>
      </c>
      <c r="D78" s="40" t="s">
        <v>69</v>
      </c>
      <c r="E78" s="18">
        <v>2</v>
      </c>
      <c r="F78" s="34">
        <f>E78*12</f>
        <v>24</v>
      </c>
      <c r="G78" s="37">
        <v>53.42</v>
      </c>
      <c r="H78" s="133">
        <f t="shared" ref="H78:H79" si="10">SUM(F78*G78/1000)</f>
        <v>1.2820799999999999</v>
      </c>
      <c r="I78" s="13">
        <f>G78*2</f>
        <v>106.84</v>
      </c>
    </row>
    <row r="79" spans="1:22" ht="31.5" customHeight="1">
      <c r="A79" s="30">
        <v>25</v>
      </c>
      <c r="B79" s="135" t="s">
        <v>219</v>
      </c>
      <c r="C79" s="136" t="s">
        <v>97</v>
      </c>
      <c r="D79" s="40" t="s">
        <v>30</v>
      </c>
      <c r="E79" s="18">
        <v>1</v>
      </c>
      <c r="F79" s="34">
        <f>E79*12</f>
        <v>12</v>
      </c>
      <c r="G79" s="37">
        <v>1194</v>
      </c>
      <c r="H79" s="133">
        <f t="shared" si="10"/>
        <v>14.327999999999999</v>
      </c>
      <c r="I79" s="13">
        <f>G79</f>
        <v>1194</v>
      </c>
    </row>
    <row r="80" spans="1:22" ht="15.75" hidden="1" customHeight="1">
      <c r="A80" s="30"/>
      <c r="B80" s="101" t="s">
        <v>80</v>
      </c>
      <c r="C80" s="16"/>
      <c r="D80" s="14"/>
      <c r="E80" s="19"/>
      <c r="F80" s="19"/>
      <c r="G80" s="19"/>
      <c r="H80" s="19"/>
      <c r="I80" s="87"/>
    </row>
    <row r="81" spans="1:9" ht="15.75" hidden="1" customHeight="1">
      <c r="A81" s="30"/>
      <c r="B81" s="42" t="s">
        <v>127</v>
      </c>
      <c r="C81" s="43" t="s">
        <v>81</v>
      </c>
      <c r="D81" s="57"/>
      <c r="E81" s="60"/>
      <c r="F81" s="38">
        <v>0.3</v>
      </c>
      <c r="G81" s="38">
        <v>3619.09</v>
      </c>
      <c r="H81" s="134">
        <f t="shared" ref="H81" si="11">SUM(F81*G81/1000)</f>
        <v>1.0857270000000001</v>
      </c>
      <c r="I81" s="13">
        <v>0</v>
      </c>
    </row>
    <row r="82" spans="1:9" ht="15.75" hidden="1" customHeight="1">
      <c r="A82" s="30"/>
      <c r="B82" s="74" t="s">
        <v>125</v>
      </c>
      <c r="C82" s="101"/>
      <c r="D82" s="32"/>
      <c r="E82" s="33"/>
      <c r="F82" s="102"/>
      <c r="G82" s="102"/>
      <c r="H82" s="103">
        <f>SUM(H58:H81)</f>
        <v>254.48184212000004</v>
      </c>
      <c r="I82" s="85"/>
    </row>
    <row r="83" spans="1:9" ht="15.75" hidden="1" customHeight="1">
      <c r="A83" s="108"/>
      <c r="B83" s="35" t="s">
        <v>126</v>
      </c>
      <c r="C83" s="153"/>
      <c r="D83" s="154"/>
      <c r="E83" s="155"/>
      <c r="F83" s="39">
        <f>232/10</f>
        <v>23.2</v>
      </c>
      <c r="G83" s="39">
        <v>12361.2</v>
      </c>
      <c r="H83" s="134">
        <f>G83*F83/1000</f>
        <v>286.77984000000004</v>
      </c>
      <c r="I83" s="109">
        <v>0</v>
      </c>
    </row>
    <row r="84" spans="1:9" ht="15.75" customHeight="1">
      <c r="A84" s="186" t="s">
        <v>152</v>
      </c>
      <c r="B84" s="187"/>
      <c r="C84" s="187"/>
      <c r="D84" s="187"/>
      <c r="E84" s="187"/>
      <c r="F84" s="187"/>
      <c r="G84" s="187"/>
      <c r="H84" s="187"/>
      <c r="I84" s="188"/>
    </row>
    <row r="85" spans="1:9" ht="15.75" customHeight="1">
      <c r="A85" s="110">
        <v>26</v>
      </c>
      <c r="B85" s="35" t="s">
        <v>128</v>
      </c>
      <c r="C85" s="41" t="s">
        <v>56</v>
      </c>
      <c r="D85" s="122" t="s">
        <v>57</v>
      </c>
      <c r="E85" s="37">
        <v>3053.4</v>
      </c>
      <c r="F85" s="37">
        <f>SUM(E85*12)</f>
        <v>36640.800000000003</v>
      </c>
      <c r="G85" s="37">
        <v>3.1</v>
      </c>
      <c r="H85" s="134">
        <f>SUM(F85*G85/1000)</f>
        <v>113.58648000000001</v>
      </c>
      <c r="I85" s="115">
        <f>F85/12*G85</f>
        <v>9465.5400000000009</v>
      </c>
    </row>
    <row r="86" spans="1:9" ht="31.5" customHeight="1">
      <c r="A86" s="30">
        <v>27</v>
      </c>
      <c r="B86" s="40" t="s">
        <v>82</v>
      </c>
      <c r="C86" s="41"/>
      <c r="D86" s="122" t="s">
        <v>57</v>
      </c>
      <c r="E86" s="144">
        <v>3053.4</v>
      </c>
      <c r="F86" s="37">
        <f>E86*12</f>
        <v>36640.800000000003</v>
      </c>
      <c r="G86" s="37">
        <v>3.5</v>
      </c>
      <c r="H86" s="134">
        <f>F86*G86/1000</f>
        <v>128.24280000000002</v>
      </c>
      <c r="I86" s="13">
        <f>F86/12*G86</f>
        <v>10686.9</v>
      </c>
    </row>
    <row r="87" spans="1:9" ht="15.75" customHeight="1">
      <c r="A87" s="30"/>
      <c r="B87" s="44" t="s">
        <v>85</v>
      </c>
      <c r="C87" s="101"/>
      <c r="D87" s="99"/>
      <c r="E87" s="102"/>
      <c r="F87" s="102"/>
      <c r="G87" s="102"/>
      <c r="H87" s="103">
        <f>SUM(H86)</f>
        <v>128.24280000000002</v>
      </c>
      <c r="I87" s="102">
        <f>I16+I17+I18+I20+I21+I26+I27+I30+I31+I33+I34+I46+I47+I48+I49+I50+I51+I55+I59+I62+I64+I71+I72+I78+I79+I85+I86</f>
        <v>84329.391049555532</v>
      </c>
    </row>
    <row r="88" spans="1:9" ht="15.75" customHeight="1">
      <c r="A88" s="169" t="s">
        <v>62</v>
      </c>
      <c r="B88" s="170"/>
      <c r="C88" s="170"/>
      <c r="D88" s="170"/>
      <c r="E88" s="170"/>
      <c r="F88" s="170"/>
      <c r="G88" s="170"/>
      <c r="H88" s="170"/>
      <c r="I88" s="171"/>
    </row>
    <row r="89" spans="1:9" ht="31.5" customHeight="1">
      <c r="A89" s="30">
        <v>28</v>
      </c>
      <c r="B89" s="58" t="s">
        <v>95</v>
      </c>
      <c r="C89" s="59" t="s">
        <v>108</v>
      </c>
      <c r="D89" s="138"/>
      <c r="E89" s="37"/>
      <c r="F89" s="37">
        <v>4</v>
      </c>
      <c r="G89" s="37">
        <v>589.84</v>
      </c>
      <c r="H89" s="134">
        <f>F89*G89/1000</f>
        <v>2.3593600000000001</v>
      </c>
      <c r="I89" s="13">
        <f>G89*2</f>
        <v>1179.68</v>
      </c>
    </row>
    <row r="90" spans="1:9" ht="15.75" customHeight="1">
      <c r="A90" s="30">
        <v>29</v>
      </c>
      <c r="B90" s="135" t="s">
        <v>107</v>
      </c>
      <c r="C90" s="136" t="s">
        <v>97</v>
      </c>
      <c r="D90" s="53"/>
      <c r="E90" s="37"/>
      <c r="F90" s="37">
        <v>128</v>
      </c>
      <c r="G90" s="37">
        <v>53.42</v>
      </c>
      <c r="H90" s="134">
        <f t="shared" ref="H90:H91" si="12">F90*G90/1000</f>
        <v>6.8377600000000003</v>
      </c>
      <c r="I90" s="13">
        <f>G90*64</f>
        <v>3418.88</v>
      </c>
    </row>
    <row r="91" spans="1:9" ht="31.5" customHeight="1">
      <c r="A91" s="30">
        <v>30</v>
      </c>
      <c r="B91" s="58" t="s">
        <v>87</v>
      </c>
      <c r="C91" s="59" t="s">
        <v>39</v>
      </c>
      <c r="D91" s="138"/>
      <c r="E91" s="37"/>
      <c r="F91" s="37">
        <v>0.02</v>
      </c>
      <c r="G91" s="37">
        <v>3581.13</v>
      </c>
      <c r="H91" s="134">
        <f t="shared" si="12"/>
        <v>7.1622600000000008E-2</v>
      </c>
      <c r="I91" s="13">
        <f>G91*0.01</f>
        <v>35.811300000000003</v>
      </c>
    </row>
    <row r="92" spans="1:9" ht="31.5" customHeight="1">
      <c r="A92" s="30">
        <v>31</v>
      </c>
      <c r="B92" s="58" t="s">
        <v>146</v>
      </c>
      <c r="C92" s="16" t="s">
        <v>147</v>
      </c>
      <c r="D92" s="138"/>
      <c r="E92" s="37"/>
      <c r="F92" s="13">
        <v>2</v>
      </c>
      <c r="G92" s="37">
        <v>1187</v>
      </c>
      <c r="H92" s="134">
        <f>F92*G92/1000</f>
        <v>2.3740000000000001</v>
      </c>
      <c r="I92" s="13">
        <f>G92</f>
        <v>1187</v>
      </c>
    </row>
    <row r="93" spans="1:9" ht="31.5" customHeight="1">
      <c r="A93" s="30">
        <v>32</v>
      </c>
      <c r="B93" s="135" t="s">
        <v>223</v>
      </c>
      <c r="C93" s="136" t="s">
        <v>100</v>
      </c>
      <c r="D93" s="40"/>
      <c r="E93" s="18"/>
      <c r="F93" s="37">
        <f>(16.7)/10</f>
        <v>1.67</v>
      </c>
      <c r="G93" s="37">
        <v>5945.91</v>
      </c>
      <c r="H93" s="134">
        <f t="shared" ref="H93:H95" si="13">F93*G93/1000</f>
        <v>9.929669699999998</v>
      </c>
      <c r="I93" s="13">
        <f>G93*(9/10)</f>
        <v>5351.3190000000004</v>
      </c>
    </row>
    <row r="94" spans="1:9" ht="31.5" customHeight="1">
      <c r="A94" s="30">
        <v>33</v>
      </c>
      <c r="B94" s="58" t="s">
        <v>227</v>
      </c>
      <c r="C94" s="59" t="s">
        <v>228</v>
      </c>
      <c r="D94" s="138"/>
      <c r="E94" s="37"/>
      <c r="F94" s="37">
        <v>1.5</v>
      </c>
      <c r="G94" s="37">
        <v>1612</v>
      </c>
      <c r="H94" s="134">
        <f t="shared" si="13"/>
        <v>2.4180000000000001</v>
      </c>
      <c r="I94" s="13">
        <f>G94*1.5</f>
        <v>2418</v>
      </c>
    </row>
    <row r="95" spans="1:9" ht="15.75" customHeight="1">
      <c r="A95" s="30">
        <v>34</v>
      </c>
      <c r="B95" s="58" t="s">
        <v>229</v>
      </c>
      <c r="C95" s="59" t="s">
        <v>230</v>
      </c>
      <c r="D95" s="138"/>
      <c r="E95" s="37"/>
      <c r="F95" s="37">
        <v>1</v>
      </c>
      <c r="G95" s="37">
        <v>206.54</v>
      </c>
      <c r="H95" s="134">
        <f t="shared" si="13"/>
        <v>0.20654</v>
      </c>
      <c r="I95" s="13">
        <f>G95</f>
        <v>206.54</v>
      </c>
    </row>
    <row r="96" spans="1:9" ht="15.75" customHeight="1">
      <c r="A96" s="30"/>
      <c r="B96" s="51" t="s">
        <v>53</v>
      </c>
      <c r="C96" s="47"/>
      <c r="D96" s="55"/>
      <c r="E96" s="47">
        <v>1</v>
      </c>
      <c r="F96" s="47"/>
      <c r="G96" s="47"/>
      <c r="H96" s="47"/>
      <c r="I96" s="33">
        <f>SUM(I89:I95)</f>
        <v>13797.230300000003</v>
      </c>
    </row>
    <row r="97" spans="1:9" ht="15.75" customHeight="1">
      <c r="A97" s="30"/>
      <c r="B97" s="53" t="s">
        <v>83</v>
      </c>
      <c r="C97" s="15"/>
      <c r="D97" s="15"/>
      <c r="E97" s="48"/>
      <c r="F97" s="48"/>
      <c r="G97" s="49"/>
      <c r="H97" s="49"/>
      <c r="I97" s="18">
        <v>0</v>
      </c>
    </row>
    <row r="98" spans="1:9" ht="15.75" customHeight="1">
      <c r="A98" s="56"/>
      <c r="B98" s="52" t="s">
        <v>170</v>
      </c>
      <c r="C98" s="36"/>
      <c r="D98" s="36"/>
      <c r="E98" s="36"/>
      <c r="F98" s="36"/>
      <c r="G98" s="36"/>
      <c r="H98" s="36"/>
      <c r="I98" s="50">
        <f>I87+I96</f>
        <v>98126.621349555528</v>
      </c>
    </row>
    <row r="99" spans="1:9" ht="15.75">
      <c r="A99" s="184" t="s">
        <v>231</v>
      </c>
      <c r="B99" s="184"/>
      <c r="C99" s="184"/>
      <c r="D99" s="184"/>
      <c r="E99" s="184"/>
      <c r="F99" s="184"/>
      <c r="G99" s="184"/>
      <c r="H99" s="184"/>
      <c r="I99" s="184"/>
    </row>
    <row r="100" spans="1:9" ht="15.75">
      <c r="A100" s="70"/>
      <c r="B100" s="193" t="s">
        <v>232</v>
      </c>
      <c r="C100" s="193"/>
      <c r="D100" s="193"/>
      <c r="E100" s="193"/>
      <c r="F100" s="193"/>
      <c r="G100" s="193"/>
      <c r="H100" s="78"/>
      <c r="I100" s="3"/>
    </row>
    <row r="101" spans="1:9">
      <c r="A101" s="68"/>
      <c r="B101" s="190" t="s">
        <v>6</v>
      </c>
      <c r="C101" s="190"/>
      <c r="D101" s="190"/>
      <c r="E101" s="190"/>
      <c r="F101" s="190"/>
      <c r="G101" s="190"/>
      <c r="H101" s="25"/>
      <c r="I101" s="5"/>
    </row>
    <row r="102" spans="1:9" ht="15.75" customHeight="1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ht="15.75" customHeight="1">
      <c r="A103" s="194" t="s">
        <v>7</v>
      </c>
      <c r="B103" s="194"/>
      <c r="C103" s="194"/>
      <c r="D103" s="194"/>
      <c r="E103" s="194"/>
      <c r="F103" s="194"/>
      <c r="G103" s="194"/>
      <c r="H103" s="194"/>
      <c r="I103" s="194"/>
    </row>
    <row r="104" spans="1:9" ht="15.75" customHeight="1">
      <c r="A104" s="194" t="s">
        <v>8</v>
      </c>
      <c r="B104" s="194"/>
      <c r="C104" s="194"/>
      <c r="D104" s="194"/>
      <c r="E104" s="194"/>
      <c r="F104" s="194"/>
      <c r="G104" s="194"/>
      <c r="H104" s="194"/>
      <c r="I104" s="194"/>
    </row>
    <row r="105" spans="1:9" ht="15.75" customHeight="1">
      <c r="A105" s="177" t="s">
        <v>63</v>
      </c>
      <c r="B105" s="177"/>
      <c r="C105" s="177"/>
      <c r="D105" s="177"/>
      <c r="E105" s="177"/>
      <c r="F105" s="177"/>
      <c r="G105" s="177"/>
      <c r="H105" s="177"/>
      <c r="I105" s="177"/>
    </row>
    <row r="106" spans="1:9" ht="15.75" customHeight="1">
      <c r="A106" s="11"/>
    </row>
    <row r="107" spans="1:9" ht="15.75" customHeight="1">
      <c r="A107" s="178" t="s">
        <v>9</v>
      </c>
      <c r="B107" s="178"/>
      <c r="C107" s="178"/>
      <c r="D107" s="178"/>
      <c r="E107" s="178"/>
      <c r="F107" s="178"/>
      <c r="G107" s="178"/>
      <c r="H107" s="178"/>
      <c r="I107" s="178"/>
    </row>
    <row r="108" spans="1:9" ht="15.75" customHeight="1">
      <c r="A108" s="4"/>
    </row>
    <row r="109" spans="1:9" ht="15.75" customHeight="1">
      <c r="B109" s="69" t="s">
        <v>10</v>
      </c>
      <c r="C109" s="189" t="s">
        <v>96</v>
      </c>
      <c r="D109" s="189"/>
      <c r="E109" s="189"/>
      <c r="F109" s="76"/>
      <c r="I109" s="72"/>
    </row>
    <row r="110" spans="1:9" ht="15.75" customHeight="1">
      <c r="A110" s="68"/>
      <c r="C110" s="190" t="s">
        <v>11</v>
      </c>
      <c r="D110" s="190"/>
      <c r="E110" s="190"/>
      <c r="F110" s="25"/>
      <c r="I110" s="71" t="s">
        <v>12</v>
      </c>
    </row>
    <row r="111" spans="1:9" ht="15.75" customHeight="1">
      <c r="A111" s="26"/>
      <c r="C111" s="12"/>
      <c r="D111" s="12"/>
      <c r="G111" s="12"/>
      <c r="H111" s="12"/>
    </row>
    <row r="112" spans="1:9" ht="15.75" customHeight="1">
      <c r="B112" s="69" t="s">
        <v>13</v>
      </c>
      <c r="C112" s="191"/>
      <c r="D112" s="191"/>
      <c r="E112" s="191"/>
      <c r="F112" s="77"/>
      <c r="I112" s="72"/>
    </row>
    <row r="113" spans="1:9" ht="15.75" customHeight="1">
      <c r="A113" s="68"/>
      <c r="C113" s="183" t="s">
        <v>11</v>
      </c>
      <c r="D113" s="183"/>
      <c r="E113" s="183"/>
      <c r="F113" s="68"/>
      <c r="I113" s="71" t="s">
        <v>12</v>
      </c>
    </row>
    <row r="114" spans="1:9" ht="15.75" customHeight="1">
      <c r="A114" s="4" t="s">
        <v>14</v>
      </c>
    </row>
    <row r="115" spans="1:9">
      <c r="A115" s="192" t="s">
        <v>15</v>
      </c>
      <c r="B115" s="192"/>
      <c r="C115" s="192"/>
      <c r="D115" s="192"/>
      <c r="E115" s="192"/>
      <c r="F115" s="192"/>
      <c r="G115" s="192"/>
      <c r="H115" s="192"/>
      <c r="I115" s="192"/>
    </row>
    <row r="116" spans="1:9" ht="45" customHeight="1">
      <c r="A116" s="185" t="s">
        <v>16</v>
      </c>
      <c r="B116" s="185"/>
      <c r="C116" s="185"/>
      <c r="D116" s="185"/>
      <c r="E116" s="185"/>
      <c r="F116" s="185"/>
      <c r="G116" s="185"/>
      <c r="H116" s="185"/>
      <c r="I116" s="185"/>
    </row>
    <row r="117" spans="1:9" ht="30" customHeight="1">
      <c r="A117" s="185" t="s">
        <v>17</v>
      </c>
      <c r="B117" s="185"/>
      <c r="C117" s="185"/>
      <c r="D117" s="185"/>
      <c r="E117" s="185"/>
      <c r="F117" s="185"/>
      <c r="G117" s="185"/>
      <c r="H117" s="185"/>
      <c r="I117" s="185"/>
    </row>
    <row r="118" spans="1:9" ht="30" customHeight="1">
      <c r="A118" s="185" t="s">
        <v>21</v>
      </c>
      <c r="B118" s="185"/>
      <c r="C118" s="185"/>
      <c r="D118" s="185"/>
      <c r="E118" s="185"/>
      <c r="F118" s="185"/>
      <c r="G118" s="185"/>
      <c r="H118" s="185"/>
      <c r="I118" s="185"/>
    </row>
    <row r="119" spans="1:9" ht="15" customHeight="1">
      <c r="A119" s="185" t="s">
        <v>20</v>
      </c>
      <c r="B119" s="185"/>
      <c r="C119" s="185"/>
      <c r="D119" s="185"/>
      <c r="E119" s="185"/>
      <c r="F119" s="185"/>
      <c r="G119" s="185"/>
      <c r="H119" s="185"/>
      <c r="I119" s="185"/>
    </row>
  </sheetData>
  <autoFilter ref="I12:I66"/>
  <mergeCells count="29">
    <mergeCell ref="A14:I14"/>
    <mergeCell ref="A15:I15"/>
    <mergeCell ref="A28:I28"/>
    <mergeCell ref="A45:I45"/>
    <mergeCell ref="A56:I56"/>
    <mergeCell ref="A3:I3"/>
    <mergeCell ref="A4:I4"/>
    <mergeCell ref="A5:I5"/>
    <mergeCell ref="A8:I8"/>
    <mergeCell ref="A10:I10"/>
    <mergeCell ref="R71:U71"/>
    <mergeCell ref="C113:E113"/>
    <mergeCell ref="A88:I88"/>
    <mergeCell ref="A99:I99"/>
    <mergeCell ref="B100:G100"/>
    <mergeCell ref="B101:G101"/>
    <mergeCell ref="A103:I103"/>
    <mergeCell ref="A104:I104"/>
    <mergeCell ref="A105:I105"/>
    <mergeCell ref="A107:I107"/>
    <mergeCell ref="C109:E109"/>
    <mergeCell ref="C110:E110"/>
    <mergeCell ref="C112:E112"/>
    <mergeCell ref="A84:I84"/>
    <mergeCell ref="A115:I115"/>
    <mergeCell ref="A116:I116"/>
    <mergeCell ref="A117:I117"/>
    <mergeCell ref="A118:I118"/>
    <mergeCell ref="A119:I119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13</vt:i4>
      </vt:variant>
    </vt:vector>
  </HeadingPairs>
  <TitlesOfParts>
    <vt:vector size="25" baseType="lpstr">
      <vt:lpstr>01.17</vt:lpstr>
      <vt:lpstr>02.17</vt:lpstr>
      <vt:lpstr>03.17</vt:lpstr>
      <vt:lpstr>04.17</vt:lpstr>
      <vt:lpstr>05.17</vt:lpstr>
      <vt:lpstr>06.17</vt:lpstr>
      <vt:lpstr>07.17</vt:lpstr>
      <vt:lpstr>08.17</vt:lpstr>
      <vt:lpstr>09.17</vt:lpstr>
      <vt:lpstr>10.17</vt:lpstr>
      <vt:lpstr>11.17</vt:lpstr>
      <vt:lpstr>12.17</vt:lpstr>
      <vt:lpstr>'05.17'!Заголовки_для_печати</vt:lpstr>
      <vt:lpstr>'01.17'!Область_печати</vt:lpstr>
      <vt:lpstr>'02.17'!Область_печати</vt:lpstr>
      <vt:lpstr>'03.17'!Область_печати</vt:lpstr>
      <vt:lpstr>'04.17'!Область_печати</vt:lpstr>
      <vt:lpstr>'05.17'!Область_печати</vt:lpstr>
      <vt:lpstr>'06.17'!Область_печати</vt:lpstr>
      <vt:lpstr>'07.17'!Область_печати</vt:lpstr>
      <vt:lpstr>'08.17'!Область_печати</vt:lpstr>
      <vt:lpstr>'09.17'!Область_печати</vt:lpstr>
      <vt:lpstr>'10.17'!Область_печати</vt:lpstr>
      <vt:lpstr>'11.17'!Область_печати</vt:lpstr>
      <vt:lpstr>'12.17'!Область_печати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2017-12-07T10:37:53Z</cp:lastPrinted>
  <dcterms:created xsi:type="dcterms:W3CDTF">2016-03-25T08:33:47Z</dcterms:created>
  <dcterms:modified xsi:type="dcterms:W3CDTF">2018-03-29T10:28:33Z</dcterms:modified>
</cp:coreProperties>
</file>