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540" windowWidth="15480" windowHeight="11280" activeTab="8"/>
  </bookViews>
  <sheets>
    <sheet name="01.19" sheetId="8" r:id="rId1"/>
    <sheet name="02.19" sheetId="9" r:id="rId2"/>
    <sheet name="03.19" sheetId="10" r:id="rId3"/>
    <sheet name="04.19" sheetId="11" r:id="rId4"/>
    <sheet name="05.19" sheetId="12" r:id="rId5"/>
    <sheet name="06.19" sheetId="13" r:id="rId6"/>
    <sheet name="07.19" sheetId="14" r:id="rId7"/>
    <sheet name="08.19" sheetId="15" r:id="rId8"/>
    <sheet name="09.19" sheetId="16" r:id="rId9"/>
    <sheet name="10.19" sheetId="17" r:id="rId10"/>
    <sheet name="11.19" sheetId="18" r:id="rId11"/>
    <sheet name="12.19" sheetId="19" r:id="rId12"/>
  </sheets>
  <definedNames>
    <definedName name="_xlnm._FilterDatabase" localSheetId="0" hidden="1">'01.19'!$I$12:$I$66</definedName>
    <definedName name="_xlnm._FilterDatabase" localSheetId="1" hidden="1">'02.19'!$I$12:$I$65</definedName>
    <definedName name="_xlnm._FilterDatabase" localSheetId="2" hidden="1">'03.19'!$I$12:$I$64</definedName>
    <definedName name="_xlnm._FilterDatabase" localSheetId="3" hidden="1">'04.19'!$I$12:$I$58</definedName>
    <definedName name="_xlnm._FilterDatabase" localSheetId="4" hidden="1">'05.19'!$I$12:$I$64</definedName>
    <definedName name="_xlnm._FilterDatabase" localSheetId="5" hidden="1">'06.19'!$I$12:$I$63</definedName>
    <definedName name="_xlnm._FilterDatabase" localSheetId="6" hidden="1">'07.19'!$I$12:$I$65</definedName>
    <definedName name="_xlnm._FilterDatabase" localSheetId="7" hidden="1">'08.19'!$I$12:$I$64</definedName>
    <definedName name="_xlnm._FilterDatabase" localSheetId="8" hidden="1">'09.19'!$I$12:$I$64</definedName>
    <definedName name="_xlnm._FilterDatabase" localSheetId="9" hidden="1">'10.19'!$I$12:$I$65</definedName>
    <definedName name="_xlnm._FilterDatabase" localSheetId="10" hidden="1">'11.19'!$I$12:$I$65</definedName>
    <definedName name="_xlnm._FilterDatabase" localSheetId="11" hidden="1">'12.19'!$I$12:$I$66</definedName>
    <definedName name="_xlnm.Print_Area" localSheetId="0">'01.19'!$A$1:$I$124</definedName>
    <definedName name="_xlnm.Print_Area" localSheetId="1">'02.19'!$A$1:$I$120</definedName>
    <definedName name="_xlnm.Print_Area" localSheetId="2">'03.19'!$A$1:$I$115</definedName>
    <definedName name="_xlnm.Print_Area" localSheetId="3">'04.19'!$A$1:$I$121</definedName>
    <definedName name="_xlnm.Print_Area" localSheetId="4">'05.19'!$A$1:$I$119</definedName>
    <definedName name="_xlnm.Print_Area" localSheetId="5">'06.19'!$A$1:$I$116</definedName>
    <definedName name="_xlnm.Print_Area" localSheetId="6">'07.19'!$A$1:$I$130</definedName>
    <definedName name="_xlnm.Print_Area" localSheetId="7">'08.19'!$A$1:$I$143</definedName>
    <definedName name="_xlnm.Print_Area" localSheetId="8">'09.19'!$A$1:$I$127</definedName>
    <definedName name="_xlnm.Print_Area" localSheetId="9">'10.19'!$A$1:$I$130</definedName>
    <definedName name="_xlnm.Print_Area" localSheetId="10">'11.19'!$A$1:$I$119</definedName>
    <definedName name="_xlnm.Print_Area" localSheetId="11">'12.19'!$A$1:$I$131</definedName>
  </definedNames>
  <calcPr calcId="124519"/>
</workbook>
</file>

<file path=xl/calcChain.xml><?xml version="1.0" encoding="utf-8"?>
<calcChain xmlns="http://schemas.openxmlformats.org/spreadsheetml/2006/main">
  <c r="I103" i="16"/>
  <c r="I104" l="1"/>
  <c r="I95" i="19"/>
  <c r="I58" l="1"/>
  <c r="I65"/>
  <c r="I90"/>
  <c r="I88" i="18"/>
  <c r="I90" i="17"/>
  <c r="I60" i="19"/>
  <c r="I107"/>
  <c r="I106"/>
  <c r="I105"/>
  <c r="I104"/>
  <c r="I103"/>
  <c r="I102"/>
  <c r="I101"/>
  <c r="I100"/>
  <c r="I99"/>
  <c r="I98"/>
  <c r="I97"/>
  <c r="I96"/>
  <c r="I94"/>
  <c r="I93"/>
  <c r="I92"/>
  <c r="I108" s="1"/>
  <c r="I78"/>
  <c r="F78"/>
  <c r="I79"/>
  <c r="I44"/>
  <c r="I38"/>
  <c r="F27"/>
  <c r="H27" s="1"/>
  <c r="F26"/>
  <c r="I26" s="1"/>
  <c r="I25"/>
  <c r="H25"/>
  <c r="F24"/>
  <c r="H24" s="1"/>
  <c r="F23"/>
  <c r="I23" s="1"/>
  <c r="F22"/>
  <c r="H22" s="1"/>
  <c r="F21"/>
  <c r="I21" s="1"/>
  <c r="F20"/>
  <c r="H20" s="1"/>
  <c r="F19"/>
  <c r="I19" s="1"/>
  <c r="E18"/>
  <c r="F18" s="1"/>
  <c r="H18" s="1"/>
  <c r="F17"/>
  <c r="H17" s="1"/>
  <c r="F16"/>
  <c r="I16" s="1"/>
  <c r="I95" i="18"/>
  <c r="I94"/>
  <c r="I93"/>
  <c r="I92"/>
  <c r="I96" s="1"/>
  <c r="I91"/>
  <c r="I90"/>
  <c r="I82"/>
  <c r="F82"/>
  <c r="F73"/>
  <c r="I73" s="1"/>
  <c r="F87"/>
  <c r="H87" s="1"/>
  <c r="F86"/>
  <c r="I86" s="1"/>
  <c r="I64"/>
  <c r="F64"/>
  <c r="F58"/>
  <c r="I44"/>
  <c r="I43"/>
  <c r="I38"/>
  <c r="F42"/>
  <c r="I42" s="1"/>
  <c r="F41"/>
  <c r="I41" s="1"/>
  <c r="F40"/>
  <c r="F39"/>
  <c r="F27"/>
  <c r="H27" s="1"/>
  <c r="F26"/>
  <c r="I26" s="1"/>
  <c r="I25"/>
  <c r="H25"/>
  <c r="F24"/>
  <c r="H24" s="1"/>
  <c r="F23"/>
  <c r="I23" s="1"/>
  <c r="F22"/>
  <c r="H22" s="1"/>
  <c r="F21"/>
  <c r="I21" s="1"/>
  <c r="F20"/>
  <c r="H20" s="1"/>
  <c r="F19"/>
  <c r="I19" s="1"/>
  <c r="E18"/>
  <c r="F18" s="1"/>
  <c r="H18" s="1"/>
  <c r="F17"/>
  <c r="H17" s="1"/>
  <c r="F16"/>
  <c r="I16" s="1"/>
  <c r="H19" i="19" l="1"/>
  <c r="H23"/>
  <c r="H16"/>
  <c r="H21"/>
  <c r="H26"/>
  <c r="I17"/>
  <c r="I18"/>
  <c r="I20"/>
  <c r="I22"/>
  <c r="I24"/>
  <c r="I27"/>
  <c r="H86" i="18"/>
  <c r="I87"/>
  <c r="H19"/>
  <c r="H23"/>
  <c r="H16"/>
  <c r="H21"/>
  <c r="H26"/>
  <c r="I17"/>
  <c r="I18"/>
  <c r="I20"/>
  <c r="I22"/>
  <c r="I24"/>
  <c r="I27"/>
  <c r="I44" i="17" l="1"/>
  <c r="I106"/>
  <c r="I64" l="1"/>
  <c r="I105"/>
  <c r="I104"/>
  <c r="I103"/>
  <c r="I102"/>
  <c r="I101"/>
  <c r="I100"/>
  <c r="I107" s="1"/>
  <c r="I99"/>
  <c r="I98"/>
  <c r="I97"/>
  <c r="I96"/>
  <c r="I95"/>
  <c r="I33"/>
  <c r="I94"/>
  <c r="I93"/>
  <c r="I92"/>
  <c r="I77"/>
  <c r="F77"/>
  <c r="F89"/>
  <c r="H89" s="1"/>
  <c r="F88"/>
  <c r="I88" s="1"/>
  <c r="I82"/>
  <c r="F82"/>
  <c r="F75"/>
  <c r="I75" s="1"/>
  <c r="F64"/>
  <c r="F31"/>
  <c r="H31" s="1"/>
  <c r="F30"/>
  <c r="I30" s="1"/>
  <c r="F27"/>
  <c r="H27" s="1"/>
  <c r="F26"/>
  <c r="I26" s="1"/>
  <c r="I25"/>
  <c r="H25"/>
  <c r="F24"/>
  <c r="I24" s="1"/>
  <c r="F23"/>
  <c r="I23" s="1"/>
  <c r="F22"/>
  <c r="I22" s="1"/>
  <c r="F21"/>
  <c r="I21" s="1"/>
  <c r="F20"/>
  <c r="I20" s="1"/>
  <c r="F19"/>
  <c r="I19" s="1"/>
  <c r="E18"/>
  <c r="F18" s="1"/>
  <c r="F17"/>
  <c r="I17" s="1"/>
  <c r="F16"/>
  <c r="I16" s="1"/>
  <c r="I102" i="16"/>
  <c r="I101"/>
  <c r="H22" i="17" l="1"/>
  <c r="H88"/>
  <c r="I89"/>
  <c r="H17"/>
  <c r="H20"/>
  <c r="H24"/>
  <c r="H30"/>
  <c r="I31"/>
  <c r="I18"/>
  <c r="H18"/>
  <c r="H16"/>
  <c r="H19"/>
  <c r="H21"/>
  <c r="H23"/>
  <c r="H26"/>
  <c r="I27"/>
  <c r="I87" i="16"/>
  <c r="F53"/>
  <c r="I100"/>
  <c r="I92"/>
  <c r="I91"/>
  <c r="I90"/>
  <c r="I89"/>
  <c r="F86"/>
  <c r="H86" s="1"/>
  <c r="H85"/>
  <c r="F85"/>
  <c r="I85" s="1"/>
  <c r="F81"/>
  <c r="I81" s="1"/>
  <c r="I79"/>
  <c r="F79"/>
  <c r="F70"/>
  <c r="I63"/>
  <c r="F63"/>
  <c r="F51"/>
  <c r="F50"/>
  <c r="F49"/>
  <c r="F48"/>
  <c r="F47"/>
  <c r="F46"/>
  <c r="F45"/>
  <c r="F31"/>
  <c r="H31" s="1"/>
  <c r="F30"/>
  <c r="I30" s="1"/>
  <c r="F27"/>
  <c r="H27" s="1"/>
  <c r="F26"/>
  <c r="I26" s="1"/>
  <c r="I25"/>
  <c r="H25"/>
  <c r="F24"/>
  <c r="I24" s="1"/>
  <c r="F23"/>
  <c r="I23" s="1"/>
  <c r="F22"/>
  <c r="H22" s="1"/>
  <c r="F21"/>
  <c r="I21" s="1"/>
  <c r="F20"/>
  <c r="H20" s="1"/>
  <c r="F19"/>
  <c r="I19" s="1"/>
  <c r="E18"/>
  <c r="F18" s="1"/>
  <c r="F17"/>
  <c r="I17" s="1"/>
  <c r="F16"/>
  <c r="I16" s="1"/>
  <c r="I113" i="15"/>
  <c r="I120" s="1"/>
  <c r="I87"/>
  <c r="I119"/>
  <c r="I118"/>
  <c r="I117"/>
  <c r="I116"/>
  <c r="I115"/>
  <c r="I114"/>
  <c r="I112"/>
  <c r="I111"/>
  <c r="I92"/>
  <c r="I91"/>
  <c r="I90"/>
  <c r="I89"/>
  <c r="F81"/>
  <c r="I81" s="1"/>
  <c r="F86"/>
  <c r="H86" s="1"/>
  <c r="F85"/>
  <c r="I85" s="1"/>
  <c r="F74"/>
  <c r="I74" s="1"/>
  <c r="I63"/>
  <c r="F63"/>
  <c r="F31"/>
  <c r="H31" s="1"/>
  <c r="F30"/>
  <c r="I30" s="1"/>
  <c r="F27"/>
  <c r="H27" s="1"/>
  <c r="F26"/>
  <c r="I26" s="1"/>
  <c r="I25"/>
  <c r="H25"/>
  <c r="F24"/>
  <c r="H24" s="1"/>
  <c r="F23"/>
  <c r="I23" s="1"/>
  <c r="F22"/>
  <c r="H22" s="1"/>
  <c r="F21"/>
  <c r="I21" s="1"/>
  <c r="F20"/>
  <c r="H20" s="1"/>
  <c r="F19"/>
  <c r="I19" s="1"/>
  <c r="E18"/>
  <c r="F18" s="1"/>
  <c r="F17"/>
  <c r="H17" s="1"/>
  <c r="F16"/>
  <c r="I16" s="1"/>
  <c r="I88" i="14"/>
  <c r="I106"/>
  <c r="I105"/>
  <c r="I104"/>
  <c r="I59"/>
  <c r="I103"/>
  <c r="I87" i="13"/>
  <c r="I102" i="14"/>
  <c r="I101"/>
  <c r="I100"/>
  <c r="I99"/>
  <c r="I98"/>
  <c r="I64"/>
  <c r="H64"/>
  <c r="I107" l="1"/>
  <c r="I86" i="16"/>
  <c r="H17"/>
  <c r="H24"/>
  <c r="H30"/>
  <c r="I31"/>
  <c r="H18"/>
  <c r="I18"/>
  <c r="H16"/>
  <c r="H19"/>
  <c r="I20"/>
  <c r="H21"/>
  <c r="I22"/>
  <c r="H23"/>
  <c r="H26"/>
  <c r="I27"/>
  <c r="H85" i="15"/>
  <c r="I86"/>
  <c r="H30"/>
  <c r="I31"/>
  <c r="H18"/>
  <c r="I18"/>
  <c r="H16"/>
  <c r="I17"/>
  <c r="H19"/>
  <c r="I20"/>
  <c r="H21"/>
  <c r="I22"/>
  <c r="H23"/>
  <c r="I24"/>
  <c r="H26"/>
  <c r="I27"/>
  <c r="I34" i="13"/>
  <c r="F70" i="14" l="1"/>
  <c r="F69"/>
  <c r="F68"/>
  <c r="F67"/>
  <c r="F66"/>
  <c r="I90"/>
  <c r="F87"/>
  <c r="I87" s="1"/>
  <c r="F86"/>
  <c r="I86" s="1"/>
  <c r="F82"/>
  <c r="I82" s="1"/>
  <c r="I77"/>
  <c r="F77"/>
  <c r="F73"/>
  <c r="I73" s="1"/>
  <c r="F31"/>
  <c r="H31" s="1"/>
  <c r="F30"/>
  <c r="I30" s="1"/>
  <c r="F27"/>
  <c r="H27" s="1"/>
  <c r="F26"/>
  <c r="I26" s="1"/>
  <c r="I25"/>
  <c r="H25"/>
  <c r="F24"/>
  <c r="H24" s="1"/>
  <c r="F23"/>
  <c r="I23" s="1"/>
  <c r="F22"/>
  <c r="H22" s="1"/>
  <c r="F21"/>
  <c r="I21" s="1"/>
  <c r="F20"/>
  <c r="H20" s="1"/>
  <c r="F19"/>
  <c r="I19" s="1"/>
  <c r="E18"/>
  <c r="F18" s="1"/>
  <c r="H18" s="1"/>
  <c r="F17"/>
  <c r="H17" s="1"/>
  <c r="F16"/>
  <c r="I16" s="1"/>
  <c r="F21" i="13"/>
  <c r="H21" s="1"/>
  <c r="F20"/>
  <c r="I20" s="1"/>
  <c r="I21" i="12"/>
  <c r="I20"/>
  <c r="F27" i="13"/>
  <c r="H27" s="1"/>
  <c r="I89" i="12"/>
  <c r="I87"/>
  <c r="F27"/>
  <c r="H27" s="1"/>
  <c r="F27" i="11"/>
  <c r="H27" s="1"/>
  <c r="F27" i="10"/>
  <c r="H27" s="1"/>
  <c r="F27" i="9"/>
  <c r="H27" s="1"/>
  <c r="F27" i="8"/>
  <c r="H87" i="14" l="1"/>
  <c r="H86"/>
  <c r="H21"/>
  <c r="H30"/>
  <c r="I31"/>
  <c r="H19"/>
  <c r="H16"/>
  <c r="I17"/>
  <c r="I18"/>
  <c r="I20"/>
  <c r="I22"/>
  <c r="H23"/>
  <c r="I24"/>
  <c r="H26"/>
  <c r="I27"/>
  <c r="H20" i="13"/>
  <c r="I21"/>
  <c r="I27"/>
  <c r="I27" i="12"/>
  <c r="I27" i="11"/>
  <c r="I27" i="10"/>
  <c r="I27" i="9"/>
  <c r="I91" i="13" l="1"/>
  <c r="I92"/>
  <c r="I90"/>
  <c r="I89"/>
  <c r="I93" s="1"/>
  <c r="I75"/>
  <c r="F86"/>
  <c r="F85"/>
  <c r="F81"/>
  <c r="I81" s="1"/>
  <c r="I76"/>
  <c r="F76"/>
  <c r="F75"/>
  <c r="F71"/>
  <c r="I71" s="1"/>
  <c r="F61"/>
  <c r="F32"/>
  <c r="F31"/>
  <c r="F30"/>
  <c r="E18"/>
  <c r="F18" s="1"/>
  <c r="F17"/>
  <c r="F16"/>
  <c r="I95" i="12" l="1"/>
  <c r="I94"/>
  <c r="I93" l="1"/>
  <c r="I92"/>
  <c r="I91"/>
  <c r="I90"/>
  <c r="F86"/>
  <c r="H86" s="1"/>
  <c r="F85"/>
  <c r="I85" s="1"/>
  <c r="I81"/>
  <c r="F81"/>
  <c r="F72"/>
  <c r="I72" s="1"/>
  <c r="F69"/>
  <c r="F68"/>
  <c r="F67"/>
  <c r="F66"/>
  <c r="F65"/>
  <c r="F53"/>
  <c r="F51"/>
  <c r="F50"/>
  <c r="F49"/>
  <c r="F48"/>
  <c r="F47"/>
  <c r="F46"/>
  <c r="F45"/>
  <c r="F32"/>
  <c r="F31"/>
  <c r="F30"/>
  <c r="F26"/>
  <c r="F24"/>
  <c r="F23"/>
  <c r="F22"/>
  <c r="F21"/>
  <c r="F20"/>
  <c r="F19"/>
  <c r="E18"/>
  <c r="F18" s="1"/>
  <c r="F17"/>
  <c r="F16"/>
  <c r="I96" l="1"/>
  <c r="H85"/>
  <c r="I86"/>
  <c r="I97" i="11" l="1"/>
  <c r="I96"/>
  <c r="I95"/>
  <c r="I94"/>
  <c r="I93"/>
  <c r="I92"/>
  <c r="I91"/>
  <c r="I90"/>
  <c r="I89"/>
  <c r="I88"/>
  <c r="I87"/>
  <c r="I86"/>
  <c r="I85"/>
  <c r="F82"/>
  <c r="H82" s="1"/>
  <c r="F81"/>
  <c r="I81" s="1"/>
  <c r="I79"/>
  <c r="F79"/>
  <c r="F66"/>
  <c r="I66" s="1"/>
  <c r="I52"/>
  <c r="I37"/>
  <c r="F53"/>
  <c r="H53" s="1"/>
  <c r="F52"/>
  <c r="I44"/>
  <c r="H44"/>
  <c r="F42"/>
  <c r="I42" s="1"/>
  <c r="F41"/>
  <c r="F39"/>
  <c r="F38"/>
  <c r="F26"/>
  <c r="H26" s="1"/>
  <c r="H25"/>
  <c r="F24"/>
  <c r="H24" s="1"/>
  <c r="F23"/>
  <c r="H23" s="1"/>
  <c r="F22"/>
  <c r="H22" s="1"/>
  <c r="F21"/>
  <c r="H21" s="1"/>
  <c r="F20"/>
  <c r="I20" s="1"/>
  <c r="F19"/>
  <c r="H19" s="1"/>
  <c r="E18"/>
  <c r="F18" s="1"/>
  <c r="F17"/>
  <c r="I17" s="1"/>
  <c r="F16"/>
  <c r="I16" s="1"/>
  <c r="I91" i="10"/>
  <c r="I90"/>
  <c r="I89"/>
  <c r="I88"/>
  <c r="I87"/>
  <c r="I86"/>
  <c r="I92" s="1"/>
  <c r="F83"/>
  <c r="H83" s="1"/>
  <c r="F82"/>
  <c r="I82" s="1"/>
  <c r="F71"/>
  <c r="I71" s="1"/>
  <c r="I78"/>
  <c r="F78"/>
  <c r="I75"/>
  <c r="F75"/>
  <c r="I57"/>
  <c r="F58"/>
  <c r="F57"/>
  <c r="I54"/>
  <c r="H54"/>
  <c r="F42"/>
  <c r="F41"/>
  <c r="F39"/>
  <c r="F38"/>
  <c r="I37"/>
  <c r="F26"/>
  <c r="F24"/>
  <c r="F23"/>
  <c r="F22"/>
  <c r="F21"/>
  <c r="I21" s="1"/>
  <c r="F20"/>
  <c r="I20" s="1"/>
  <c r="F19"/>
  <c r="E18"/>
  <c r="F18" s="1"/>
  <c r="F17"/>
  <c r="F16"/>
  <c r="H17" i="11" l="1"/>
  <c r="H81"/>
  <c r="I82"/>
  <c r="I53"/>
  <c r="H18"/>
  <c r="I18"/>
  <c r="H16"/>
  <c r="H20"/>
  <c r="I21"/>
  <c r="H82" i="10"/>
  <c r="I83"/>
  <c r="I41" i="9" l="1"/>
  <c r="I40"/>
  <c r="I88"/>
  <c r="I95"/>
  <c r="I94"/>
  <c r="I93"/>
  <c r="I92"/>
  <c r="I91"/>
  <c r="I90"/>
  <c r="I43"/>
  <c r="F41"/>
  <c r="F40"/>
  <c r="F39"/>
  <c r="H39" s="1"/>
  <c r="F38"/>
  <c r="I37"/>
  <c r="H94"/>
  <c r="H93"/>
  <c r="H92"/>
  <c r="H91"/>
  <c r="H90"/>
  <c r="F87"/>
  <c r="H87" s="1"/>
  <c r="F86"/>
  <c r="I86" s="1"/>
  <c r="H84"/>
  <c r="I82"/>
  <c r="F82"/>
  <c r="F81"/>
  <c r="H81" s="1"/>
  <c r="I80"/>
  <c r="H80"/>
  <c r="H79"/>
  <c r="H78"/>
  <c r="H77"/>
  <c r="H75"/>
  <c r="F73"/>
  <c r="I73" s="1"/>
  <c r="H71"/>
  <c r="F70"/>
  <c r="H70" s="1"/>
  <c r="F69"/>
  <c r="H69" s="1"/>
  <c r="F68"/>
  <c r="H68" s="1"/>
  <c r="F67"/>
  <c r="H67" s="1"/>
  <c r="F66"/>
  <c r="H66" s="1"/>
  <c r="H65"/>
  <c r="I64"/>
  <c r="F64"/>
  <c r="H64" s="1"/>
  <c r="F62"/>
  <c r="H62" s="1"/>
  <c r="H61"/>
  <c r="H59"/>
  <c r="F58"/>
  <c r="I58" s="1"/>
  <c r="F57"/>
  <c r="H57" s="1"/>
  <c r="I54"/>
  <c r="F54"/>
  <c r="H54" s="1"/>
  <c r="H53"/>
  <c r="F52"/>
  <c r="H52" s="1"/>
  <c r="F51"/>
  <c r="H51" s="1"/>
  <c r="F50"/>
  <c r="I50" s="1"/>
  <c r="F49"/>
  <c r="H49" s="1"/>
  <c r="F48"/>
  <c r="H48" s="1"/>
  <c r="F47"/>
  <c r="H47" s="1"/>
  <c r="F46"/>
  <c r="H46" s="1"/>
  <c r="H43"/>
  <c r="H42"/>
  <c r="H40"/>
  <c r="I38"/>
  <c r="H37"/>
  <c r="H35"/>
  <c r="H34"/>
  <c r="F33"/>
  <c r="H33" s="1"/>
  <c r="F32"/>
  <c r="I32" s="1"/>
  <c r="F31"/>
  <c r="H31" s="1"/>
  <c r="F30"/>
  <c r="I30" s="1"/>
  <c r="F26"/>
  <c r="I26" s="1"/>
  <c r="I25"/>
  <c r="H25"/>
  <c r="F24"/>
  <c r="H24" s="1"/>
  <c r="F23"/>
  <c r="I23" s="1"/>
  <c r="F22"/>
  <c r="H22" s="1"/>
  <c r="F21"/>
  <c r="I21" s="1"/>
  <c r="F20"/>
  <c r="H20" s="1"/>
  <c r="F19"/>
  <c r="I19" s="1"/>
  <c r="E18"/>
  <c r="F18" s="1"/>
  <c r="F17"/>
  <c r="I17" s="1"/>
  <c r="F16"/>
  <c r="I16" s="1"/>
  <c r="I57" l="1"/>
  <c r="H17"/>
  <c r="H86"/>
  <c r="H18"/>
  <c r="I18"/>
  <c r="H16"/>
  <c r="H19"/>
  <c r="I20"/>
  <c r="H21"/>
  <c r="I22"/>
  <c r="H23"/>
  <c r="I24"/>
  <c r="H26"/>
  <c r="H30"/>
  <c r="I31"/>
  <c r="H32"/>
  <c r="I33"/>
  <c r="H38"/>
  <c r="I39"/>
  <c r="H41"/>
  <c r="I42"/>
  <c r="H50"/>
  <c r="H58"/>
  <c r="I62"/>
  <c r="I87"/>
  <c r="I97" l="1"/>
  <c r="I37" i="8" l="1"/>
  <c r="F51"/>
  <c r="I43"/>
  <c r="I42"/>
  <c r="F42"/>
  <c r="I101"/>
  <c r="I100"/>
  <c r="I99"/>
  <c r="I98"/>
  <c r="I97"/>
  <c r="I96"/>
  <c r="I95"/>
  <c r="I94"/>
  <c r="I93"/>
  <c r="I92"/>
  <c r="I91"/>
  <c r="F88"/>
  <c r="F87"/>
  <c r="I83"/>
  <c r="F83"/>
  <c r="I81"/>
  <c r="I74"/>
  <c r="F74"/>
  <c r="I65"/>
  <c r="F65"/>
  <c r="I58"/>
  <c r="F59"/>
  <c r="F58"/>
  <c r="I44"/>
  <c r="H44"/>
  <c r="H43"/>
  <c r="H42"/>
  <c r="H41"/>
  <c r="F41"/>
  <c r="I41" s="1"/>
  <c r="H40"/>
  <c r="F40"/>
  <c r="F39"/>
  <c r="H39" s="1"/>
  <c r="H38"/>
  <c r="F38"/>
  <c r="I38" s="1"/>
  <c r="H37"/>
  <c r="H27"/>
  <c r="F26"/>
  <c r="I26" s="1"/>
  <c r="I25"/>
  <c r="H25"/>
  <c r="F24"/>
  <c r="H24" s="1"/>
  <c r="F23"/>
  <c r="I23" s="1"/>
  <c r="F22"/>
  <c r="H22" s="1"/>
  <c r="F21"/>
  <c r="I21" s="1"/>
  <c r="F20"/>
  <c r="H20" s="1"/>
  <c r="F19"/>
  <c r="I19" s="1"/>
  <c r="E18"/>
  <c r="F18" s="1"/>
  <c r="F17"/>
  <c r="H17" s="1"/>
  <c r="F16"/>
  <c r="I16" s="1"/>
  <c r="F30"/>
  <c r="H30" s="1"/>
  <c r="F31"/>
  <c r="H31" s="1"/>
  <c r="F32"/>
  <c r="H32" s="1"/>
  <c r="F33"/>
  <c r="H33" s="1"/>
  <c r="H34"/>
  <c r="H35"/>
  <c r="I74" i="19"/>
  <c r="I84"/>
  <c r="F92"/>
  <c r="F89"/>
  <c r="F88"/>
  <c r="F84"/>
  <c r="F79"/>
  <c r="F74"/>
  <c r="F65"/>
  <c r="F63"/>
  <c r="F59"/>
  <c r="F58"/>
  <c r="F51"/>
  <c r="F43"/>
  <c r="I43" s="1"/>
  <c r="F42"/>
  <c r="F41"/>
  <c r="F40"/>
  <c r="F39"/>
  <c r="I39" i="8" l="1"/>
  <c r="I33"/>
  <c r="I32"/>
  <c r="I31"/>
  <c r="I30"/>
  <c r="H26"/>
  <c r="H18"/>
  <c r="I18"/>
  <c r="H16"/>
  <c r="I17"/>
  <c r="H19"/>
  <c r="I20"/>
  <c r="H21"/>
  <c r="I22"/>
  <c r="H23"/>
  <c r="I24"/>
  <c r="I27"/>
  <c r="F34" i="19"/>
  <c r="F33"/>
  <c r="F32"/>
  <c r="F31"/>
  <c r="F30"/>
  <c r="I77" i="18" l="1"/>
  <c r="I57"/>
  <c r="I57" i="17"/>
  <c r="I74" i="16" l="1"/>
  <c r="I76" i="15" l="1"/>
  <c r="I69" i="13" l="1"/>
  <c r="I61" i="12"/>
  <c r="I49" i="11"/>
  <c r="I48"/>
  <c r="I47"/>
  <c r="I57" l="1"/>
  <c r="I78"/>
  <c r="H87" i="10" l="1"/>
  <c r="H86"/>
  <c r="F61"/>
  <c r="H61" s="1"/>
  <c r="I43"/>
  <c r="I61" l="1"/>
  <c r="H99" i="8" l="1"/>
  <c r="H98"/>
  <c r="H97"/>
  <c r="H96"/>
  <c r="H95"/>
  <c r="H94"/>
  <c r="H93"/>
  <c r="H92"/>
  <c r="H91"/>
  <c r="F63"/>
  <c r="H63" s="1"/>
  <c r="H99" i="19" l="1"/>
  <c r="H98"/>
  <c r="H97"/>
  <c r="H96"/>
  <c r="H95"/>
  <c r="H94"/>
  <c r="H93"/>
  <c r="H92"/>
  <c r="I89"/>
  <c r="I88"/>
  <c r="H86"/>
  <c r="I83"/>
  <c r="F83"/>
  <c r="H83" s="1"/>
  <c r="I82"/>
  <c r="H82"/>
  <c r="H81"/>
  <c r="H80"/>
  <c r="H79"/>
  <c r="I76"/>
  <c r="H76"/>
  <c r="I72"/>
  <c r="H72"/>
  <c r="F71"/>
  <c r="H71" s="1"/>
  <c r="F70"/>
  <c r="I70" s="1"/>
  <c r="F69"/>
  <c r="H69" s="1"/>
  <c r="F68"/>
  <c r="I68" s="1"/>
  <c r="F67"/>
  <c r="H67" s="1"/>
  <c r="H66"/>
  <c r="H65"/>
  <c r="H63"/>
  <c r="H62"/>
  <c r="I59"/>
  <c r="H59"/>
  <c r="I55"/>
  <c r="F55"/>
  <c r="H55" s="1"/>
  <c r="I54"/>
  <c r="H54"/>
  <c r="F53"/>
  <c r="I53" s="1"/>
  <c r="F52"/>
  <c r="H52" s="1"/>
  <c r="I51"/>
  <c r="F50"/>
  <c r="H50" s="1"/>
  <c r="F49"/>
  <c r="I49" s="1"/>
  <c r="F48"/>
  <c r="H48" s="1"/>
  <c r="F47"/>
  <c r="I47" s="1"/>
  <c r="I45"/>
  <c r="H45"/>
  <c r="H44"/>
  <c r="H42"/>
  <c r="H41"/>
  <c r="I40"/>
  <c r="H40"/>
  <c r="H39"/>
  <c r="H38"/>
  <c r="H35"/>
  <c r="H34"/>
  <c r="I33"/>
  <c r="H32"/>
  <c r="I31"/>
  <c r="H30"/>
  <c r="H91" i="18"/>
  <c r="H90"/>
  <c r="H84"/>
  <c r="I81"/>
  <c r="F81"/>
  <c r="H81" s="1"/>
  <c r="I80"/>
  <c r="H80"/>
  <c r="H79"/>
  <c r="H78"/>
  <c r="H77"/>
  <c r="I75"/>
  <c r="H75"/>
  <c r="I71"/>
  <c r="H71"/>
  <c r="F70"/>
  <c r="H70" s="1"/>
  <c r="F69"/>
  <c r="I69" s="1"/>
  <c r="F68"/>
  <c r="H68" s="1"/>
  <c r="F67"/>
  <c r="I67" s="1"/>
  <c r="F66"/>
  <c r="H66" s="1"/>
  <c r="H65"/>
  <c r="H64"/>
  <c r="H62"/>
  <c r="H61"/>
  <c r="H59"/>
  <c r="I58"/>
  <c r="H58"/>
  <c r="F57"/>
  <c r="I54"/>
  <c r="F54"/>
  <c r="H54" s="1"/>
  <c r="I53"/>
  <c r="H53"/>
  <c r="F52"/>
  <c r="I52" s="1"/>
  <c r="F51"/>
  <c r="H51" s="1"/>
  <c r="F50"/>
  <c r="I50" s="1"/>
  <c r="F49"/>
  <c r="H49" s="1"/>
  <c r="F48"/>
  <c r="I48" s="1"/>
  <c r="F47"/>
  <c r="H47" s="1"/>
  <c r="F46"/>
  <c r="I46" s="1"/>
  <c r="H42"/>
  <c r="H41"/>
  <c r="I40"/>
  <c r="H40"/>
  <c r="H39"/>
  <c r="H38"/>
  <c r="H36"/>
  <c r="H35"/>
  <c r="F34"/>
  <c r="I34" s="1"/>
  <c r="F33"/>
  <c r="H33" s="1"/>
  <c r="F32"/>
  <c r="I32" s="1"/>
  <c r="F31"/>
  <c r="H31" s="1"/>
  <c r="F28"/>
  <c r="I28" s="1"/>
  <c r="H95" i="17"/>
  <c r="H94"/>
  <c r="H89" i="19" l="1"/>
  <c r="H44" i="18"/>
  <c r="I30" i="19"/>
  <c r="H31"/>
  <c r="I32"/>
  <c r="H33"/>
  <c r="I39"/>
  <c r="I42"/>
  <c r="H43"/>
  <c r="H47"/>
  <c r="I48"/>
  <c r="H49"/>
  <c r="I50"/>
  <c r="H51"/>
  <c r="I52"/>
  <c r="H53"/>
  <c r="H58"/>
  <c r="I63"/>
  <c r="I67"/>
  <c r="H68"/>
  <c r="I69"/>
  <c r="H70"/>
  <c r="I71"/>
  <c r="H88"/>
  <c r="H28" i="18"/>
  <c r="I31"/>
  <c r="H32"/>
  <c r="I33"/>
  <c r="H34"/>
  <c r="I39"/>
  <c r="H43"/>
  <c r="H46"/>
  <c r="I47"/>
  <c r="H48"/>
  <c r="I49"/>
  <c r="H50"/>
  <c r="I51"/>
  <c r="H52"/>
  <c r="H57"/>
  <c r="I62"/>
  <c r="I66"/>
  <c r="H67"/>
  <c r="I68"/>
  <c r="H69"/>
  <c r="I70"/>
  <c r="I110" i="19" l="1"/>
  <c r="I98" i="18"/>
  <c r="F93" i="17" l="1"/>
  <c r="H93" s="1"/>
  <c r="H92"/>
  <c r="H85" l="1"/>
  <c r="I81"/>
  <c r="F81"/>
  <c r="H81" s="1"/>
  <c r="I80"/>
  <c r="H80"/>
  <c r="H79"/>
  <c r="H78"/>
  <c r="H77"/>
  <c r="I73"/>
  <c r="H73"/>
  <c r="I71"/>
  <c r="H71"/>
  <c r="F70"/>
  <c r="H70" s="1"/>
  <c r="F69"/>
  <c r="I69" s="1"/>
  <c r="F68"/>
  <c r="H68" s="1"/>
  <c r="F67"/>
  <c r="I67" s="1"/>
  <c r="F66"/>
  <c r="H66" s="1"/>
  <c r="H65"/>
  <c r="H64"/>
  <c r="I62"/>
  <c r="H61"/>
  <c r="H59"/>
  <c r="I58"/>
  <c r="H58"/>
  <c r="F57"/>
  <c r="I54"/>
  <c r="F54"/>
  <c r="H54" s="1"/>
  <c r="I53"/>
  <c r="H53"/>
  <c r="F52"/>
  <c r="I52" s="1"/>
  <c r="F51"/>
  <c r="H51" s="1"/>
  <c r="F50"/>
  <c r="I50" s="1"/>
  <c r="F49"/>
  <c r="H49" s="1"/>
  <c r="F48"/>
  <c r="I48" s="1"/>
  <c r="F47"/>
  <c r="H47" s="1"/>
  <c r="F46"/>
  <c r="I46" s="1"/>
  <c r="I43"/>
  <c r="H43"/>
  <c r="F42"/>
  <c r="H42" s="1"/>
  <c r="F41"/>
  <c r="I41" s="1"/>
  <c r="F40"/>
  <c r="H40" s="1"/>
  <c r="H39"/>
  <c r="I38"/>
  <c r="H38"/>
  <c r="F37"/>
  <c r="H37" s="1"/>
  <c r="I36"/>
  <c r="H36"/>
  <c r="H34"/>
  <c r="H33"/>
  <c r="F32"/>
  <c r="H32" s="1"/>
  <c r="F99" i="16"/>
  <c r="H99" s="1"/>
  <c r="F98"/>
  <c r="H98" s="1"/>
  <c r="F97"/>
  <c r="H97" s="1"/>
  <c r="H96"/>
  <c r="H92"/>
  <c r="H90"/>
  <c r="I70"/>
  <c r="H95"/>
  <c r="H94"/>
  <c r="H93"/>
  <c r="H91"/>
  <c r="H89"/>
  <c r="H83"/>
  <c r="I78"/>
  <c r="F78"/>
  <c r="H78" s="1"/>
  <c r="I77"/>
  <c r="H77"/>
  <c r="H76"/>
  <c r="H75"/>
  <c r="H74"/>
  <c r="I72"/>
  <c r="H72"/>
  <c r="H70"/>
  <c r="F69"/>
  <c r="I69" s="1"/>
  <c r="F68"/>
  <c r="H68" s="1"/>
  <c r="F67"/>
  <c r="I67" s="1"/>
  <c r="F66"/>
  <c r="H66" s="1"/>
  <c r="F65"/>
  <c r="I65" s="1"/>
  <c r="H64"/>
  <c r="H63"/>
  <c r="I61"/>
  <c r="H60"/>
  <c r="H58"/>
  <c r="I57"/>
  <c r="H57"/>
  <c r="F56"/>
  <c r="H56" s="1"/>
  <c r="I53"/>
  <c r="H53"/>
  <c r="I52"/>
  <c r="H52"/>
  <c r="H51"/>
  <c r="I50"/>
  <c r="H49"/>
  <c r="I48"/>
  <c r="H47"/>
  <c r="I46"/>
  <c r="H45"/>
  <c r="I43"/>
  <c r="H43"/>
  <c r="F42"/>
  <c r="I42" s="1"/>
  <c r="F41"/>
  <c r="H41" s="1"/>
  <c r="F40"/>
  <c r="I40" s="1"/>
  <c r="H39"/>
  <c r="I38"/>
  <c r="H38"/>
  <c r="F37"/>
  <c r="I37" s="1"/>
  <c r="I36"/>
  <c r="H36"/>
  <c r="H34"/>
  <c r="H33"/>
  <c r="F32"/>
  <c r="I32" s="1"/>
  <c r="H62" i="17" l="1"/>
  <c r="I32"/>
  <c r="I37"/>
  <c r="I40"/>
  <c r="H41"/>
  <c r="I42"/>
  <c r="H46"/>
  <c r="I47"/>
  <c r="H48"/>
  <c r="I49"/>
  <c r="H50"/>
  <c r="I51"/>
  <c r="H52"/>
  <c r="H57"/>
  <c r="I66"/>
  <c r="H67"/>
  <c r="I68"/>
  <c r="H69"/>
  <c r="I70"/>
  <c r="H61" i="16"/>
  <c r="H32"/>
  <c r="H37"/>
  <c r="H40"/>
  <c r="I41"/>
  <c r="H42"/>
  <c r="I45"/>
  <c r="H46"/>
  <c r="I47"/>
  <c r="H48"/>
  <c r="I49"/>
  <c r="H50"/>
  <c r="I51"/>
  <c r="I56"/>
  <c r="H65"/>
  <c r="I66"/>
  <c r="H67"/>
  <c r="I68"/>
  <c r="H69"/>
  <c r="I109" i="17" l="1"/>
  <c r="I106" i="16"/>
  <c r="F110" i="15" l="1"/>
  <c r="H110" s="1"/>
  <c r="F109"/>
  <c r="H109" s="1"/>
  <c r="H108"/>
  <c r="H107"/>
  <c r="H106"/>
  <c r="H105"/>
  <c r="H104"/>
  <c r="H103"/>
  <c r="H102"/>
  <c r="H101"/>
  <c r="H100"/>
  <c r="H99"/>
  <c r="H98"/>
  <c r="H97"/>
  <c r="H96"/>
  <c r="H95"/>
  <c r="H94"/>
  <c r="H93"/>
  <c r="F92"/>
  <c r="H92" s="1"/>
  <c r="H91"/>
  <c r="H90"/>
  <c r="I80"/>
  <c r="H89"/>
  <c r="H83"/>
  <c r="F80"/>
  <c r="H80" s="1"/>
  <c r="I79"/>
  <c r="H79"/>
  <c r="H78"/>
  <c r="H77"/>
  <c r="H76"/>
  <c r="I72"/>
  <c r="H72"/>
  <c r="H70"/>
  <c r="F69"/>
  <c r="H69" s="1"/>
  <c r="F68"/>
  <c r="I68" s="1"/>
  <c r="F67"/>
  <c r="H67" s="1"/>
  <c r="F66"/>
  <c r="I66" s="1"/>
  <c r="F65"/>
  <c r="H65" s="1"/>
  <c r="H64"/>
  <c r="H63"/>
  <c r="H61"/>
  <c r="H60"/>
  <c r="H58"/>
  <c r="I57"/>
  <c r="H57"/>
  <c r="F56"/>
  <c r="I56" s="1"/>
  <c r="I53"/>
  <c r="F53"/>
  <c r="H53" s="1"/>
  <c r="I52"/>
  <c r="H52"/>
  <c r="F51"/>
  <c r="I51" s="1"/>
  <c r="F50"/>
  <c r="H50" s="1"/>
  <c r="F49"/>
  <c r="I49" s="1"/>
  <c r="F48"/>
  <c r="H48" s="1"/>
  <c r="F47"/>
  <c r="I47" s="1"/>
  <c r="F46"/>
  <c r="H46" s="1"/>
  <c r="F45"/>
  <c r="I45" s="1"/>
  <c r="I43"/>
  <c r="H43"/>
  <c r="F42"/>
  <c r="H42" s="1"/>
  <c r="F41"/>
  <c r="I41" s="1"/>
  <c r="F40"/>
  <c r="H40" s="1"/>
  <c r="H39"/>
  <c r="I38"/>
  <c r="H38"/>
  <c r="F37"/>
  <c r="H37" s="1"/>
  <c r="I36"/>
  <c r="H36"/>
  <c r="H34"/>
  <c r="H33"/>
  <c r="F32"/>
  <c r="H32" s="1"/>
  <c r="I32" l="1"/>
  <c r="I37"/>
  <c r="I40"/>
  <c r="H41"/>
  <c r="I42"/>
  <c r="H45"/>
  <c r="I46"/>
  <c r="H47"/>
  <c r="I48"/>
  <c r="H49"/>
  <c r="I50"/>
  <c r="H51"/>
  <c r="H56"/>
  <c r="I61"/>
  <c r="I65"/>
  <c r="H66"/>
  <c r="I67"/>
  <c r="H68"/>
  <c r="I69"/>
  <c r="I122" l="1"/>
  <c r="H97" i="14" l="1"/>
  <c r="H96"/>
  <c r="H95"/>
  <c r="H94"/>
  <c r="H93"/>
  <c r="H92"/>
  <c r="H91"/>
  <c r="I75"/>
  <c r="H90"/>
  <c r="H84"/>
  <c r="F81"/>
  <c r="H81" s="1"/>
  <c r="I80"/>
  <c r="H80"/>
  <c r="H79"/>
  <c r="H78"/>
  <c r="H77"/>
  <c r="H75"/>
  <c r="H71"/>
  <c r="H70"/>
  <c r="I69"/>
  <c r="H68"/>
  <c r="I67"/>
  <c r="H66"/>
  <c r="H65"/>
  <c r="H62"/>
  <c r="H61"/>
  <c r="H58"/>
  <c r="I57"/>
  <c r="H57"/>
  <c r="F56"/>
  <c r="I56" s="1"/>
  <c r="I53"/>
  <c r="F53"/>
  <c r="H53" s="1"/>
  <c r="I52"/>
  <c r="H52"/>
  <c r="F51"/>
  <c r="I51" s="1"/>
  <c r="F50"/>
  <c r="H50" s="1"/>
  <c r="F49"/>
  <c r="I49" s="1"/>
  <c r="F48"/>
  <c r="H48" s="1"/>
  <c r="F47"/>
  <c r="I47" s="1"/>
  <c r="F46"/>
  <c r="H46" s="1"/>
  <c r="F45"/>
  <c r="I45" s="1"/>
  <c r="I43"/>
  <c r="H43"/>
  <c r="F42"/>
  <c r="H42" s="1"/>
  <c r="F41"/>
  <c r="I41" s="1"/>
  <c r="F40"/>
  <c r="H40" s="1"/>
  <c r="H39"/>
  <c r="I38"/>
  <c r="H38"/>
  <c r="F37"/>
  <c r="H37" s="1"/>
  <c r="I36"/>
  <c r="H36"/>
  <c r="H34"/>
  <c r="H33"/>
  <c r="F32"/>
  <c r="H32" s="1"/>
  <c r="H91" i="13"/>
  <c r="H90"/>
  <c r="H86"/>
  <c r="I85"/>
  <c r="H83"/>
  <c r="F80"/>
  <c r="H80" s="1"/>
  <c r="I79"/>
  <c r="H79"/>
  <c r="H78"/>
  <c r="H77"/>
  <c r="H76"/>
  <c r="H73"/>
  <c r="H69"/>
  <c r="F68"/>
  <c r="I68" s="1"/>
  <c r="F67"/>
  <c r="H67" s="1"/>
  <c r="F66"/>
  <c r="I66" s="1"/>
  <c r="F65"/>
  <c r="H65" s="1"/>
  <c r="F64"/>
  <c r="I64" s="1"/>
  <c r="H63"/>
  <c r="I61"/>
  <c r="H60"/>
  <c r="H58"/>
  <c r="I57"/>
  <c r="H57"/>
  <c r="F56"/>
  <c r="H56" s="1"/>
  <c r="I53"/>
  <c r="F53"/>
  <c r="H53" s="1"/>
  <c r="I52"/>
  <c r="H52"/>
  <c r="F51"/>
  <c r="H51" s="1"/>
  <c r="F50"/>
  <c r="I50" s="1"/>
  <c r="F49"/>
  <c r="H49" s="1"/>
  <c r="F48"/>
  <c r="I48" s="1"/>
  <c r="F47"/>
  <c r="H47" s="1"/>
  <c r="F46"/>
  <c r="I46" s="1"/>
  <c r="F45"/>
  <c r="H45" s="1"/>
  <c r="I43"/>
  <c r="H43"/>
  <c r="F42"/>
  <c r="I42" s="1"/>
  <c r="F41"/>
  <c r="H41" s="1"/>
  <c r="F40"/>
  <c r="I40" s="1"/>
  <c r="H39"/>
  <c r="I38"/>
  <c r="H38"/>
  <c r="F37"/>
  <c r="I37" s="1"/>
  <c r="I36"/>
  <c r="H36"/>
  <c r="H34"/>
  <c r="H33"/>
  <c r="I32"/>
  <c r="H31"/>
  <c r="I30"/>
  <c r="F26"/>
  <c r="H26" s="1"/>
  <c r="I25"/>
  <c r="H25"/>
  <c r="F24"/>
  <c r="I24" s="1"/>
  <c r="F23"/>
  <c r="H23" s="1"/>
  <c r="F22"/>
  <c r="I22" s="1"/>
  <c r="F19"/>
  <c r="H19" s="1"/>
  <c r="I17"/>
  <c r="H16"/>
  <c r="F89" i="12"/>
  <c r="H89" s="1"/>
  <c r="I63"/>
  <c r="I25"/>
  <c r="H83"/>
  <c r="F80"/>
  <c r="H80" s="1"/>
  <c r="I79"/>
  <c r="H79"/>
  <c r="H78"/>
  <c r="H77"/>
  <c r="I76"/>
  <c r="H76"/>
  <c r="H74"/>
  <c r="H70"/>
  <c r="H69"/>
  <c r="H68"/>
  <c r="H67"/>
  <c r="H66"/>
  <c r="H65"/>
  <c r="H64"/>
  <c r="H63"/>
  <c r="F61"/>
  <c r="H60"/>
  <c r="H58"/>
  <c r="I57"/>
  <c r="H57"/>
  <c r="F56"/>
  <c r="H56" s="1"/>
  <c r="I53"/>
  <c r="H53"/>
  <c r="I52"/>
  <c r="H52"/>
  <c r="H51"/>
  <c r="I50"/>
  <c r="H49"/>
  <c r="H48"/>
  <c r="H47"/>
  <c r="H46"/>
  <c r="H45"/>
  <c r="I43"/>
  <c r="H43"/>
  <c r="F42"/>
  <c r="I42" s="1"/>
  <c r="F41"/>
  <c r="H41" s="1"/>
  <c r="F40"/>
  <c r="I40" s="1"/>
  <c r="H39"/>
  <c r="I38"/>
  <c r="H38"/>
  <c r="F37"/>
  <c r="I37" s="1"/>
  <c r="I36"/>
  <c r="H36"/>
  <c r="H34"/>
  <c r="H33"/>
  <c r="I32"/>
  <c r="H31"/>
  <c r="I30"/>
  <c r="H26"/>
  <c r="H25"/>
  <c r="H24"/>
  <c r="H23"/>
  <c r="H22"/>
  <c r="H21"/>
  <c r="H20"/>
  <c r="I17"/>
  <c r="H16"/>
  <c r="I98" i="11"/>
  <c r="F96"/>
  <c r="H96" s="1"/>
  <c r="H91"/>
  <c r="H90"/>
  <c r="H89"/>
  <c r="H88"/>
  <c r="F87"/>
  <c r="H87" s="1"/>
  <c r="H86"/>
  <c r="H85"/>
  <c r="H76"/>
  <c r="F74"/>
  <c r="H74" s="1"/>
  <c r="I73"/>
  <c r="H73"/>
  <c r="H72"/>
  <c r="H71"/>
  <c r="I70"/>
  <c r="H70"/>
  <c r="H68"/>
  <c r="H64"/>
  <c r="F63"/>
  <c r="H63" s="1"/>
  <c r="F62"/>
  <c r="H62" s="1"/>
  <c r="F61"/>
  <c r="H61" s="1"/>
  <c r="F60"/>
  <c r="H60" s="1"/>
  <c r="F59"/>
  <c r="H59" s="1"/>
  <c r="H58"/>
  <c r="F57"/>
  <c r="H57" s="1"/>
  <c r="H56"/>
  <c r="H54"/>
  <c r="I45"/>
  <c r="F45"/>
  <c r="H45" s="1"/>
  <c r="I43"/>
  <c r="H42"/>
  <c r="I41"/>
  <c r="H40"/>
  <c r="I39"/>
  <c r="H39"/>
  <c r="I38"/>
  <c r="H37"/>
  <c r="H35"/>
  <c r="H34"/>
  <c r="F33"/>
  <c r="H33" s="1"/>
  <c r="F32"/>
  <c r="I32" s="1"/>
  <c r="F31"/>
  <c r="H31" s="1"/>
  <c r="F30"/>
  <c r="I30" s="1"/>
  <c r="H80" i="10"/>
  <c r="H77"/>
  <c r="H76"/>
  <c r="H75"/>
  <c r="H73"/>
  <c r="F69"/>
  <c r="H69" s="1"/>
  <c r="F68"/>
  <c r="H68" s="1"/>
  <c r="F67"/>
  <c r="H67" s="1"/>
  <c r="F66"/>
  <c r="H66" s="1"/>
  <c r="F65"/>
  <c r="H65" s="1"/>
  <c r="H64"/>
  <c r="I63"/>
  <c r="H63"/>
  <c r="H60"/>
  <c r="I58"/>
  <c r="H58"/>
  <c r="H57"/>
  <c r="I53"/>
  <c r="F53"/>
  <c r="H53" s="1"/>
  <c r="H52"/>
  <c r="F51"/>
  <c r="H51" s="1"/>
  <c r="F50"/>
  <c r="H50" s="1"/>
  <c r="F49"/>
  <c r="I49" s="1"/>
  <c r="F48"/>
  <c r="H48" s="1"/>
  <c r="F47"/>
  <c r="H47" s="1"/>
  <c r="F46"/>
  <c r="H46" s="1"/>
  <c r="F45"/>
  <c r="H45" s="1"/>
  <c r="H43"/>
  <c r="I41"/>
  <c r="H40"/>
  <c r="I39"/>
  <c r="H39"/>
  <c r="H38"/>
  <c r="H37"/>
  <c r="H35"/>
  <c r="H34"/>
  <c r="F33"/>
  <c r="I33" s="1"/>
  <c r="F32"/>
  <c r="H32" s="1"/>
  <c r="F31"/>
  <c r="I31" s="1"/>
  <c r="F30"/>
  <c r="H30" s="1"/>
  <c r="H26"/>
  <c r="H25"/>
  <c r="H24"/>
  <c r="H23"/>
  <c r="H22"/>
  <c r="H21"/>
  <c r="H20"/>
  <c r="H19"/>
  <c r="H17"/>
  <c r="I16"/>
  <c r="H88" i="8"/>
  <c r="H87"/>
  <c r="H85"/>
  <c r="F82"/>
  <c r="H82" s="1"/>
  <c r="H81"/>
  <c r="H80"/>
  <c r="H79"/>
  <c r="H78"/>
  <c r="H76"/>
  <c r="H72"/>
  <c r="F71"/>
  <c r="H71" s="1"/>
  <c r="F70"/>
  <c r="H70" s="1"/>
  <c r="F69"/>
  <c r="H69" s="1"/>
  <c r="F68"/>
  <c r="H68" s="1"/>
  <c r="F67"/>
  <c r="H67" s="1"/>
  <c r="H66"/>
  <c r="H65"/>
  <c r="H62"/>
  <c r="H19" i="12" l="1"/>
  <c r="I19"/>
  <c r="I83" i="11"/>
  <c r="H42" i="10"/>
  <c r="I42"/>
  <c r="I84" s="1"/>
  <c r="I32" i="14"/>
  <c r="I37"/>
  <c r="I40"/>
  <c r="H41"/>
  <c r="I42"/>
  <c r="H45"/>
  <c r="I46"/>
  <c r="H47"/>
  <c r="I48"/>
  <c r="H49"/>
  <c r="I50"/>
  <c r="H51"/>
  <c r="H56"/>
  <c r="I62"/>
  <c r="I66"/>
  <c r="H67"/>
  <c r="I68"/>
  <c r="H69"/>
  <c r="I70"/>
  <c r="I18" i="13"/>
  <c r="H18"/>
  <c r="I16"/>
  <c r="H17"/>
  <c r="I19"/>
  <c r="H22"/>
  <c r="I23"/>
  <c r="H24"/>
  <c r="I26"/>
  <c r="H30"/>
  <c r="I31"/>
  <c r="H32"/>
  <c r="H37"/>
  <c r="H40"/>
  <c r="I41"/>
  <c r="H42"/>
  <c r="I45"/>
  <c r="H46"/>
  <c r="I47"/>
  <c r="H48"/>
  <c r="I49"/>
  <c r="H50"/>
  <c r="I51"/>
  <c r="I56"/>
  <c r="H61"/>
  <c r="H64"/>
  <c r="I65"/>
  <c r="H66"/>
  <c r="I67"/>
  <c r="H68"/>
  <c r="H85"/>
  <c r="I86"/>
  <c r="I26" i="12"/>
  <c r="I24"/>
  <c r="I22"/>
  <c r="I48"/>
  <c r="I46"/>
  <c r="I69"/>
  <c r="I67"/>
  <c r="I23"/>
  <c r="I47"/>
  <c r="I45"/>
  <c r="I65"/>
  <c r="I68"/>
  <c r="I66"/>
  <c r="I18"/>
  <c r="H18"/>
  <c r="I16"/>
  <c r="H17"/>
  <c r="H30"/>
  <c r="I31"/>
  <c r="H32"/>
  <c r="H37"/>
  <c r="H40"/>
  <c r="I41"/>
  <c r="H42"/>
  <c r="I49"/>
  <c r="H50"/>
  <c r="I51"/>
  <c r="I56"/>
  <c r="H61"/>
  <c r="H30" i="11"/>
  <c r="I31"/>
  <c r="H32"/>
  <c r="I33"/>
  <c r="H38"/>
  <c r="H41"/>
  <c r="H43"/>
  <c r="H52"/>
  <c r="H18" i="10"/>
  <c r="I18"/>
  <c r="H16"/>
  <c r="I17"/>
  <c r="I30"/>
  <c r="H31"/>
  <c r="I32"/>
  <c r="H33"/>
  <c r="I38"/>
  <c r="H41"/>
  <c r="H49"/>
  <c r="I88" i="8"/>
  <c r="I87"/>
  <c r="I63"/>
  <c r="I95" i="13" l="1"/>
  <c r="I98" i="12"/>
  <c r="I94" i="10"/>
  <c r="I109" i="14"/>
  <c r="H60" i="8" l="1"/>
  <c r="I59"/>
  <c r="H59"/>
  <c r="I55"/>
  <c r="F55"/>
  <c r="H55" s="1"/>
  <c r="H54"/>
  <c r="F53"/>
  <c r="H53" s="1"/>
  <c r="F52"/>
  <c r="H52" s="1"/>
  <c r="H51"/>
  <c r="F50"/>
  <c r="H50" s="1"/>
  <c r="F49"/>
  <c r="H49" s="1"/>
  <c r="F48"/>
  <c r="H48" s="1"/>
  <c r="F47"/>
  <c r="H47" s="1"/>
  <c r="H58" l="1"/>
  <c r="I51"/>
  <c r="I89" s="1"/>
  <c r="I103" l="1"/>
  <c r="I100" i="11"/>
</calcChain>
</file>

<file path=xl/sharedStrings.xml><?xml version="1.0" encoding="utf-8"?>
<sst xmlns="http://schemas.openxmlformats.org/spreadsheetml/2006/main" count="2757" uniqueCount="331">
  <si>
    <t>№ позиции</t>
  </si>
  <si>
    <r>
      <t>Наименование вида работы (услуги)</t>
    </r>
    <r>
      <rPr>
        <vertAlign val="superscript"/>
        <sz val="10"/>
        <rFont val="Times New Roman"/>
        <family val="1"/>
        <charset val="204"/>
      </rPr>
      <t>2</t>
    </r>
  </si>
  <si>
    <t>Единица измерения работы (услуги)</t>
  </si>
  <si>
    <t>Цена выполненной работы  (оказанной услуги), в рублях</t>
  </si>
  <si>
    <t>I. Санитарное содержание помещений общего пользования</t>
  </si>
  <si>
    <t>Зимняя уборка</t>
  </si>
  <si>
    <t>(прописью)</t>
  </si>
  <si>
    <t>3. Работы (услуги) выполнены (оказаны) полностью, в установленные сроки, с надлежащим качеством.</t>
  </si>
  <si>
    <t>4. Претензий по выполнению условий Договора Стороны друг к другу не имеют.</t>
  </si>
  <si>
    <t>Подписи Сторон:</t>
  </si>
  <si>
    <t>Исполнитель -</t>
  </si>
  <si>
    <t>(должность, ФИО)</t>
  </si>
  <si>
    <t>(подпись)</t>
  </si>
  <si>
    <t>Заказчик -</t>
  </si>
  <si>
    <t>________________</t>
  </si>
  <si>
    <t>Примечания:</t>
  </si>
  <si>
    <r>
      <t>1</t>
    </r>
    <r>
      <rPr>
        <sz val="10"/>
        <rFont val="Times New Roman"/>
        <family val="1"/>
        <charset val="204"/>
      </rPr>
      <t> В соответствии с пунктом 4 части 8 статьи 161.1 Жилищного кодекса Российской Федерации (Собрание законодательства Российской Федерации, 2005, N 1, ст.14; 2011, N 23, ст.3263; 2014, N 30, ст.4264, 2015, N 27, ст.3967) председатель совета многоквартирного дома подписывает в том числе акты приемки оказанных услуг и (или) выполненных работ по содержанию и текущему ремонту общего имущества в многоквартирном доме.</t>
    </r>
  </si>
  <si>
    <r>
      <t>2</t>
    </r>
    <r>
      <rPr>
        <sz val="10"/>
        <rFont val="Times New Roman"/>
        <family val="1"/>
        <charset val="204"/>
      </rPr>
      <t> Минимальный перечень услуг и работ, необходимых для обеспечения надлежащего содержания общего имущества в многоквартирном доме, утвержден постановлением Правительства Российской Федерации от 3 апреля 2013 года N 290.</t>
    </r>
  </si>
  <si>
    <t>Периодичность</t>
  </si>
  <si>
    <t>Количественный показатель выполненной работы (оказанной услуги)</t>
  </si>
  <si>
    <r>
      <t>4</t>
    </r>
    <r>
      <rPr>
        <sz val="10"/>
        <rFont val="Times New Roman"/>
        <family val="1"/>
        <charset val="204"/>
      </rPr>
      <t xml:space="preserve"> Сметная стоимость за единицу выполненной работы по договору </t>
    </r>
    <r>
      <rPr>
        <sz val="10"/>
        <color rgb="FFFF0000"/>
        <rFont val="Times New Roman"/>
        <family val="1"/>
        <charset val="204"/>
      </rPr>
      <t xml:space="preserve">подряда </t>
    </r>
    <r>
      <rPr>
        <sz val="10"/>
        <rFont val="Times New Roman"/>
        <family val="1"/>
        <charset val="204"/>
      </rPr>
      <t>по выполнению работ по ремонту общего имущества в многоквартирном доме.</t>
    </r>
  </si>
  <si>
    <r>
      <t>3</t>
    </r>
    <r>
      <rPr>
        <sz val="10"/>
        <rFont val="Times New Roman"/>
        <family val="1"/>
        <charset val="204"/>
      </rPr>
      <t xml:space="preserve"> Стоимость за единицу выполненной работы (оказанной услуги) </t>
    </r>
    <r>
      <rPr>
        <sz val="10"/>
        <color rgb="FFFF0000"/>
        <rFont val="Times New Roman"/>
        <family val="1"/>
        <charset val="204"/>
      </rPr>
      <t xml:space="preserve">по договору управления </t>
    </r>
    <r>
      <rPr>
        <sz val="10"/>
        <rFont val="Times New Roman"/>
        <family val="1"/>
        <charset val="204"/>
      </rPr>
      <t xml:space="preserve">многоквартирным домом или </t>
    </r>
    <r>
      <rPr>
        <sz val="10"/>
        <color rgb="FFFF0000"/>
        <rFont val="Times New Roman"/>
        <family val="1"/>
        <charset val="204"/>
      </rPr>
      <t>договору оказания услуг</t>
    </r>
    <r>
      <rPr>
        <sz val="10"/>
        <rFont val="Times New Roman"/>
        <family val="1"/>
        <charset val="204"/>
      </rPr>
      <t xml:space="preserve"> по содержанию и (или) выполнению работ по ремонту общего имущества в многоквартирном доме.</t>
    </r>
  </si>
  <si>
    <t>Стоимость выполненной работы (оказанной услуги)  за единицу</t>
  </si>
  <si>
    <t>Вывоз ТБО и КГО</t>
  </si>
  <si>
    <t xml:space="preserve">кв. м </t>
  </si>
  <si>
    <t>ежедневно</t>
  </si>
  <si>
    <t>м2</t>
  </si>
  <si>
    <t>Механизированная уборка дворовой территории</t>
  </si>
  <si>
    <t>Уборка газонов сильной загрязненности</t>
  </si>
  <si>
    <t>Летняя уборка</t>
  </si>
  <si>
    <t>1000 м2</t>
  </si>
  <si>
    <t>шт.</t>
  </si>
  <si>
    <t>м/час</t>
  </si>
  <si>
    <t>м3</t>
  </si>
  <si>
    <t>Осмотр деревянных заполнений проемов</t>
  </si>
  <si>
    <t>Осмотр внутренней и наружной отделки здания</t>
  </si>
  <si>
    <t>Осмотр каменных конструкций</t>
  </si>
  <si>
    <t>100 лест.</t>
  </si>
  <si>
    <t>Осмотр вводных электрических щитков</t>
  </si>
  <si>
    <t>100 шт.</t>
  </si>
  <si>
    <t>Проверка вентканалов</t>
  </si>
  <si>
    <t>2 раза в год</t>
  </si>
  <si>
    <t>Кровля</t>
  </si>
  <si>
    <t>Чердак, подвал, технический этаж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</si>
  <si>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</si>
  <si>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</si>
  <si>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</si>
  <si>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</si>
  <si>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Спуск воды и наполнение системы без осмотра</t>
  </si>
  <si>
    <t>Гидравлическое испытание СО</t>
  </si>
  <si>
    <t>Итого текущий ремонт</t>
  </si>
  <si>
    <t>100 м2</t>
  </si>
  <si>
    <t>1 раз в год</t>
  </si>
  <si>
    <t>1 м2</t>
  </si>
  <si>
    <t xml:space="preserve">Осмотр СО </t>
  </si>
  <si>
    <t>Проверка на прогрев отопительных приборов</t>
  </si>
  <si>
    <t>прибор</t>
  </si>
  <si>
    <t>Обязательные работы по содержанию общего имущества собственников помещений в многоквартирном доме</t>
  </si>
  <si>
    <t>Работы по текущему ремонту и по заявкам</t>
  </si>
  <si>
    <t>5. Настоящий Акт составлен в 2 экземплярах, имеющих одинаковую юридическую силу, по одному для каждой из Сторон</t>
  </si>
  <si>
    <t>пгт. Ярега</t>
  </si>
  <si>
    <t>155 раз</t>
  </si>
  <si>
    <t>Подборка мусора на контейнерной площадке</t>
  </si>
  <si>
    <t xml:space="preserve">Погрузка травы, ветвей </t>
  </si>
  <si>
    <t>Вывоз смета, травы, ветвей и т.п.- м/ч</t>
  </si>
  <si>
    <t>по необходимости</t>
  </si>
  <si>
    <t xml:space="preserve">Подметание снега с тротуара, крылец, конт. площадок </t>
  </si>
  <si>
    <t>45 раз за сезон</t>
  </si>
  <si>
    <t>Стоимость песка -100м2-0,002м3</t>
  </si>
  <si>
    <t>3 раза в год</t>
  </si>
  <si>
    <t>Электроснабжение</t>
  </si>
  <si>
    <t>Смена ламп накаливания</t>
  </si>
  <si>
    <t>Смена плавкой вставки в электрощите</t>
  </si>
  <si>
    <t>10 шт</t>
  </si>
  <si>
    <t>Вентканалы, дымоходы</t>
  </si>
  <si>
    <t>100м</t>
  </si>
  <si>
    <t xml:space="preserve">Непредвиденные расходы </t>
  </si>
  <si>
    <t>Ремонт групповых щитков на лестничной клетке без ремонта автоматов</t>
  </si>
  <si>
    <t>Итого:</t>
  </si>
  <si>
    <t>Очистка территории 1-го класса с усовершенствованным покрытием под скребок: ступеньки и площадки крылец, контейнерные площадки</t>
  </si>
  <si>
    <t>место</t>
  </si>
  <si>
    <t>II. Уборка земельного участка</t>
  </si>
  <si>
    <t>Влажное подметание лестничных клеток 1 этажа</t>
  </si>
  <si>
    <t>Замена ламп ДРЛ</t>
  </si>
  <si>
    <t>генеральный директор Куканов Ю.Л.</t>
  </si>
  <si>
    <t>Влажное подметание лестничных клеток 2-5 этажа</t>
  </si>
  <si>
    <t>Мытье лестничных  площадок и маршей 1-5 этаж.</t>
  </si>
  <si>
    <t>Вывоз снега с придомовой территории</t>
  </si>
  <si>
    <t>Дератизация</t>
  </si>
  <si>
    <t>100м2</t>
  </si>
  <si>
    <t>Мытье окон</t>
  </si>
  <si>
    <t>10м2</t>
  </si>
  <si>
    <t xml:space="preserve">1 раз в год     </t>
  </si>
  <si>
    <t>Влажная протирка подоконников</t>
  </si>
  <si>
    <t xml:space="preserve">1 раз в год  </t>
  </si>
  <si>
    <t>Влажная протирка перил</t>
  </si>
  <si>
    <t>Влажная протирка почтовых ящиков</t>
  </si>
  <si>
    <t xml:space="preserve">Влажная уборка стен </t>
  </si>
  <si>
    <t>Влажная протирка дверей</t>
  </si>
  <si>
    <t>Влажная протирка отопительных приборов</t>
  </si>
  <si>
    <t>Влажная протирка шкафов для щитов и слаботочн. устройств</t>
  </si>
  <si>
    <t>Уборка газонов</t>
  </si>
  <si>
    <t>1000м2</t>
  </si>
  <si>
    <t>52 раза в сезон</t>
  </si>
  <si>
    <t>78 раз за сезон</t>
  </si>
  <si>
    <t>Уборка контейнерной площадки (16 кв.м.)</t>
  </si>
  <si>
    <t>30 раз за сезон</t>
  </si>
  <si>
    <t>155 раз за сезон</t>
  </si>
  <si>
    <t xml:space="preserve">Пескопосыпка территории: крыльца и тротуары </t>
  </si>
  <si>
    <t>Осмотр электросетей, арматуры и электрооборудования на чердаках, подвалах и техэтажах</t>
  </si>
  <si>
    <t>Осмотр электросетей,арматуры и электооборудования на лестничных клетках</t>
  </si>
  <si>
    <t>шт</t>
  </si>
  <si>
    <t>Очистка края кровли от слежавшегося снега со сбрасыванием сосулек (10% от S кровли и козырьки)</t>
  </si>
  <si>
    <t xml:space="preserve">6 раз за сезон </t>
  </si>
  <si>
    <t>100м3</t>
  </si>
  <si>
    <t>1000м3</t>
  </si>
  <si>
    <t>Вода для промывки СО</t>
  </si>
  <si>
    <t>Сброс воды после промывки СО в канализацию</t>
  </si>
  <si>
    <t>Техническое обслуживание наружных газопроводов</t>
  </si>
  <si>
    <t>ТО внутридомового газ.оборудования</t>
  </si>
  <si>
    <t>Прочистка каналов</t>
  </si>
  <si>
    <t>Аварийно-диспетчерское обслуживание</t>
  </si>
  <si>
    <t xml:space="preserve">приемки оказанных услуг и выполненных работ по содержанию и текущему ремонту
общего имущества в многоквартирном доме №2 по ул.Нефтяников пгт.Ярега
</t>
  </si>
  <si>
    <t>Сдвигание снега в дни снегопада (проезды)</t>
  </si>
  <si>
    <t>12 раз за сезон</t>
  </si>
  <si>
    <t>Сдвигание снега в дни снегопада (крыльца, тротуары)</t>
  </si>
  <si>
    <t>1м3</t>
  </si>
  <si>
    <t>24 раза за сезон</t>
  </si>
  <si>
    <t>Осмотр рулонной кровли</t>
  </si>
  <si>
    <t xml:space="preserve">Очистка водостоков от наледи </t>
  </si>
  <si>
    <t>Очистка внутреннего водостока</t>
  </si>
  <si>
    <t>водосток</t>
  </si>
  <si>
    <t>Смена выключателей</t>
  </si>
  <si>
    <t>Смена патронов</t>
  </si>
  <si>
    <t>Внеплановый осмотр электросетей, армазуры и электрооборудования на лестничных клетках</t>
  </si>
  <si>
    <t>АКТ №1</t>
  </si>
  <si>
    <r>
      <t>1.  Исполнителем   предъявлены   к   приемке   следующие   оказанные   на   основании   Договора   на   содержание   и   ремонт   многоквартирного   дома   №</t>
    </r>
    <r>
      <rPr>
        <u/>
        <sz val="12"/>
        <rFont val="Times New Roman"/>
        <family val="1"/>
        <charset val="204"/>
      </rPr>
      <t xml:space="preserve">      </t>
    </r>
    <r>
      <rPr>
        <sz val="12"/>
        <rFont val="Times New Roman"/>
        <family val="1"/>
        <charset val="204"/>
      </rPr>
      <t xml:space="preserve"> от</t>
    </r>
    <r>
      <rPr>
        <u/>
        <sz val="12"/>
        <rFont val="Times New Roman"/>
        <family val="1"/>
        <charset val="204"/>
      </rPr>
      <t xml:space="preserve">                      </t>
    </r>
    <r>
      <rPr>
        <sz val="12"/>
        <rFont val="Times New Roman"/>
        <family val="1"/>
        <charset val="204"/>
      </rPr>
      <t>20    г. (далее - "Договор") услуги и выполненные работы по содержанию и текущему ремонту общего имущества в многоквартирном доме, расположенном по адресу: г.Ухта, пгт.Ярега, ул.Нефтяников, д.2</t>
    </r>
  </si>
  <si>
    <t>III. Проведение технических осмотров</t>
  </si>
  <si>
    <t>IV. Содержание общего имущества МКД</t>
  </si>
  <si>
    <t>V. Прочие услуги</t>
  </si>
  <si>
    <t>Подметание территории с усовершенствованным покрытием асф.: крыльца, контейнерн пл., проезд, тротуар</t>
  </si>
  <si>
    <t>5 раз в год</t>
  </si>
  <si>
    <t>Очистка чердака, подвала от мусора</t>
  </si>
  <si>
    <t>Установка хомута диаметром до 50 мм</t>
  </si>
  <si>
    <t>Итого затраты за месяц</t>
  </si>
  <si>
    <t>АКТ №2</t>
  </si>
  <si>
    <t>1 м</t>
  </si>
  <si>
    <t xml:space="preserve">Уплотнение сгонов с применением льняной пряди или асбестового шнура (без разборки сгонов) </t>
  </si>
  <si>
    <t>1 соединение</t>
  </si>
  <si>
    <t>АКТ №3</t>
  </si>
  <si>
    <t>III. Содержание общего имущества МКД</t>
  </si>
  <si>
    <t>IV. Прочие услуги</t>
  </si>
  <si>
    <t>АКТ №4</t>
  </si>
  <si>
    <t>Смена арматуры - вентилей и клапанов обратных муфтовых диаметром до 20 мм</t>
  </si>
  <si>
    <t>1 шт</t>
  </si>
  <si>
    <t>АКТ №5</t>
  </si>
  <si>
    <t>АКТ №6</t>
  </si>
  <si>
    <t>АКТ №7</t>
  </si>
  <si>
    <t>АКТ №8</t>
  </si>
  <si>
    <t>Смена арматуры - вентилей и клапанов обратных муфтовых диаметром до 32 мм</t>
  </si>
  <si>
    <t>Подключение и отключение сварочного аппарата</t>
  </si>
  <si>
    <t>АКТ №9</t>
  </si>
  <si>
    <t>АКТ №10</t>
  </si>
  <si>
    <t>АКТ №11</t>
  </si>
  <si>
    <t>АКТ №12</t>
  </si>
  <si>
    <t>Муфта разъемная 20*1/2 НР</t>
  </si>
  <si>
    <t>Муфта 20</t>
  </si>
  <si>
    <t>Внеплановый осмотр кровли рулонной</t>
  </si>
  <si>
    <t>Внеплановый осмотр водопроводов, канализации, отопления в квартирах</t>
  </si>
  <si>
    <t>100 кв.</t>
  </si>
  <si>
    <t>ООО «Движение»</t>
  </si>
  <si>
    <t>м</t>
  </si>
  <si>
    <t>Работа автовышки</t>
  </si>
  <si>
    <t>маш-час</t>
  </si>
  <si>
    <r>
      <t xml:space="preserve">    Собственники помещений в многоквартирном доме, расположенном по адресу: пгт.Ярега, ул.Нефтяников, д.2,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   многоквартирном доме, действующего на основании решения от 06.11.2018г. № 29 стороны, и ООО «Движение», именуемое в дальнейшем "Исполнитель", в лице генерального директора Куканова  Юрия Леонидовича, действующего на основании Устава, с другой стороны, совместно именуемые "Стороны", составили настоящий Акт о нижеследующем:</t>
    </r>
  </si>
  <si>
    <t>2 раза в неделю 52 раза в сезон</t>
  </si>
  <si>
    <t>52 раза за сезон</t>
  </si>
  <si>
    <t>по мере необходимости</t>
  </si>
  <si>
    <t>Подметание снега с тротуара, крылец, конт. площадок, входных площадок</t>
  </si>
  <si>
    <t>Очистка вручную от снега и наледи люков канализационных и водопроводных колодцев</t>
  </si>
  <si>
    <t>Очистка карниза кровли от наледи, снега и сосулек</t>
  </si>
  <si>
    <t>Водоснабжение, канализация</t>
  </si>
  <si>
    <t>Техническое обслуживание внутренних сетей водопровода и канализации</t>
  </si>
  <si>
    <t>руб/м2 в мес</t>
  </si>
  <si>
    <t>Снятие показаний  с общедомовых приборов учета холодной воды</t>
  </si>
  <si>
    <t>Работы по управлению, начислению, сбору платы за содержание и ремонт, и взысканию задолжностей</t>
  </si>
  <si>
    <t>1м2</t>
  </si>
  <si>
    <t>Герметизация стыков трубопроводов</t>
  </si>
  <si>
    <t>1 место</t>
  </si>
  <si>
    <t>Смена дверных приборов /замки навесные)</t>
  </si>
  <si>
    <t>Смена внутренних трубопроводов на полипропиленовые трубы PN 25 Dу20</t>
  </si>
  <si>
    <t>Соединение жил проводов холодной сваркой или опрессованием сечением 2,5 мм2, количество концов жил в коробах до 16</t>
  </si>
  <si>
    <t>1шт</t>
  </si>
  <si>
    <t>Смена плавкой вставки</t>
  </si>
  <si>
    <t xml:space="preserve">Очистка канализационной сети внутренней </t>
  </si>
  <si>
    <t>за период с 01.01.2019 г. по 31.01.2019 г.</t>
  </si>
  <si>
    <r>
      <t xml:space="preserve">    Собственники помещений в многоквартирном доме, расположенном по адресу: пгт.Ярега, ул.Нефтяников, д.2,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   многоквартирном доме, действующего на основании решения от 06.11.2018г. стороны, и ООО «Движение», именуемое в дальнейшем "Исполнитель", в лице генерального директора Куканова  Юрия Леонидовича, действующего на основании Устава, с другой стороны, совместно именуемые "Стороны", составили настоящий Акт о нижеследующем:</t>
    </r>
  </si>
  <si>
    <t>за период с 01.02.2019 г. по 28.02.2019 г.</t>
  </si>
  <si>
    <t>Смена прокладок</t>
  </si>
  <si>
    <t>Ремонт внутренних трубопроводов и стояков д=до 50 мм</t>
  </si>
  <si>
    <t>за период с 01.03.2019 г. по 31.03.2019 г.</t>
  </si>
  <si>
    <t>Изоляция распред. коробки</t>
  </si>
  <si>
    <t>Смена внутренних трубопроводов на полипропиленовые трубы PN 25 Dу25</t>
  </si>
  <si>
    <t>с 21 кв. до подвала</t>
  </si>
  <si>
    <t>Внеплановый осмотр деревянных заполнений проемов</t>
  </si>
  <si>
    <t>Снятие и навеска полотна (без снятия петель)</t>
  </si>
  <si>
    <t>1 полотно</t>
  </si>
  <si>
    <t>4 шт</t>
  </si>
  <si>
    <t>за период с 01.04.2019 г. по 30.04.2019 г.</t>
  </si>
  <si>
    <t>Смена полипропиленовых канализационных труб ПП Dу 100 * 1000</t>
  </si>
  <si>
    <t>Смена полиэтиленовых канализационных труб диаметром до 100 мм (без стоимости креплений)</t>
  </si>
  <si>
    <t>Патрубок компенсационный Dу 100</t>
  </si>
  <si>
    <t>Переход чугун пластик Dу 100</t>
  </si>
  <si>
    <t>Тройник 110</t>
  </si>
  <si>
    <t>Муфта 110</t>
  </si>
  <si>
    <t>Отвод  110-45</t>
  </si>
  <si>
    <t>Установка заглушек диаметром трубопроводов до 100 мм</t>
  </si>
  <si>
    <t>заглушка</t>
  </si>
  <si>
    <t>Ремонт и регулировка доводчика (со стоимостью доводчика)</t>
  </si>
  <si>
    <t>1шт.</t>
  </si>
  <si>
    <t>Ремонт дверных полотен (под.№7)</t>
  </si>
  <si>
    <t>за период с 01.05.2019 г. по 31.05.2019 г.</t>
  </si>
  <si>
    <t>Осмотр пластиковых заполнений проемов</t>
  </si>
  <si>
    <t>Смена внутренних трубопроводов на полипропиленовые трубы PN 20 Dу20</t>
  </si>
  <si>
    <t>за период с 01.06.2019 г. по 30.06.2019 г.</t>
  </si>
  <si>
    <t>Смена светодиодного светильника внутреннего освещения ( со стоимостью светильника)</t>
  </si>
  <si>
    <t xml:space="preserve">Внеплановый осмотр водопроводов, канализации, отопления </t>
  </si>
  <si>
    <t>100 шт</t>
  </si>
  <si>
    <t>Смена арматуры - вентилей и клапанов обратных муфтовых диаметром до 20 мм (без материалов)</t>
  </si>
  <si>
    <t>Организация и содержание мест накопления ТКО</t>
  </si>
  <si>
    <t>13 раз</t>
  </si>
  <si>
    <t>8 раз</t>
  </si>
  <si>
    <t>2 раза</t>
  </si>
  <si>
    <t xml:space="preserve">1 раз </t>
  </si>
  <si>
    <t>21 раз</t>
  </si>
  <si>
    <t>5 раз</t>
  </si>
  <si>
    <t>25 раз</t>
  </si>
  <si>
    <t>7 раз</t>
  </si>
  <si>
    <t xml:space="preserve">2 раза </t>
  </si>
  <si>
    <t>2,11,13,15, 17, 27 .03.2019</t>
  </si>
  <si>
    <t>11 и 25.01.2019</t>
  </si>
  <si>
    <t>2. Всего за период с 01.01.2019 по 31.01.2019 выполнено работ (оказано услуг) на общую сумму: 111317,80 руб.</t>
  </si>
  <si>
    <t>(сто одиннадцать тысяч триста семнадцать рублей 80 копеек)</t>
  </si>
  <si>
    <t>1 раз</t>
  </si>
  <si>
    <t>2. Всего за период с 01.02.2019 по 28.02.2019 выполнено работ (оказано услуг) на общую сумму: 124694,25 руб.</t>
  </si>
  <si>
    <t>(сто двадцать четыре тысячи шестьсот девяносто четыре рубля 25 копеек)</t>
  </si>
  <si>
    <t>2. Всего за период с 01.03.2019 по 31.03.2019 выполнено работ (оказано услуг) на общую сумму: 121936,00руб.</t>
  </si>
  <si>
    <t>(сто двадцать одна тысяча девятьсот тридцать шесть рублей 00 копеек)</t>
  </si>
  <si>
    <t>2. Всего за период с 01.04.2019 по 30.04.2019 выполнено работ (оказано услуг) на общую сумму: 100288,28 руб.</t>
  </si>
  <si>
    <t>(сто тысяч двести восемьдесят восемь рублей 28 копеек)</t>
  </si>
  <si>
    <t>+</t>
  </si>
  <si>
    <t>2. Всего за период с 01.05.2019 по 31.05.2019 выполнено работ (оказано услуг) на общую сумму: 158511,06 руб.</t>
  </si>
  <si>
    <t>(сто сорок восемь тысяч пятьсот одиннадцать рублей 06 копеек)</t>
  </si>
  <si>
    <t>за период с 01.07.2019 г. по 31.07.2019 г.</t>
  </si>
  <si>
    <t>1 м-час</t>
  </si>
  <si>
    <t>2. Всего за период с 01.06.2019 по 30.06.2019 выполнено работ (оказано услуг) на общую сумму: 82711,73 руб.</t>
  </si>
  <si>
    <t>(восемдесят две тысячи семьсот одиннадцать рублей 73 копейки)</t>
  </si>
  <si>
    <t>6шт</t>
  </si>
  <si>
    <t>4м-кв.3 стояк ГВС</t>
  </si>
  <si>
    <t>Колено 20-90</t>
  </si>
  <si>
    <t>3 шт</t>
  </si>
  <si>
    <t>м.п.</t>
  </si>
  <si>
    <t>18 м.п.</t>
  </si>
  <si>
    <t>Герметизация межпанельных швов (кв.28, 107, под 2 и 8)</t>
  </si>
  <si>
    <t>2маш-часа</t>
  </si>
  <si>
    <t>Смена гидроизола на парапете (кв.28)</t>
  </si>
  <si>
    <t>10 м2</t>
  </si>
  <si>
    <t>Изол</t>
  </si>
  <si>
    <t>Пропан</t>
  </si>
  <si>
    <t>за период с 01.08.2019 г. по 31.08.2019 г.</t>
  </si>
  <si>
    <r>
      <t xml:space="preserve">    Собственники помещений в многоквартирном доме, расположенном по адресу: пгт.Ярега, ул.Нефтяников, д.2,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   многоквартирном доме, действующего на основании решения от 06.08.2018г. стороны, и ООО «Движение», именуемое в дальнейшем "Исполнитель", в лице генерального директора Куканова  Юрия Леонидовича, действующего на основании Устава, с другой стороны, совместно именуемые "Стороны", составили настоящий Акт о нижеследующем:</t>
    </r>
  </si>
  <si>
    <t>Герметизация межпанельных швов (кв.28, 107, под 2 и 8), кв.48</t>
  </si>
  <si>
    <t>Покраска плинтусов со 2 по 5 этаж, под.№1</t>
  </si>
  <si>
    <t xml:space="preserve">10 м2 </t>
  </si>
  <si>
    <t>Дезинсекция от мурвьев под.№4</t>
  </si>
  <si>
    <t>2. Всего за период с 01.08.2019 по 31.08.2019 выполнено работ (оказано услуг) на общую сумму: 93711,64 руб.</t>
  </si>
  <si>
    <t>(девяносто три тысячи семьсот одиннадцать рублей 64 копейки)</t>
  </si>
  <si>
    <t>Внеплановый осмотр рулонной кровли</t>
  </si>
  <si>
    <t>за период с 01.09.2019 г. по 30.09.2019 г.</t>
  </si>
  <si>
    <t>14 шт</t>
  </si>
  <si>
    <t>Установка хомута диаметром до 100 мм</t>
  </si>
  <si>
    <t>Внеплановая проверка вентканалов</t>
  </si>
  <si>
    <t>8 м, ГВС с 88 кв. по 85 кв.</t>
  </si>
  <si>
    <t>за период с 01.10.2019 г. по 31.10.2019 г.</t>
  </si>
  <si>
    <t>Смена внутренних трубопроводов из стальных труб диаметром до 25 мм (без стоимости креплений)</t>
  </si>
  <si>
    <t>ГВС в подвале, 3м</t>
  </si>
  <si>
    <t>стояк ГВС с 113 кв.до подвала, 12 м</t>
  </si>
  <si>
    <t>кв.27 стояк ХВС, 3 м</t>
  </si>
  <si>
    <t>Демонтаж бетонной стяжки, плитки керам.</t>
  </si>
  <si>
    <t>кв.107</t>
  </si>
  <si>
    <t>ГВС подвал, кв.45, кв 33, кв.107</t>
  </si>
  <si>
    <t>Смена полипропиленовых канализационных труб ПП Dу 100 * 2000</t>
  </si>
  <si>
    <t>Патрубок компенсационный Dу 1110</t>
  </si>
  <si>
    <t>Переход чугун пластик Dу 110</t>
  </si>
  <si>
    <t>Манжета 110</t>
  </si>
  <si>
    <t>кв.77</t>
  </si>
  <si>
    <t>кв.27</t>
  </si>
  <si>
    <t>Герметизация межпанельных швов ( альпинисты)</t>
  </si>
  <si>
    <t>9 раз</t>
  </si>
  <si>
    <t>18 м.п. и 1 м.п.-кв.73</t>
  </si>
  <si>
    <t>за период с 01.11.2019 г. по 30.11.2019 г.</t>
  </si>
  <si>
    <t>0,5ч</t>
  </si>
  <si>
    <t>6 раз</t>
  </si>
  <si>
    <t>3 раза</t>
  </si>
  <si>
    <t>Фанера</t>
  </si>
  <si>
    <t>кв.74 ГВС</t>
  </si>
  <si>
    <t>Ремонт штукатурки внутренних стен по камню и бетону цементно-известковым раствором площадью до 10 м2 толщиной слоя до 20 мм</t>
  </si>
  <si>
    <t>кв.77, 5 м2</t>
  </si>
  <si>
    <t>под.№3</t>
  </si>
  <si>
    <t>за период с 01.12.2019 г. по 31.12.2019 г.</t>
  </si>
  <si>
    <t>1,3 часа</t>
  </si>
  <si>
    <t>Переход чугун пластик Dу 50</t>
  </si>
  <si>
    <t>Переустановка счетчика ГВС</t>
  </si>
  <si>
    <t>Устройство отлива на парапетной плите</t>
  </si>
  <si>
    <t>10 м</t>
  </si>
  <si>
    <t>под.№8</t>
  </si>
  <si>
    <t>с кв.№ 64 до 1 эт.</t>
  </si>
  <si>
    <t>кв.№64</t>
  </si>
  <si>
    <t>кв.№14</t>
  </si>
  <si>
    <t>п/с кв.55</t>
  </si>
  <si>
    <t>2. Всего за период с 01.12.2019 по 31.12.2019 выполнено работ (оказано услуг) на общую сумму: 114342,39 руб.</t>
  </si>
  <si>
    <t>(сто четырнадцать тысяч триста сорок два рубля 39 копеек)</t>
  </si>
  <si>
    <t>Ремонт входных площадок под. № 3,4,6</t>
  </si>
  <si>
    <t>2. Всего за период с 01.11.2019 по 30.11.2019 выполнено работ (оказано услуг) на общую сумму: 95290,35 руб.</t>
  </si>
  <si>
    <t xml:space="preserve">(девяносто пять тысяч двести девяносто рублей 35 копеек)  </t>
  </si>
  <si>
    <t>2. Всего за период с 01.07.2019 по 31.07.2019 выполнено работ (оказано услуг) на общую сумму: 249153,80 руб.</t>
  </si>
  <si>
    <t>(двести сорок девять тысяч сто пятьдесят три рубля 80 копеек)</t>
  </si>
  <si>
    <t>2. Всего за период с 01.10.2019 по 31.10.2019 выполнено работ (оказано услуг) на общую сумму: 124613,72 руб.</t>
  </si>
  <si>
    <t>(сто двадцать четыре тысячи шестьсот тринадцать рублей 72 копейки)</t>
  </si>
  <si>
    <t>2. Всего за период с 01.09.2019 по 30.09.2019 выполнено работ (оказано услуг) на общую сумму: 211233,08 руб.</t>
  </si>
  <si>
    <t>(двести одиннадцать тысяч двести тридцать три рубля 08 копеек)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</si>
</sst>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.5"/>
      <name val="Times New Roman"/>
      <family val="1"/>
      <charset val="204"/>
    </font>
    <font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b/>
      <u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8" fillId="0" borderId="0"/>
    <xf numFmtId="0" fontId="8" fillId="0" borderId="0"/>
  </cellStyleXfs>
  <cellXfs count="228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wrapText="1"/>
    </xf>
    <xf numFmtId="0" fontId="2" fillId="0" borderId="0" xfId="0" applyFont="1"/>
    <xf numFmtId="0" fontId="3" fillId="0" borderId="0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0" fillId="0" borderId="0" xfId="0" applyFill="1"/>
    <xf numFmtId="0" fontId="0" fillId="0" borderId="0" xfId="0" applyBorder="1"/>
    <xf numFmtId="0" fontId="9" fillId="0" borderId="0" xfId="0" applyFont="1" applyAlignment="1">
      <alignment wrapText="1"/>
    </xf>
    <xf numFmtId="0" fontId="2" fillId="0" borderId="0" xfId="0" applyFont="1" applyAlignment="1">
      <alignment horizontal="justify"/>
    </xf>
    <xf numFmtId="0" fontId="2" fillId="0" borderId="0" xfId="0" applyFont="1" applyAlignment="1">
      <alignment horizontal="center" wrapText="1"/>
    </xf>
    <xf numFmtId="4" fontId="11" fillId="0" borderId="3" xfId="0" applyNumberFormat="1" applyFont="1" applyFill="1" applyBorder="1" applyAlignment="1">
      <alignment horizontal="center" vertical="center"/>
    </xf>
    <xf numFmtId="4" fontId="11" fillId="0" borderId="3" xfId="0" applyNumberFormat="1" applyFont="1" applyFill="1" applyBorder="1" applyAlignment="1">
      <alignment horizontal="center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4" fontId="11" fillId="2" borderId="3" xfId="0" applyNumberFormat="1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5" fillId="0" borderId="0" xfId="0" applyFont="1"/>
    <xf numFmtId="0" fontId="11" fillId="0" borderId="3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wrapText="1"/>
    </xf>
    <xf numFmtId="4" fontId="13" fillId="0" borderId="3" xfId="0" applyNumberFormat="1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left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3" xfId="0" applyFont="1" applyBorder="1"/>
    <xf numFmtId="0" fontId="14" fillId="0" borderId="3" xfId="0" applyFont="1" applyFill="1" applyBorder="1"/>
    <xf numFmtId="4" fontId="11" fillId="2" borderId="3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wrapText="1"/>
    </xf>
    <xf numFmtId="1" fontId="11" fillId="0" borderId="3" xfId="0" applyNumberFormat="1" applyFont="1" applyBorder="1" applyAlignment="1">
      <alignment horizontal="center" vertical="center" wrapText="1"/>
    </xf>
    <xf numFmtId="0" fontId="11" fillId="0" borderId="3" xfId="3" applyFont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wrapText="1"/>
    </xf>
    <xf numFmtId="0" fontId="13" fillId="0" borderId="3" xfId="0" applyFont="1" applyFill="1" applyBorder="1" applyAlignment="1">
      <alignment horizontal="left"/>
    </xf>
    <xf numFmtId="0" fontId="13" fillId="0" borderId="3" xfId="0" applyFont="1" applyFill="1" applyBorder="1" applyAlignment="1">
      <alignment horizont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wrapText="1"/>
    </xf>
    <xf numFmtId="0" fontId="11" fillId="0" borderId="3" xfId="0" applyFont="1" applyBorder="1"/>
    <xf numFmtId="0" fontId="11" fillId="0" borderId="3" xfId="0" applyNumberFormat="1" applyFont="1" applyFill="1" applyBorder="1" applyAlignment="1" applyProtection="1">
      <alignment horizontal="left" vertical="center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Border="1" applyAlignment="1">
      <alignment horizontal="left" wrapText="1"/>
    </xf>
    <xf numFmtId="0" fontId="13" fillId="0" borderId="3" xfId="0" applyFont="1" applyFill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11" fillId="2" borderId="3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top" wrapText="1"/>
    </xf>
    <xf numFmtId="0" fontId="13" fillId="0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4" fontId="11" fillId="0" borderId="0" xfId="0" applyNumberFormat="1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wrapText="1"/>
    </xf>
    <xf numFmtId="0" fontId="12" fillId="0" borderId="3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center" vertical="center"/>
    </xf>
    <xf numFmtId="4" fontId="11" fillId="0" borderId="7" xfId="0" applyNumberFormat="1" applyFont="1" applyFill="1" applyBorder="1" applyAlignment="1">
      <alignment horizontal="center" vertical="center" wrapText="1"/>
    </xf>
    <xf numFmtId="4" fontId="11" fillId="0" borderId="7" xfId="0" applyNumberFormat="1" applyFont="1" applyFill="1" applyBorder="1" applyAlignment="1">
      <alignment horizontal="center" vertical="center"/>
    </xf>
    <xf numFmtId="4" fontId="11" fillId="0" borderId="12" xfId="0" applyNumberFormat="1" applyFont="1" applyFill="1" applyBorder="1" applyAlignment="1">
      <alignment horizontal="center" vertical="center"/>
    </xf>
    <xf numFmtId="4" fontId="11" fillId="0" borderId="13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left" vertical="center"/>
    </xf>
    <xf numFmtId="4" fontId="17" fillId="0" borderId="7" xfId="0" applyNumberFormat="1" applyFont="1" applyFill="1" applyBorder="1" applyAlignment="1">
      <alignment horizontal="center" vertical="center" wrapText="1"/>
    </xf>
    <xf numFmtId="4" fontId="11" fillId="0" borderId="14" xfId="0" applyNumberFormat="1" applyFont="1" applyFill="1" applyBorder="1" applyAlignment="1">
      <alignment horizontal="center" vertical="center"/>
    </xf>
    <xf numFmtId="4" fontId="17" fillId="0" borderId="3" xfId="0" applyNumberFormat="1" applyFont="1" applyFill="1" applyBorder="1" applyAlignment="1">
      <alignment horizontal="center" vertical="center" wrapText="1"/>
    </xf>
    <xf numFmtId="4" fontId="11" fillId="0" borderId="15" xfId="0" applyNumberFormat="1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center" vertical="center"/>
    </xf>
    <xf numFmtId="4" fontId="11" fillId="0" borderId="10" xfId="0" applyNumberFormat="1" applyFont="1" applyFill="1" applyBorder="1" applyAlignment="1">
      <alignment horizontal="center" vertical="center" wrapText="1"/>
    </xf>
    <xf numFmtId="4" fontId="11" fillId="0" borderId="10" xfId="0" applyNumberFormat="1" applyFont="1" applyFill="1" applyBorder="1" applyAlignment="1">
      <alignment horizontal="center" vertical="center"/>
    </xf>
    <xf numFmtId="4" fontId="11" fillId="0" borderId="0" xfId="0" applyNumberFormat="1" applyFont="1" applyFill="1" applyBorder="1" applyAlignment="1">
      <alignment horizontal="center" vertical="center"/>
    </xf>
    <xf numFmtId="4" fontId="11" fillId="0" borderId="16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 wrapText="1"/>
    </xf>
    <xf numFmtId="4" fontId="11" fillId="0" borderId="5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left" vertical="center" wrapText="1"/>
    </xf>
    <xf numFmtId="4" fontId="11" fillId="2" borderId="5" xfId="0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 applyProtection="1">
      <alignment horizontal="center" vertical="center"/>
    </xf>
    <xf numFmtId="0" fontId="11" fillId="0" borderId="3" xfId="0" applyNumberFormat="1" applyFont="1" applyFill="1" applyBorder="1" applyAlignment="1" applyProtection="1">
      <alignment horizontal="left" vertical="center"/>
    </xf>
    <xf numFmtId="0" fontId="11" fillId="2" borderId="3" xfId="0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left" vertical="center" wrapText="1"/>
    </xf>
    <xf numFmtId="0" fontId="11" fillId="2" borderId="10" xfId="0" applyFont="1" applyFill="1" applyBorder="1" applyAlignment="1">
      <alignment horizontal="center" vertical="center"/>
    </xf>
    <xf numFmtId="4" fontId="11" fillId="2" borderId="10" xfId="0" applyNumberFormat="1" applyFont="1" applyFill="1" applyBorder="1" applyAlignment="1">
      <alignment horizontal="center" vertical="center" wrapText="1"/>
    </xf>
    <xf numFmtId="4" fontId="11" fillId="2" borderId="10" xfId="0" applyNumberFormat="1" applyFont="1" applyFill="1" applyBorder="1" applyAlignment="1">
      <alignment horizontal="center" vertical="center"/>
    </xf>
    <xf numFmtId="4" fontId="11" fillId="2" borderId="0" xfId="0" applyNumberFormat="1" applyFont="1" applyFill="1" applyBorder="1" applyAlignment="1">
      <alignment horizontal="center" vertical="center"/>
    </xf>
    <xf numFmtId="4" fontId="11" fillId="2" borderId="16" xfId="0" applyNumberFormat="1" applyFont="1" applyFill="1" applyBorder="1" applyAlignment="1">
      <alignment horizontal="center" vertical="center"/>
    </xf>
    <xf numFmtId="4" fontId="11" fillId="0" borderId="11" xfId="0" applyNumberFormat="1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4" fontId="11" fillId="0" borderId="6" xfId="0" applyNumberFormat="1" applyFont="1" applyFill="1" applyBorder="1" applyAlignment="1">
      <alignment horizontal="center" vertical="center" wrapText="1"/>
    </xf>
    <xf numFmtId="4" fontId="13" fillId="0" borderId="4" xfId="0" applyNumberFormat="1" applyFont="1" applyFill="1" applyBorder="1" applyAlignment="1">
      <alignment horizontal="center" vertical="center" wrapText="1"/>
    </xf>
    <xf numFmtId="4" fontId="13" fillId="2" borderId="6" xfId="0" applyNumberFormat="1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4" fontId="20" fillId="2" borderId="3" xfId="0" applyNumberFormat="1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wrapText="1"/>
    </xf>
    <xf numFmtId="4" fontId="20" fillId="2" borderId="0" xfId="0" applyNumberFormat="1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left" vertical="center" wrapText="1"/>
    </xf>
    <xf numFmtId="4" fontId="11" fillId="0" borderId="18" xfId="0" applyNumberFormat="1" applyFont="1" applyFill="1" applyBorder="1" applyAlignment="1">
      <alignment horizontal="center" vertical="center" wrapText="1"/>
    </xf>
    <xf numFmtId="4" fontId="11" fillId="0" borderId="18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left" vertical="center" wrapText="1"/>
    </xf>
    <xf numFmtId="0" fontId="11" fillId="2" borderId="17" xfId="0" applyFont="1" applyFill="1" applyBorder="1" applyAlignment="1">
      <alignment horizontal="center" vertical="center"/>
    </xf>
    <xf numFmtId="4" fontId="11" fillId="2" borderId="17" xfId="0" applyNumberFormat="1" applyFont="1" applyFill="1" applyBorder="1" applyAlignment="1">
      <alignment horizontal="center" vertical="center"/>
    </xf>
    <xf numFmtId="4" fontId="11" fillId="2" borderId="18" xfId="0" applyNumberFormat="1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4" fontId="11" fillId="2" borderId="7" xfId="0" applyNumberFormat="1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left" vertical="center" wrapText="1"/>
    </xf>
    <xf numFmtId="0" fontId="20" fillId="2" borderId="7" xfId="0" applyFont="1" applyFill="1" applyBorder="1" applyAlignment="1">
      <alignment horizontal="left" vertical="center" wrapText="1"/>
    </xf>
    <xf numFmtId="0" fontId="20" fillId="2" borderId="7" xfId="0" applyFont="1" applyFill="1" applyBorder="1" applyAlignment="1">
      <alignment horizontal="center" vertical="center"/>
    </xf>
    <xf numFmtId="4" fontId="20" fillId="2" borderId="7" xfId="0" applyNumberFormat="1" applyFont="1" applyFill="1" applyBorder="1" applyAlignment="1">
      <alignment horizontal="center" vertical="center" wrapText="1"/>
    </xf>
    <xf numFmtId="4" fontId="20" fillId="2" borderId="7" xfId="0" applyNumberFormat="1" applyFont="1" applyFill="1" applyBorder="1" applyAlignment="1">
      <alignment horizontal="center" vertical="center"/>
    </xf>
    <xf numFmtId="4" fontId="20" fillId="3" borderId="7" xfId="0" applyNumberFormat="1" applyFont="1" applyFill="1" applyBorder="1" applyAlignment="1">
      <alignment horizontal="center" vertical="center" wrapText="1"/>
    </xf>
    <xf numFmtId="4" fontId="21" fillId="2" borderId="7" xfId="0" applyNumberFormat="1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/>
    </xf>
    <xf numFmtId="0" fontId="20" fillId="2" borderId="3" xfId="0" applyFont="1" applyFill="1" applyBorder="1" applyAlignment="1">
      <alignment horizontal="left" vertical="center" wrapText="1"/>
    </xf>
    <xf numFmtId="4" fontId="20" fillId="2" borderId="3" xfId="0" applyNumberFormat="1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horizontal="left" vertical="center" wrapText="1"/>
    </xf>
    <xf numFmtId="4" fontId="11" fillId="2" borderId="7" xfId="0" applyNumberFormat="1" applyFont="1" applyFill="1" applyBorder="1" applyAlignment="1">
      <alignment horizontal="center" vertical="center" wrapText="1"/>
    </xf>
    <xf numFmtId="4" fontId="11" fillId="2" borderId="0" xfId="0" applyNumberFormat="1" applyFont="1" applyFill="1" applyBorder="1" applyAlignment="1">
      <alignment horizontal="center" vertical="center" wrapText="1"/>
    </xf>
    <xf numFmtId="4" fontId="11" fillId="2" borderId="14" xfId="0" applyNumberFormat="1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left" vertical="center" wrapText="1"/>
    </xf>
    <xf numFmtId="0" fontId="11" fillId="3" borderId="7" xfId="0" applyFont="1" applyFill="1" applyBorder="1" applyAlignment="1">
      <alignment horizontal="center" vertical="center"/>
    </xf>
    <xf numFmtId="4" fontId="11" fillId="3" borderId="7" xfId="0" applyNumberFormat="1" applyFont="1" applyFill="1" applyBorder="1" applyAlignment="1">
      <alignment horizontal="center" vertical="center"/>
    </xf>
    <xf numFmtId="4" fontId="11" fillId="3" borderId="7" xfId="0" applyNumberFormat="1" applyFont="1" applyFill="1" applyBorder="1" applyAlignment="1">
      <alignment horizontal="center" vertical="center" wrapText="1"/>
    </xf>
    <xf numFmtId="4" fontId="11" fillId="2" borderId="13" xfId="0" applyNumberFormat="1" applyFont="1" applyFill="1" applyBorder="1" applyAlignment="1">
      <alignment horizontal="center" vertical="center" wrapText="1"/>
    </xf>
    <xf numFmtId="4" fontId="20" fillId="3" borderId="3" xfId="0" applyNumberFormat="1" applyFont="1" applyFill="1" applyBorder="1" applyAlignment="1">
      <alignment horizontal="center" vertical="center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12" fillId="2" borderId="3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4" fontId="11" fillId="3" borderId="3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4" fontId="17" fillId="2" borderId="7" xfId="0" applyNumberFormat="1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center" wrapText="1"/>
    </xf>
    <xf numFmtId="0" fontId="13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2" fontId="11" fillId="0" borderId="4" xfId="0" applyNumberFormat="1" applyFont="1" applyFill="1" applyBorder="1" applyAlignment="1">
      <alignment horizontal="center" vertical="center" wrapText="1"/>
    </xf>
    <xf numFmtId="14" fontId="11" fillId="2" borderId="7" xfId="0" applyNumberFormat="1" applyFont="1" applyFill="1" applyBorder="1" applyAlignment="1">
      <alignment horizontal="left" vertical="center" wrapText="1"/>
    </xf>
    <xf numFmtId="14" fontId="11" fillId="0" borderId="7" xfId="0" applyNumberFormat="1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4" fontId="17" fillId="2" borderId="3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 wrapText="1"/>
    </xf>
    <xf numFmtId="4" fontId="11" fillId="0" borderId="2" xfId="0" applyNumberFormat="1" applyFont="1" applyFill="1" applyBorder="1" applyAlignment="1">
      <alignment horizontal="center" vertical="center" wrapText="1"/>
    </xf>
    <xf numFmtId="4" fontId="11" fillId="0" borderId="2" xfId="0" applyNumberFormat="1" applyFont="1" applyFill="1" applyBorder="1" applyAlignment="1">
      <alignment horizontal="center" vertical="center"/>
    </xf>
    <xf numFmtId="4" fontId="11" fillId="0" borderId="9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4" fontId="11" fillId="0" borderId="4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19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wrapText="1"/>
    </xf>
    <xf numFmtId="0" fontId="14" fillId="0" borderId="1" xfId="0" applyFont="1" applyBorder="1" applyAlignment="1">
      <alignment wrapText="1"/>
    </xf>
    <xf numFmtId="0" fontId="2" fillId="0" borderId="0" xfId="0" applyFont="1" applyAlignment="1">
      <alignment horizontal="left"/>
    </xf>
    <xf numFmtId="0" fontId="12" fillId="0" borderId="8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wrapText="1"/>
    </xf>
    <xf numFmtId="0" fontId="13" fillId="0" borderId="6" xfId="0" applyFont="1" applyFill="1" applyBorder="1" applyAlignment="1">
      <alignment horizontal="center" wrapText="1"/>
    </xf>
    <xf numFmtId="0" fontId="13" fillId="0" borderId="4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/>
    <xf numFmtId="0" fontId="13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2 2" xfId="3"/>
    <cellStyle name="Обычный_Соддома № 13 по ул.Чибьюска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24"/>
  <sheetViews>
    <sheetView topLeftCell="A51" workbookViewId="0">
      <selection activeCell="B27" sqref="B27:I27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0.85546875" hidden="1" customWidth="1"/>
    <col min="6" max="6" width="16.57031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170</v>
      </c>
      <c r="I1" s="26"/>
      <c r="J1" s="1"/>
      <c r="K1" s="1"/>
      <c r="L1" s="1"/>
      <c r="M1" s="1"/>
    </row>
    <row r="2" spans="1:13" ht="15.75" customHeight="1">
      <c r="A2" s="28" t="s">
        <v>60</v>
      </c>
      <c r="J2" s="2"/>
      <c r="K2" s="2"/>
      <c r="L2" s="2"/>
      <c r="M2" s="2"/>
    </row>
    <row r="3" spans="1:13" ht="15.75" customHeight="1">
      <c r="A3" s="214" t="s">
        <v>135</v>
      </c>
      <c r="B3" s="214"/>
      <c r="C3" s="214"/>
      <c r="D3" s="214"/>
      <c r="E3" s="214"/>
      <c r="F3" s="214"/>
      <c r="G3" s="214"/>
      <c r="H3" s="214"/>
      <c r="I3" s="214"/>
      <c r="J3" s="3"/>
      <c r="K3" s="3"/>
      <c r="L3" s="3"/>
    </row>
    <row r="4" spans="1:13" ht="31.5" customHeight="1">
      <c r="A4" s="215" t="s">
        <v>122</v>
      </c>
      <c r="B4" s="215"/>
      <c r="C4" s="215"/>
      <c r="D4" s="215"/>
      <c r="E4" s="215"/>
      <c r="F4" s="215"/>
      <c r="G4" s="215"/>
      <c r="H4" s="215"/>
      <c r="I4" s="215"/>
    </row>
    <row r="5" spans="1:13" ht="15.75" customHeight="1">
      <c r="A5" s="214" t="s">
        <v>195</v>
      </c>
      <c r="B5" s="218"/>
      <c r="C5" s="218"/>
      <c r="D5" s="218"/>
      <c r="E5" s="218"/>
      <c r="F5" s="218"/>
      <c r="G5" s="218"/>
      <c r="H5" s="218"/>
      <c r="I5" s="218"/>
      <c r="J5" s="2"/>
      <c r="K5" s="2"/>
      <c r="L5" s="2"/>
      <c r="M5" s="2"/>
    </row>
    <row r="6" spans="1:13" ht="15.75" customHeight="1">
      <c r="A6" s="2"/>
      <c r="B6" s="57"/>
      <c r="C6" s="57"/>
      <c r="D6" s="57"/>
      <c r="E6" s="57"/>
      <c r="F6" s="68"/>
      <c r="G6" s="57"/>
      <c r="H6" s="68"/>
      <c r="I6" s="30">
        <v>43496</v>
      </c>
      <c r="J6" s="2"/>
      <c r="K6" s="2"/>
      <c r="L6" s="2"/>
      <c r="M6" s="2"/>
    </row>
    <row r="7" spans="1:13" ht="15.75" customHeight="1">
      <c r="B7" s="59"/>
      <c r="C7" s="59"/>
      <c r="D7" s="59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16" t="s">
        <v>196</v>
      </c>
      <c r="B8" s="216"/>
      <c r="C8" s="216"/>
      <c r="D8" s="216"/>
      <c r="E8" s="216"/>
      <c r="F8" s="216"/>
      <c r="G8" s="216"/>
      <c r="H8" s="216"/>
      <c r="I8" s="216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17" t="s">
        <v>136</v>
      </c>
      <c r="B10" s="217"/>
      <c r="C10" s="217"/>
      <c r="D10" s="217"/>
      <c r="E10" s="217"/>
      <c r="F10" s="217"/>
      <c r="G10" s="217"/>
      <c r="H10" s="217"/>
      <c r="I10" s="217"/>
      <c r="J10" s="2"/>
      <c r="K10" s="2"/>
      <c r="L10" s="2"/>
      <c r="M10" s="2"/>
    </row>
    <row r="11" spans="1:13" ht="15.75">
      <c r="A11" s="4"/>
    </row>
    <row r="12" spans="1:13" ht="89.25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219" t="s">
        <v>57</v>
      </c>
      <c r="B14" s="219"/>
      <c r="C14" s="219"/>
      <c r="D14" s="219"/>
      <c r="E14" s="219"/>
      <c r="F14" s="219"/>
      <c r="G14" s="219"/>
      <c r="H14" s="219"/>
      <c r="I14" s="219"/>
      <c r="J14" s="8"/>
      <c r="K14" s="8"/>
      <c r="L14" s="8"/>
      <c r="M14" s="8"/>
    </row>
    <row r="15" spans="1:13" ht="15.75" customHeight="1">
      <c r="A15" s="220" t="s">
        <v>4</v>
      </c>
      <c r="B15" s="220"/>
      <c r="C15" s="220"/>
      <c r="D15" s="220"/>
      <c r="E15" s="220"/>
      <c r="F15" s="220"/>
      <c r="G15" s="220"/>
      <c r="H15" s="220"/>
      <c r="I15" s="220"/>
      <c r="J15" s="8"/>
      <c r="K15" s="8"/>
      <c r="L15" s="8"/>
      <c r="M15" s="8"/>
    </row>
    <row r="16" spans="1:13" ht="15.75" customHeight="1">
      <c r="A16" s="29">
        <v>1</v>
      </c>
      <c r="B16" s="32" t="s">
        <v>82</v>
      </c>
      <c r="C16" s="138" t="s">
        <v>89</v>
      </c>
      <c r="D16" s="32" t="s">
        <v>230</v>
      </c>
      <c r="E16" s="152">
        <v>129.88</v>
      </c>
      <c r="F16" s="139">
        <f>SUM(E16*156/100)</f>
        <v>202.61279999999999</v>
      </c>
      <c r="G16" s="139">
        <v>239.2</v>
      </c>
      <c r="H16" s="86">
        <f t="shared" ref="H16:H27" si="0">SUM(F16*G16/1000)</f>
        <v>48.464981759999993</v>
      </c>
      <c r="I16" s="13">
        <f>F16/12*G16</f>
        <v>4038.7484799999997</v>
      </c>
      <c r="J16" s="8"/>
      <c r="K16" s="8"/>
      <c r="L16" s="8"/>
      <c r="M16" s="8"/>
    </row>
    <row r="17" spans="1:13" ht="15.75" customHeight="1">
      <c r="A17" s="29">
        <v>2</v>
      </c>
      <c r="B17" s="32" t="s">
        <v>85</v>
      </c>
      <c r="C17" s="138" t="s">
        <v>89</v>
      </c>
      <c r="D17" s="32" t="s">
        <v>231</v>
      </c>
      <c r="E17" s="152">
        <v>519.52</v>
      </c>
      <c r="F17" s="139">
        <f>SUM(E17*104/100)</f>
        <v>540.30079999999998</v>
      </c>
      <c r="G17" s="139">
        <v>239.2</v>
      </c>
      <c r="H17" s="86">
        <f t="shared" si="0"/>
        <v>129.23995135999999</v>
      </c>
      <c r="I17" s="13">
        <f>F17/12*G17</f>
        <v>10769.995946666666</v>
      </c>
      <c r="J17" s="22"/>
      <c r="K17" s="8"/>
      <c r="L17" s="8"/>
      <c r="M17" s="8"/>
    </row>
    <row r="18" spans="1:13" ht="15.75" customHeight="1">
      <c r="A18" s="29">
        <v>3</v>
      </c>
      <c r="B18" s="32" t="s">
        <v>86</v>
      </c>
      <c r="C18" s="138" t="s">
        <v>89</v>
      </c>
      <c r="D18" s="32" t="s">
        <v>232</v>
      </c>
      <c r="E18" s="152">
        <f>SUM(E16+E17)</f>
        <v>649.4</v>
      </c>
      <c r="F18" s="139">
        <f>SUM(E18*18/100)</f>
        <v>116.892</v>
      </c>
      <c r="G18" s="139">
        <v>688.14</v>
      </c>
      <c r="H18" s="86">
        <f t="shared" si="0"/>
        <v>80.438060879999995</v>
      </c>
      <c r="I18" s="13">
        <f>F18/12*G18</f>
        <v>6703.1717399999998</v>
      </c>
      <c r="J18" s="22"/>
      <c r="K18" s="8"/>
      <c r="L18" s="8"/>
      <c r="M18" s="8"/>
    </row>
    <row r="19" spans="1:13" ht="19.5" hidden="1" customHeight="1">
      <c r="A19" s="29"/>
      <c r="B19" s="32" t="s">
        <v>90</v>
      </c>
      <c r="C19" s="138" t="s">
        <v>91</v>
      </c>
      <c r="D19" s="32" t="s">
        <v>92</v>
      </c>
      <c r="E19" s="152">
        <v>124.8</v>
      </c>
      <c r="F19" s="139">
        <f>SUM(E19/10)</f>
        <v>12.48</v>
      </c>
      <c r="G19" s="139">
        <v>232.1</v>
      </c>
      <c r="H19" s="86">
        <f t="shared" si="0"/>
        <v>2.8966080000000001</v>
      </c>
      <c r="I19" s="13">
        <f>F19/2*G19</f>
        <v>1448.3040000000001</v>
      </c>
      <c r="J19" s="22"/>
      <c r="K19" s="8"/>
      <c r="L19" s="8"/>
      <c r="M19" s="8"/>
    </row>
    <row r="20" spans="1:13" ht="15.75" customHeight="1">
      <c r="A20" s="29">
        <v>4</v>
      </c>
      <c r="B20" s="32" t="s">
        <v>95</v>
      </c>
      <c r="C20" s="138" t="s">
        <v>89</v>
      </c>
      <c r="D20" s="32" t="s">
        <v>233</v>
      </c>
      <c r="E20" s="152">
        <v>57.5</v>
      </c>
      <c r="F20" s="139">
        <f>SUM(E20*12/100)</f>
        <v>6.9</v>
      </c>
      <c r="G20" s="139">
        <v>297.19</v>
      </c>
      <c r="H20" s="86">
        <f t="shared" si="0"/>
        <v>2.050611</v>
      </c>
      <c r="I20" s="13">
        <f>F20*G20/12</f>
        <v>170.88424999999998</v>
      </c>
      <c r="J20" s="22"/>
      <c r="K20" s="8"/>
      <c r="L20" s="8"/>
      <c r="M20" s="8"/>
    </row>
    <row r="21" spans="1:13" ht="17.25" customHeight="1">
      <c r="A21" s="29">
        <v>5</v>
      </c>
      <c r="B21" s="32" t="s">
        <v>96</v>
      </c>
      <c r="C21" s="138" t="s">
        <v>89</v>
      </c>
      <c r="D21" s="32" t="s">
        <v>233</v>
      </c>
      <c r="E21" s="152">
        <v>13.41</v>
      </c>
      <c r="F21" s="139">
        <f>SUM(E21*12/100)</f>
        <v>1.6092000000000002</v>
      </c>
      <c r="G21" s="139">
        <v>294.77999999999997</v>
      </c>
      <c r="H21" s="86">
        <f t="shared" si="0"/>
        <v>0.47435997600000002</v>
      </c>
      <c r="I21" s="13">
        <f>F21*G21/12</f>
        <v>39.529997999999999</v>
      </c>
      <c r="J21" s="22"/>
      <c r="K21" s="8"/>
      <c r="L21" s="8"/>
      <c r="M21" s="8"/>
    </row>
    <row r="22" spans="1:13" ht="26.25" hidden="1" customHeight="1">
      <c r="A22" s="29"/>
      <c r="B22" s="32" t="s">
        <v>97</v>
      </c>
      <c r="C22" s="138" t="s">
        <v>51</v>
      </c>
      <c r="D22" s="32" t="s">
        <v>92</v>
      </c>
      <c r="E22" s="152">
        <v>820.5</v>
      </c>
      <c r="F22" s="139">
        <f>SUM(E22/100)</f>
        <v>8.2050000000000001</v>
      </c>
      <c r="G22" s="139">
        <v>367.27</v>
      </c>
      <c r="H22" s="86">
        <f t="shared" si="0"/>
        <v>3.0134503500000003</v>
      </c>
      <c r="I22" s="13">
        <f t="shared" ref="I22:I26" si="1">F22*G22</f>
        <v>3013.4503500000001</v>
      </c>
      <c r="J22" s="22"/>
      <c r="K22" s="8"/>
      <c r="L22" s="8"/>
      <c r="M22" s="8"/>
    </row>
    <row r="23" spans="1:13" ht="29.25" hidden="1" customHeight="1">
      <c r="A23" s="29"/>
      <c r="B23" s="32" t="s">
        <v>98</v>
      </c>
      <c r="C23" s="138" t="s">
        <v>51</v>
      </c>
      <c r="D23" s="32" t="s">
        <v>92</v>
      </c>
      <c r="E23" s="159">
        <v>60.25</v>
      </c>
      <c r="F23" s="139">
        <f>SUM(E23/100)</f>
        <v>0.60250000000000004</v>
      </c>
      <c r="G23" s="139">
        <v>60.41</v>
      </c>
      <c r="H23" s="86">
        <f t="shared" si="0"/>
        <v>3.6397025E-2</v>
      </c>
      <c r="I23" s="13">
        <f t="shared" si="1"/>
        <v>36.397024999999999</v>
      </c>
      <c r="J23" s="22"/>
      <c r="K23" s="8"/>
      <c r="L23" s="8"/>
      <c r="M23" s="8"/>
    </row>
    <row r="24" spans="1:13" ht="24.75" hidden="1" customHeight="1">
      <c r="A24" s="29"/>
      <c r="B24" s="32" t="s">
        <v>93</v>
      </c>
      <c r="C24" s="138" t="s">
        <v>51</v>
      </c>
      <c r="D24" s="32" t="s">
        <v>94</v>
      </c>
      <c r="E24" s="152">
        <v>19.149999999999999</v>
      </c>
      <c r="F24" s="139">
        <f>E24/100</f>
        <v>0.19149999999999998</v>
      </c>
      <c r="G24" s="139">
        <v>531.55999999999995</v>
      </c>
      <c r="H24" s="86">
        <f t="shared" si="0"/>
        <v>0.10179373999999997</v>
      </c>
      <c r="I24" s="13">
        <f t="shared" si="1"/>
        <v>101.79373999999997</v>
      </c>
      <c r="J24" s="22"/>
      <c r="K24" s="8"/>
      <c r="L24" s="8"/>
      <c r="M24" s="8"/>
    </row>
    <row r="25" spans="1:13" ht="26.25" hidden="1" customHeight="1">
      <c r="A25" s="40">
        <v>6</v>
      </c>
      <c r="B25" s="32" t="s">
        <v>100</v>
      </c>
      <c r="C25" s="138" t="s">
        <v>51</v>
      </c>
      <c r="D25" s="32" t="s">
        <v>52</v>
      </c>
      <c r="E25" s="152">
        <v>31.5</v>
      </c>
      <c r="F25" s="139">
        <v>0.32</v>
      </c>
      <c r="G25" s="139">
        <v>294.77999999999997</v>
      </c>
      <c r="H25" s="86">
        <f t="shared" si="0"/>
        <v>9.43296E-2</v>
      </c>
      <c r="I25" s="13">
        <f t="shared" si="1"/>
        <v>94.329599999999999</v>
      </c>
      <c r="J25" s="22"/>
      <c r="K25" s="8"/>
      <c r="L25" s="8"/>
      <c r="M25" s="8"/>
    </row>
    <row r="26" spans="1:13" ht="26.25" hidden="1" customHeight="1">
      <c r="A26" s="40"/>
      <c r="B26" s="32" t="s">
        <v>99</v>
      </c>
      <c r="C26" s="138" t="s">
        <v>51</v>
      </c>
      <c r="D26" s="32" t="s">
        <v>92</v>
      </c>
      <c r="E26" s="152">
        <v>37.5</v>
      </c>
      <c r="F26" s="139">
        <f>SUM(E26/100)</f>
        <v>0.375</v>
      </c>
      <c r="G26" s="139">
        <v>710.37</v>
      </c>
      <c r="H26" s="86">
        <f t="shared" si="0"/>
        <v>0.26638875000000001</v>
      </c>
      <c r="I26" s="13">
        <f t="shared" si="1"/>
        <v>266.38875000000002</v>
      </c>
      <c r="J26" s="22"/>
      <c r="K26" s="8"/>
      <c r="L26" s="8"/>
      <c r="M26" s="8"/>
    </row>
    <row r="27" spans="1:13" ht="15.75" customHeight="1">
      <c r="A27" s="40">
        <v>6</v>
      </c>
      <c r="B27" s="32" t="s">
        <v>229</v>
      </c>
      <c r="C27" s="138" t="s">
        <v>26</v>
      </c>
      <c r="D27" s="32" t="s">
        <v>234</v>
      </c>
      <c r="E27" s="175">
        <v>4.88</v>
      </c>
      <c r="F27" s="139">
        <f>E27*258</f>
        <v>1259.04</v>
      </c>
      <c r="G27" s="139">
        <v>10.39</v>
      </c>
      <c r="H27" s="86">
        <f t="shared" si="0"/>
        <v>13.081425600000001</v>
      </c>
      <c r="I27" s="13">
        <f>F27/12*G27</f>
        <v>1090.1188</v>
      </c>
      <c r="J27" s="22"/>
      <c r="K27" s="8"/>
      <c r="L27" s="8"/>
      <c r="M27" s="8"/>
    </row>
    <row r="28" spans="1:13" ht="15.75" customHeight="1">
      <c r="A28" s="221" t="s">
        <v>81</v>
      </c>
      <c r="B28" s="222"/>
      <c r="C28" s="222"/>
      <c r="D28" s="222"/>
      <c r="E28" s="222"/>
      <c r="F28" s="222"/>
      <c r="G28" s="222"/>
      <c r="H28" s="222"/>
      <c r="I28" s="223"/>
      <c r="J28" s="22"/>
      <c r="K28" s="8"/>
      <c r="L28" s="8"/>
      <c r="M28" s="8"/>
    </row>
    <row r="29" spans="1:13" ht="15.75" hidden="1" customHeight="1">
      <c r="A29" s="40"/>
      <c r="B29" s="50" t="s">
        <v>29</v>
      </c>
      <c r="C29" s="50"/>
      <c r="D29" s="50"/>
      <c r="E29" s="50"/>
      <c r="F29" s="50"/>
      <c r="G29" s="50"/>
      <c r="H29" s="50"/>
      <c r="I29" s="18"/>
      <c r="J29" s="22"/>
      <c r="K29" s="8"/>
      <c r="L29" s="8"/>
      <c r="M29" s="8"/>
    </row>
    <row r="30" spans="1:13" ht="15.75" hidden="1" customHeight="1">
      <c r="A30" s="40">
        <v>2</v>
      </c>
      <c r="B30" s="82" t="s">
        <v>101</v>
      </c>
      <c r="C30" s="83" t="s">
        <v>102</v>
      </c>
      <c r="D30" s="82" t="s">
        <v>103</v>
      </c>
      <c r="E30" s="85">
        <v>1304.45</v>
      </c>
      <c r="F30" s="85">
        <f>SUM(E30*52/1000)</f>
        <v>67.831400000000002</v>
      </c>
      <c r="G30" s="85">
        <v>155.88999999999999</v>
      </c>
      <c r="H30" s="86">
        <f t="shared" ref="H30:H35" si="2">SUM(F30*G30/1000)</f>
        <v>10.574236945999999</v>
      </c>
      <c r="I30" s="13">
        <f>F30/6*G30</f>
        <v>1762.3728243333333</v>
      </c>
      <c r="J30" s="22"/>
      <c r="K30" s="8"/>
      <c r="L30" s="8"/>
      <c r="M30" s="8"/>
    </row>
    <row r="31" spans="1:13" ht="31.5" hidden="1" customHeight="1">
      <c r="A31" s="40">
        <v>3</v>
      </c>
      <c r="B31" s="82" t="s">
        <v>140</v>
      </c>
      <c r="C31" s="83" t="s">
        <v>102</v>
      </c>
      <c r="D31" s="82" t="s">
        <v>104</v>
      </c>
      <c r="E31" s="85">
        <v>287.83999999999997</v>
      </c>
      <c r="F31" s="85">
        <f>SUM(E31*78/1000)</f>
        <v>22.451519999999995</v>
      </c>
      <c r="G31" s="85">
        <v>258.63</v>
      </c>
      <c r="H31" s="86">
        <f t="shared" si="2"/>
        <v>5.8066366175999979</v>
      </c>
      <c r="I31" s="13">
        <f t="shared" ref="I31:I33" si="3">F31/6*G31</f>
        <v>967.77276959999972</v>
      </c>
      <c r="J31" s="22"/>
      <c r="K31" s="8"/>
      <c r="L31" s="8"/>
      <c r="M31" s="8"/>
    </row>
    <row r="32" spans="1:13" ht="15.75" hidden="1" customHeight="1">
      <c r="A32" s="40">
        <v>4</v>
      </c>
      <c r="B32" s="82" t="s">
        <v>28</v>
      </c>
      <c r="C32" s="83" t="s">
        <v>102</v>
      </c>
      <c r="D32" s="82" t="s">
        <v>52</v>
      </c>
      <c r="E32" s="85">
        <v>1304.45</v>
      </c>
      <c r="F32" s="85">
        <f>SUM(E32/1000)</f>
        <v>1.3044500000000001</v>
      </c>
      <c r="G32" s="85">
        <v>3020.33</v>
      </c>
      <c r="H32" s="86">
        <f t="shared" si="2"/>
        <v>3.9398694685</v>
      </c>
      <c r="I32" s="13">
        <f>F32*G32</f>
        <v>3939.8694685</v>
      </c>
      <c r="J32" s="22"/>
      <c r="K32" s="8"/>
      <c r="L32" s="8"/>
      <c r="M32" s="8"/>
    </row>
    <row r="33" spans="1:14" ht="15.75" hidden="1" customHeight="1">
      <c r="A33" s="40">
        <v>5</v>
      </c>
      <c r="B33" s="82" t="s">
        <v>105</v>
      </c>
      <c r="C33" s="83" t="s">
        <v>31</v>
      </c>
      <c r="D33" s="82" t="s">
        <v>61</v>
      </c>
      <c r="E33" s="89">
        <v>0.33333333333333331</v>
      </c>
      <c r="F33" s="85">
        <f>155/3</f>
        <v>51.666666666666664</v>
      </c>
      <c r="G33" s="85">
        <v>56.69</v>
      </c>
      <c r="H33" s="86">
        <f t="shared" si="2"/>
        <v>2.9289833333333331</v>
      </c>
      <c r="I33" s="13">
        <f t="shared" si="3"/>
        <v>488.16388888888883</v>
      </c>
      <c r="J33" s="23"/>
    </row>
    <row r="34" spans="1:14" ht="15.75" hidden="1" customHeight="1">
      <c r="A34" s="40">
        <v>4</v>
      </c>
      <c r="B34" s="82" t="s">
        <v>63</v>
      </c>
      <c r="C34" s="83" t="s">
        <v>33</v>
      </c>
      <c r="D34" s="82" t="s">
        <v>65</v>
      </c>
      <c r="E34" s="84"/>
      <c r="F34" s="85">
        <v>3</v>
      </c>
      <c r="G34" s="85">
        <v>191.32</v>
      </c>
      <c r="H34" s="86">
        <f t="shared" si="2"/>
        <v>0.57396000000000003</v>
      </c>
      <c r="I34" s="13">
        <v>0</v>
      </c>
      <c r="J34" s="23"/>
    </row>
    <row r="35" spans="1:14" ht="15.75" hidden="1" customHeight="1">
      <c r="A35" s="29">
        <v>8</v>
      </c>
      <c r="B35" s="82" t="s">
        <v>64</v>
      </c>
      <c r="C35" s="83" t="s">
        <v>32</v>
      </c>
      <c r="D35" s="82" t="s">
        <v>65</v>
      </c>
      <c r="E35" s="84"/>
      <c r="F35" s="85">
        <v>2</v>
      </c>
      <c r="G35" s="85">
        <v>1136.32</v>
      </c>
      <c r="H35" s="86">
        <f t="shared" si="2"/>
        <v>2.27264</v>
      </c>
      <c r="I35" s="13">
        <v>0</v>
      </c>
      <c r="J35" s="23"/>
    </row>
    <row r="36" spans="1:14" ht="15.75" customHeight="1">
      <c r="A36" s="40"/>
      <c r="B36" s="48" t="s">
        <v>5</v>
      </c>
      <c r="C36" s="48"/>
      <c r="D36" s="48"/>
      <c r="E36" s="13"/>
      <c r="F36" s="13"/>
      <c r="G36" s="14"/>
      <c r="H36" s="14"/>
      <c r="I36" s="18"/>
      <c r="J36" s="23"/>
    </row>
    <row r="37" spans="1:14" ht="15.75" customHeight="1">
      <c r="A37" s="33">
        <v>7</v>
      </c>
      <c r="B37" s="155" t="s">
        <v>27</v>
      </c>
      <c r="C37" s="138" t="s">
        <v>32</v>
      </c>
      <c r="D37" s="183">
        <v>43476</v>
      </c>
      <c r="E37" s="152"/>
      <c r="F37" s="139">
        <v>8</v>
      </c>
      <c r="G37" s="139">
        <v>2083</v>
      </c>
      <c r="H37" s="86">
        <f t="shared" ref="H37:H44" si="4">SUM(F37*G37/1000)</f>
        <v>16.664000000000001</v>
      </c>
      <c r="I37" s="13">
        <f>G37*0.5</f>
        <v>1041.5</v>
      </c>
      <c r="J37" s="23"/>
    </row>
    <row r="38" spans="1:14" ht="15.75" customHeight="1">
      <c r="A38" s="33">
        <v>8</v>
      </c>
      <c r="B38" s="155" t="s">
        <v>123</v>
      </c>
      <c r="C38" s="156" t="s">
        <v>30</v>
      </c>
      <c r="D38" s="155" t="s">
        <v>235</v>
      </c>
      <c r="E38" s="157">
        <v>287.83999999999997</v>
      </c>
      <c r="F38" s="157">
        <f>SUM(E38*30/1000)</f>
        <v>8.6351999999999993</v>
      </c>
      <c r="G38" s="157">
        <v>2868.09</v>
      </c>
      <c r="H38" s="86">
        <f t="shared" si="4"/>
        <v>24.766530767999999</v>
      </c>
      <c r="I38" s="13">
        <f>F38/6*G38</f>
        <v>4127.7551279999998</v>
      </c>
      <c r="J38" s="23"/>
    </row>
    <row r="39" spans="1:14" ht="15.75" customHeight="1">
      <c r="A39" s="33">
        <v>9</v>
      </c>
      <c r="B39" s="155" t="s">
        <v>178</v>
      </c>
      <c r="C39" s="156" t="s">
        <v>30</v>
      </c>
      <c r="D39" s="32" t="s">
        <v>236</v>
      </c>
      <c r="E39" s="152">
        <v>287.83999999999997</v>
      </c>
      <c r="F39" s="157">
        <f>E39*155/1000</f>
        <v>44.615199999999994</v>
      </c>
      <c r="G39" s="139">
        <v>478.42</v>
      </c>
      <c r="H39" s="86">
        <f>G39*F39/1000</f>
        <v>21.344803983999999</v>
      </c>
      <c r="I39" s="13">
        <f>F39/6*G39</f>
        <v>3557.4673306666664</v>
      </c>
      <c r="J39" s="23"/>
    </row>
    <row r="40" spans="1:14" ht="15.75" hidden="1" customHeight="1">
      <c r="A40" s="33">
        <v>7</v>
      </c>
      <c r="B40" s="155" t="s">
        <v>178</v>
      </c>
      <c r="C40" s="156" t="s">
        <v>30</v>
      </c>
      <c r="D40" s="32" t="s">
        <v>107</v>
      </c>
      <c r="E40" s="152">
        <v>287.83999999999997</v>
      </c>
      <c r="F40" s="157">
        <f>E40*155/1000</f>
        <v>44.615199999999994</v>
      </c>
      <c r="G40" s="139">
        <v>478.42</v>
      </c>
      <c r="H40" s="86">
        <f>G40*F40/1000</f>
        <v>21.344803983999999</v>
      </c>
      <c r="I40" s="13">
        <v>0</v>
      </c>
      <c r="J40" s="23"/>
    </row>
    <row r="41" spans="1:14" ht="33.75" customHeight="1">
      <c r="A41" s="33">
        <v>10</v>
      </c>
      <c r="B41" s="32" t="s">
        <v>79</v>
      </c>
      <c r="C41" s="138" t="s">
        <v>102</v>
      </c>
      <c r="D41" s="32" t="s">
        <v>235</v>
      </c>
      <c r="E41" s="139">
        <v>130.6</v>
      </c>
      <c r="F41" s="157">
        <f>SUM(E41*35/1000)</f>
        <v>4.5709999999999997</v>
      </c>
      <c r="G41" s="139">
        <v>7915.6</v>
      </c>
      <c r="H41" s="86">
        <f t="shared" si="4"/>
        <v>36.182207599999998</v>
      </c>
      <c r="I41" s="13">
        <f>F41/6*G41</f>
        <v>6030.367933333333</v>
      </c>
      <c r="J41" s="23"/>
    </row>
    <row r="42" spans="1:14" ht="17.25" customHeight="1">
      <c r="A42" s="33">
        <v>11</v>
      </c>
      <c r="B42" s="32" t="s">
        <v>108</v>
      </c>
      <c r="C42" s="138" t="s">
        <v>102</v>
      </c>
      <c r="D42" s="32" t="s">
        <v>237</v>
      </c>
      <c r="E42" s="139">
        <v>287.83999999999997</v>
      </c>
      <c r="F42" s="157">
        <f>SUM(E42*45/1000)</f>
        <v>12.9528</v>
      </c>
      <c r="G42" s="139">
        <v>584.74</v>
      </c>
      <c r="H42" s="86">
        <f t="shared" si="4"/>
        <v>7.5740202719999994</v>
      </c>
      <c r="I42" s="13">
        <f>F42/7.5*G42</f>
        <v>1009.8693695999999</v>
      </c>
      <c r="J42" s="23"/>
      <c r="L42" s="19"/>
      <c r="M42" s="20"/>
      <c r="N42" s="21"/>
    </row>
    <row r="43" spans="1:14" ht="15.75" customHeight="1">
      <c r="A43" s="33">
        <v>12</v>
      </c>
      <c r="B43" s="155" t="s">
        <v>68</v>
      </c>
      <c r="C43" s="156" t="s">
        <v>33</v>
      </c>
      <c r="D43" s="155"/>
      <c r="E43" s="158"/>
      <c r="F43" s="157">
        <v>0.9</v>
      </c>
      <c r="G43" s="157">
        <v>800</v>
      </c>
      <c r="H43" s="86">
        <f t="shared" si="4"/>
        <v>0.72</v>
      </c>
      <c r="I43" s="13">
        <f>F43/7.5*G43</f>
        <v>96.000000000000014</v>
      </c>
      <c r="J43" s="23"/>
      <c r="L43" s="19"/>
      <c r="M43" s="20"/>
      <c r="N43" s="21"/>
    </row>
    <row r="44" spans="1:14" ht="15.75" customHeight="1">
      <c r="A44" s="147">
        <v>13</v>
      </c>
      <c r="B44" s="155" t="s">
        <v>179</v>
      </c>
      <c r="C44" s="156" t="s">
        <v>102</v>
      </c>
      <c r="D44" s="155" t="s">
        <v>238</v>
      </c>
      <c r="E44" s="158">
        <v>0.6</v>
      </c>
      <c r="F44" s="157">
        <v>0.01</v>
      </c>
      <c r="G44" s="157">
        <v>18798.34</v>
      </c>
      <c r="H44" s="98">
        <f t="shared" si="4"/>
        <v>0.18798340000000002</v>
      </c>
      <c r="I44" s="119">
        <f>F44/6*G44</f>
        <v>31.33056666666667</v>
      </c>
      <c r="J44" s="23"/>
      <c r="L44" s="19"/>
      <c r="M44" s="20"/>
      <c r="N44" s="21"/>
    </row>
    <row r="45" spans="1:14" ht="15.75" customHeight="1">
      <c r="A45" s="33"/>
      <c r="B45" s="99"/>
      <c r="C45" s="16"/>
      <c r="D45" s="99"/>
      <c r="E45" s="18"/>
      <c r="F45" s="13"/>
      <c r="G45" s="13"/>
      <c r="H45" s="13"/>
      <c r="I45" s="13"/>
      <c r="J45" s="23"/>
      <c r="L45" s="19"/>
      <c r="M45" s="20"/>
      <c r="N45" s="21"/>
    </row>
    <row r="46" spans="1:14" ht="15.75" customHeight="1">
      <c r="A46" s="224" t="s">
        <v>137</v>
      </c>
      <c r="B46" s="225"/>
      <c r="C46" s="225"/>
      <c r="D46" s="225"/>
      <c r="E46" s="225"/>
      <c r="F46" s="225"/>
      <c r="G46" s="225"/>
      <c r="H46" s="225"/>
      <c r="I46" s="226"/>
      <c r="J46" s="23"/>
      <c r="L46" s="19"/>
      <c r="M46" s="20"/>
      <c r="N46" s="21"/>
    </row>
    <row r="47" spans="1:14" ht="15.75" hidden="1" customHeight="1">
      <c r="A47" s="40">
        <v>15</v>
      </c>
      <c r="B47" s="82" t="s">
        <v>128</v>
      </c>
      <c r="C47" s="83" t="s">
        <v>102</v>
      </c>
      <c r="D47" s="82" t="s">
        <v>41</v>
      </c>
      <c r="E47" s="84">
        <v>1369</v>
      </c>
      <c r="F47" s="85">
        <f>SUM(E47*2/1000)</f>
        <v>2.738</v>
      </c>
      <c r="G47" s="13">
        <v>849.49</v>
      </c>
      <c r="H47" s="86">
        <f t="shared" ref="H47:H55" si="5">SUM(F47*G47/1000)</f>
        <v>2.3259036200000001</v>
      </c>
      <c r="I47" s="13">
        <v>0</v>
      </c>
      <c r="J47" s="23"/>
      <c r="L47" s="19"/>
      <c r="M47" s="20"/>
      <c r="N47" s="21"/>
    </row>
    <row r="48" spans="1:14" ht="15.75" hidden="1" customHeight="1">
      <c r="A48" s="40"/>
      <c r="B48" s="82" t="s">
        <v>34</v>
      </c>
      <c r="C48" s="83" t="s">
        <v>102</v>
      </c>
      <c r="D48" s="82" t="s">
        <v>41</v>
      </c>
      <c r="E48" s="84">
        <v>1418</v>
      </c>
      <c r="F48" s="85">
        <f>SUM(E48*2/1000)</f>
        <v>2.8359999999999999</v>
      </c>
      <c r="G48" s="13">
        <v>579.48</v>
      </c>
      <c r="H48" s="86">
        <f t="shared" si="5"/>
        <v>1.6434052799999999</v>
      </c>
      <c r="I48" s="13">
        <v>0</v>
      </c>
      <c r="J48" s="23"/>
      <c r="L48" s="19"/>
      <c r="M48" s="20"/>
      <c r="N48" s="21"/>
    </row>
    <row r="49" spans="1:14" ht="15.75" hidden="1" customHeight="1">
      <c r="A49" s="40">
        <v>16</v>
      </c>
      <c r="B49" s="82" t="s">
        <v>35</v>
      </c>
      <c r="C49" s="83" t="s">
        <v>102</v>
      </c>
      <c r="D49" s="82" t="s">
        <v>41</v>
      </c>
      <c r="E49" s="84">
        <v>4985.21</v>
      </c>
      <c r="F49" s="85">
        <f>SUM(E49*2/1000)</f>
        <v>9.9704200000000007</v>
      </c>
      <c r="G49" s="13">
        <v>579.48</v>
      </c>
      <c r="H49" s="86">
        <f t="shared" si="5"/>
        <v>5.7776589816000001</v>
      </c>
      <c r="I49" s="13">
        <v>0</v>
      </c>
      <c r="J49" s="23"/>
      <c r="L49" s="19"/>
      <c r="M49" s="20"/>
      <c r="N49" s="21"/>
    </row>
    <row r="50" spans="1:14" ht="15.75" hidden="1" customHeight="1">
      <c r="A50" s="40">
        <v>17</v>
      </c>
      <c r="B50" s="82" t="s">
        <v>36</v>
      </c>
      <c r="C50" s="83" t="s">
        <v>102</v>
      </c>
      <c r="D50" s="82" t="s">
        <v>41</v>
      </c>
      <c r="E50" s="84">
        <v>2474</v>
      </c>
      <c r="F50" s="85">
        <f>SUM(E50*2/1000)</f>
        <v>4.9480000000000004</v>
      </c>
      <c r="G50" s="13">
        <v>606.77</v>
      </c>
      <c r="H50" s="86">
        <f t="shared" si="5"/>
        <v>3.0022979600000004</v>
      </c>
      <c r="I50" s="13">
        <v>0</v>
      </c>
      <c r="J50" s="23"/>
      <c r="L50" s="19"/>
      <c r="M50" s="20"/>
      <c r="N50" s="21"/>
    </row>
    <row r="51" spans="1:14" ht="15.75" customHeight="1">
      <c r="A51" s="40">
        <v>14</v>
      </c>
      <c r="B51" s="32" t="s">
        <v>54</v>
      </c>
      <c r="C51" s="138" t="s">
        <v>102</v>
      </c>
      <c r="D51" s="32" t="s">
        <v>233</v>
      </c>
      <c r="E51" s="152">
        <v>5162.6000000000004</v>
      </c>
      <c r="F51" s="139">
        <f>SUM(E51*5/1000)</f>
        <v>25.812999999999999</v>
      </c>
      <c r="G51" s="36">
        <v>1655.27</v>
      </c>
      <c r="H51" s="86">
        <f t="shared" si="5"/>
        <v>42.727484509999996</v>
      </c>
      <c r="I51" s="13">
        <f>F51/5*G51</f>
        <v>8545.496901999999</v>
      </c>
      <c r="J51" s="23"/>
      <c r="L51" s="19"/>
      <c r="M51" s="20"/>
      <c r="N51" s="21"/>
    </row>
    <row r="52" spans="1:14" ht="30.75" hidden="1" customHeight="1">
      <c r="A52" s="40">
        <v>13</v>
      </c>
      <c r="B52" s="82" t="s">
        <v>109</v>
      </c>
      <c r="C52" s="83" t="s">
        <v>102</v>
      </c>
      <c r="D52" s="82" t="s">
        <v>41</v>
      </c>
      <c r="E52" s="84">
        <v>1349.3</v>
      </c>
      <c r="F52" s="85">
        <f>SUM(E52*2/1000)</f>
        <v>2.6985999999999999</v>
      </c>
      <c r="G52" s="13">
        <v>1213.55</v>
      </c>
      <c r="H52" s="86">
        <f t="shared" si="5"/>
        <v>3.2748860299999998</v>
      </c>
      <c r="I52" s="13">
        <v>0</v>
      </c>
      <c r="J52" s="23"/>
      <c r="L52" s="19"/>
      <c r="M52" s="20"/>
      <c r="N52" s="21"/>
    </row>
    <row r="53" spans="1:14" ht="30.75" hidden="1" customHeight="1">
      <c r="A53" s="40">
        <v>14</v>
      </c>
      <c r="B53" s="82" t="s">
        <v>110</v>
      </c>
      <c r="C53" s="83" t="s">
        <v>37</v>
      </c>
      <c r="D53" s="82" t="s">
        <v>41</v>
      </c>
      <c r="E53" s="84">
        <v>40</v>
      </c>
      <c r="F53" s="85">
        <f>SUM(E53*2/100)</f>
        <v>0.8</v>
      </c>
      <c r="G53" s="13">
        <v>2730.49</v>
      </c>
      <c r="H53" s="86">
        <f t="shared" si="5"/>
        <v>2.1843919999999999</v>
      </c>
      <c r="I53" s="13">
        <v>0</v>
      </c>
      <c r="J53" s="23"/>
      <c r="L53" s="19"/>
      <c r="M53" s="20"/>
      <c r="N53" s="21"/>
    </row>
    <row r="54" spans="1:14" ht="15.75" hidden="1" customHeight="1">
      <c r="A54" s="40">
        <v>15</v>
      </c>
      <c r="B54" s="82" t="s">
        <v>38</v>
      </c>
      <c r="C54" s="83" t="s">
        <v>39</v>
      </c>
      <c r="D54" s="82" t="s">
        <v>41</v>
      </c>
      <c r="E54" s="84">
        <v>1</v>
      </c>
      <c r="F54" s="85">
        <v>0.02</v>
      </c>
      <c r="G54" s="13">
        <v>5652.13</v>
      </c>
      <c r="H54" s="86">
        <f t="shared" si="5"/>
        <v>0.11304260000000001</v>
      </c>
      <c r="I54" s="13">
        <v>0</v>
      </c>
      <c r="J54" s="23"/>
      <c r="L54" s="19"/>
      <c r="M54" s="20"/>
      <c r="N54" s="21"/>
    </row>
    <row r="55" spans="1:14" ht="15.75" hidden="1" customHeight="1">
      <c r="A55" s="40">
        <v>14</v>
      </c>
      <c r="B55" s="82" t="s">
        <v>40</v>
      </c>
      <c r="C55" s="83" t="s">
        <v>111</v>
      </c>
      <c r="D55" s="82" t="s">
        <v>69</v>
      </c>
      <c r="E55" s="84">
        <v>238</v>
      </c>
      <c r="F55" s="85">
        <f>SUM(E55)*3</f>
        <v>714</v>
      </c>
      <c r="G55" s="160">
        <v>89.59</v>
      </c>
      <c r="H55" s="86">
        <f t="shared" si="5"/>
        <v>63.967260000000003</v>
      </c>
      <c r="I55" s="13">
        <f>E55*G55</f>
        <v>21322.420000000002</v>
      </c>
      <c r="J55" s="23"/>
      <c r="L55" s="19"/>
      <c r="M55" s="20"/>
      <c r="N55" s="21"/>
    </row>
    <row r="56" spans="1:14" ht="15.75" customHeight="1">
      <c r="A56" s="224" t="s">
        <v>138</v>
      </c>
      <c r="B56" s="225"/>
      <c r="C56" s="225"/>
      <c r="D56" s="225"/>
      <c r="E56" s="225"/>
      <c r="F56" s="225"/>
      <c r="G56" s="225"/>
      <c r="H56" s="225"/>
      <c r="I56" s="226"/>
      <c r="J56" s="23"/>
      <c r="L56" s="19"/>
      <c r="M56" s="20"/>
      <c r="N56" s="21"/>
    </row>
    <row r="57" spans="1:14" ht="15.75" customHeight="1">
      <c r="A57" s="52"/>
      <c r="B57" s="47" t="s">
        <v>42</v>
      </c>
      <c r="C57" s="16"/>
      <c r="D57" s="15"/>
      <c r="E57" s="15"/>
      <c r="F57" s="15"/>
      <c r="G57" s="29"/>
      <c r="H57" s="29"/>
      <c r="I57" s="18"/>
      <c r="J57" s="23"/>
      <c r="L57" s="19"/>
      <c r="M57" s="20"/>
      <c r="N57" s="21"/>
    </row>
    <row r="58" spans="1:14" ht="29.25" customHeight="1">
      <c r="A58" s="40">
        <v>15</v>
      </c>
      <c r="B58" s="32" t="s">
        <v>112</v>
      </c>
      <c r="C58" s="138" t="s">
        <v>89</v>
      </c>
      <c r="D58" s="32" t="s">
        <v>240</v>
      </c>
      <c r="E58" s="152">
        <v>128.5</v>
      </c>
      <c r="F58" s="139">
        <f>SUM(E58*6/100)</f>
        <v>7.71</v>
      </c>
      <c r="G58" s="36">
        <v>2110.4699999999998</v>
      </c>
      <c r="H58" s="86">
        <f>SUM(F58*G58/1000)</f>
        <v>16.271723699999999</v>
      </c>
      <c r="I58" s="13">
        <f>G58*2.57</f>
        <v>5423.9078999999992</v>
      </c>
      <c r="J58" s="23"/>
      <c r="L58" s="19"/>
      <c r="M58" s="20"/>
      <c r="N58" s="21"/>
    </row>
    <row r="59" spans="1:14" ht="15.75" customHeight="1">
      <c r="A59" s="40">
        <v>16</v>
      </c>
      <c r="B59" s="32" t="s">
        <v>180</v>
      </c>
      <c r="C59" s="138" t="s">
        <v>89</v>
      </c>
      <c r="D59" s="32"/>
      <c r="E59" s="153">
        <v>69.5</v>
      </c>
      <c r="F59" s="154">
        <f>E59*6/100</f>
        <v>4.17</v>
      </c>
      <c r="G59" s="139">
        <v>2110.4699999999998</v>
      </c>
      <c r="H59" s="86">
        <f>F59*G59/1000</f>
        <v>8.8006598999999994</v>
      </c>
      <c r="I59" s="13">
        <f>F59/6*G59</f>
        <v>1466.7766499999998</v>
      </c>
      <c r="J59" s="23"/>
      <c r="L59" s="19"/>
      <c r="M59" s="20"/>
      <c r="N59" s="21"/>
    </row>
    <row r="60" spans="1:14" ht="15.75" hidden="1" customHeight="1">
      <c r="A60" s="40"/>
      <c r="B60" s="82" t="s">
        <v>130</v>
      </c>
      <c r="C60" s="83" t="s">
        <v>131</v>
      </c>
      <c r="D60" s="82" t="s">
        <v>41</v>
      </c>
      <c r="E60" s="91">
        <v>8</v>
      </c>
      <c r="F60" s="13">
        <v>16</v>
      </c>
      <c r="G60" s="85">
        <v>180.78</v>
      </c>
      <c r="H60" s="86">
        <f>SUM(F60*G60/1000)</f>
        <v>2.8924799999999999</v>
      </c>
      <c r="I60" s="13">
        <v>0</v>
      </c>
      <c r="J60" s="23"/>
      <c r="L60" s="19"/>
      <c r="M60" s="20"/>
      <c r="N60" s="21"/>
    </row>
    <row r="61" spans="1:14" ht="15.75" customHeight="1">
      <c r="A61" s="40"/>
      <c r="B61" s="62" t="s">
        <v>43</v>
      </c>
      <c r="C61" s="62"/>
      <c r="D61" s="62"/>
      <c r="E61" s="62"/>
      <c r="F61" s="70"/>
      <c r="G61" s="62"/>
      <c r="H61" s="70"/>
      <c r="I61" s="35"/>
      <c r="J61" s="23"/>
      <c r="L61" s="19"/>
      <c r="M61" s="20"/>
      <c r="N61" s="21"/>
    </row>
    <row r="62" spans="1:14" ht="15.75" hidden="1" customHeight="1">
      <c r="A62" s="40">
        <v>27</v>
      </c>
      <c r="B62" s="82" t="s">
        <v>142</v>
      </c>
      <c r="C62" s="83"/>
      <c r="D62" s="82" t="s">
        <v>52</v>
      </c>
      <c r="E62" s="84">
        <v>1349.3</v>
      </c>
      <c r="F62" s="86">
        <v>13.493</v>
      </c>
      <c r="G62" s="13">
        <v>793.61</v>
      </c>
      <c r="H62" s="92">
        <f>F62*G62/1000</f>
        <v>10.708179729999999</v>
      </c>
      <c r="I62" s="13">
        <v>0</v>
      </c>
      <c r="J62" s="23"/>
      <c r="L62" s="19"/>
      <c r="M62" s="20"/>
      <c r="N62" s="21"/>
    </row>
    <row r="63" spans="1:14" ht="15.75" customHeight="1">
      <c r="A63" s="40">
        <v>17</v>
      </c>
      <c r="B63" s="113" t="s">
        <v>88</v>
      </c>
      <c r="C63" s="114" t="s">
        <v>26</v>
      </c>
      <c r="D63" s="113"/>
      <c r="E63" s="115">
        <v>200</v>
      </c>
      <c r="F63" s="116">
        <f>E63*12</f>
        <v>2400</v>
      </c>
      <c r="G63" s="117">
        <v>1.4</v>
      </c>
      <c r="H63" s="118">
        <f>F63*G63</f>
        <v>3360</v>
      </c>
      <c r="I63" s="13">
        <f>F63/12*G63</f>
        <v>280</v>
      </c>
      <c r="J63" s="23"/>
      <c r="L63" s="19"/>
      <c r="M63" s="20"/>
      <c r="N63" s="21"/>
    </row>
    <row r="64" spans="1:14" ht="15.75" customHeight="1">
      <c r="A64" s="40"/>
      <c r="B64" s="62" t="s">
        <v>44</v>
      </c>
      <c r="C64" s="16"/>
      <c r="D64" s="37"/>
      <c r="E64" s="15"/>
      <c r="F64" s="15"/>
      <c r="G64" s="29"/>
      <c r="H64" s="29"/>
      <c r="I64" s="18"/>
      <c r="J64" s="23"/>
      <c r="L64" s="19"/>
    </row>
    <row r="65" spans="1:22" ht="15.75" customHeight="1">
      <c r="A65" s="40">
        <v>18</v>
      </c>
      <c r="B65" s="151" t="s">
        <v>45</v>
      </c>
      <c r="C65" s="38" t="s">
        <v>111</v>
      </c>
      <c r="D65" s="37"/>
      <c r="E65" s="17">
        <v>40</v>
      </c>
      <c r="F65" s="139">
        <f>E65</f>
        <v>40</v>
      </c>
      <c r="G65" s="36">
        <v>303.35000000000002</v>
      </c>
      <c r="H65" s="100">
        <f t="shared" ref="H65:H72" si="6">SUM(F65*G65/1000)</f>
        <v>12.134</v>
      </c>
      <c r="I65" s="13">
        <f>G65*1</f>
        <v>303.35000000000002</v>
      </c>
    </row>
    <row r="66" spans="1:22" ht="15.75" hidden="1" customHeight="1">
      <c r="A66" s="29">
        <v>29</v>
      </c>
      <c r="B66" s="99" t="s">
        <v>46</v>
      </c>
      <c r="C66" s="16" t="s">
        <v>111</v>
      </c>
      <c r="D66" s="99" t="s">
        <v>65</v>
      </c>
      <c r="E66" s="18">
        <v>20</v>
      </c>
      <c r="F66" s="85">
        <v>20</v>
      </c>
      <c r="G66" s="13">
        <v>76.25</v>
      </c>
      <c r="H66" s="100">
        <f t="shared" si="6"/>
        <v>1.5249999999999999</v>
      </c>
      <c r="I66" s="13">
        <v>0</v>
      </c>
    </row>
    <row r="67" spans="1:22" ht="15.75" hidden="1" customHeight="1">
      <c r="A67" s="29">
        <v>8</v>
      </c>
      <c r="B67" s="99" t="s">
        <v>47</v>
      </c>
      <c r="C67" s="16" t="s">
        <v>114</v>
      </c>
      <c r="D67" s="99" t="s">
        <v>52</v>
      </c>
      <c r="E67" s="84">
        <v>18890</v>
      </c>
      <c r="F67" s="13">
        <f>SUM(E67/100)</f>
        <v>188.9</v>
      </c>
      <c r="G67" s="13">
        <v>212.15</v>
      </c>
      <c r="H67" s="100">
        <f t="shared" si="6"/>
        <v>40.075135000000003</v>
      </c>
      <c r="I67" s="13">
        <v>0</v>
      </c>
    </row>
    <row r="68" spans="1:22" ht="15.75" hidden="1" customHeight="1">
      <c r="A68" s="29">
        <v>9</v>
      </c>
      <c r="B68" s="99" t="s">
        <v>48</v>
      </c>
      <c r="C68" s="16" t="s">
        <v>115</v>
      </c>
      <c r="D68" s="99"/>
      <c r="E68" s="84">
        <v>18890</v>
      </c>
      <c r="F68" s="13">
        <f>SUM(E68/1000)</f>
        <v>18.89</v>
      </c>
      <c r="G68" s="13">
        <v>165.21</v>
      </c>
      <c r="H68" s="100">
        <f t="shared" si="6"/>
        <v>3.1208169000000003</v>
      </c>
      <c r="I68" s="13">
        <v>0</v>
      </c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9"/>
    </row>
    <row r="69" spans="1:22" ht="15.75" hidden="1" customHeight="1">
      <c r="A69" s="29">
        <v>10</v>
      </c>
      <c r="B69" s="99" t="s">
        <v>49</v>
      </c>
      <c r="C69" s="16" t="s">
        <v>75</v>
      </c>
      <c r="D69" s="99" t="s">
        <v>52</v>
      </c>
      <c r="E69" s="84">
        <v>3004</v>
      </c>
      <c r="F69" s="13">
        <f>SUM(E69/100)</f>
        <v>30.04</v>
      </c>
      <c r="G69" s="13">
        <v>2074.63</v>
      </c>
      <c r="H69" s="100">
        <f t="shared" si="6"/>
        <v>62.321885200000004</v>
      </c>
      <c r="I69" s="13">
        <v>0</v>
      </c>
      <c r="J69" s="25"/>
      <c r="K69" s="25"/>
      <c r="L69" s="3"/>
      <c r="M69" s="3"/>
      <c r="N69" s="3"/>
      <c r="O69" s="3"/>
      <c r="P69" s="3"/>
      <c r="Q69" s="3"/>
      <c r="R69" s="3"/>
      <c r="S69" s="3"/>
      <c r="T69" s="3"/>
      <c r="U69" s="3"/>
    </row>
    <row r="70" spans="1:22" ht="15.75" hidden="1" customHeight="1">
      <c r="A70" s="29">
        <v>11</v>
      </c>
      <c r="B70" s="101" t="s">
        <v>116</v>
      </c>
      <c r="C70" s="16" t="s">
        <v>33</v>
      </c>
      <c r="D70" s="99"/>
      <c r="E70" s="84">
        <v>15.8</v>
      </c>
      <c r="F70" s="13">
        <f>SUM(E70)</f>
        <v>15.8</v>
      </c>
      <c r="G70" s="13">
        <v>42.67</v>
      </c>
      <c r="H70" s="100">
        <f t="shared" si="6"/>
        <v>0.67418600000000006</v>
      </c>
      <c r="I70" s="13">
        <v>0</v>
      </c>
      <c r="J70" s="3"/>
      <c r="K70" s="3"/>
      <c r="L70" s="3"/>
      <c r="M70" s="3"/>
      <c r="N70" s="3"/>
      <c r="O70" s="3"/>
      <c r="P70" s="3"/>
      <c r="Q70" s="3"/>
      <c r="S70" s="3"/>
      <c r="T70" s="3"/>
      <c r="U70" s="3"/>
    </row>
    <row r="71" spans="1:22" ht="15.75" hidden="1" customHeight="1">
      <c r="A71" s="29">
        <v>12</v>
      </c>
      <c r="B71" s="101" t="s">
        <v>117</v>
      </c>
      <c r="C71" s="16" t="s">
        <v>33</v>
      </c>
      <c r="D71" s="99"/>
      <c r="E71" s="84">
        <v>15.8</v>
      </c>
      <c r="F71" s="13">
        <f>SUM(E71)</f>
        <v>15.8</v>
      </c>
      <c r="G71" s="13">
        <v>39.81</v>
      </c>
      <c r="H71" s="100">
        <f t="shared" si="6"/>
        <v>0.62899800000000006</v>
      </c>
      <c r="I71" s="13">
        <v>0</v>
      </c>
      <c r="J71" s="5"/>
      <c r="K71" s="5"/>
      <c r="L71" s="5"/>
      <c r="M71" s="5"/>
      <c r="N71" s="5"/>
      <c r="O71" s="5"/>
      <c r="P71" s="5"/>
      <c r="Q71" s="5"/>
      <c r="R71" s="199"/>
      <c r="S71" s="199"/>
      <c r="T71" s="199"/>
      <c r="U71" s="199"/>
    </row>
    <row r="72" spans="1:22" ht="20.25" hidden="1" customHeight="1">
      <c r="A72" s="29">
        <v>13</v>
      </c>
      <c r="B72" s="99" t="s">
        <v>55</v>
      </c>
      <c r="C72" s="16" t="s">
        <v>56</v>
      </c>
      <c r="D72" s="99" t="s">
        <v>52</v>
      </c>
      <c r="E72" s="18">
        <v>15</v>
      </c>
      <c r="F72" s="85">
        <v>15</v>
      </c>
      <c r="G72" s="13">
        <v>49.88</v>
      </c>
      <c r="H72" s="100">
        <f t="shared" si="6"/>
        <v>0.74820000000000009</v>
      </c>
      <c r="I72" s="13">
        <v>0</v>
      </c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3" spans="1:22" ht="20.25" customHeight="1">
      <c r="A73" s="29"/>
      <c r="B73" s="162" t="s">
        <v>181</v>
      </c>
      <c r="C73" s="38"/>
      <c r="D73" s="37"/>
      <c r="E73" s="17"/>
      <c r="F73" s="117"/>
      <c r="G73" s="36"/>
      <c r="H73" s="100"/>
      <c r="I73" s="13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</row>
    <row r="74" spans="1:22" ht="27.75" customHeight="1">
      <c r="A74" s="29">
        <v>19</v>
      </c>
      <c r="B74" s="37" t="s">
        <v>182</v>
      </c>
      <c r="C74" s="40" t="s">
        <v>183</v>
      </c>
      <c r="D74" s="37"/>
      <c r="E74" s="17">
        <v>5162.6000000000004</v>
      </c>
      <c r="F74" s="36">
        <f>E74*12</f>
        <v>61951.200000000004</v>
      </c>
      <c r="G74" s="36">
        <v>2.37</v>
      </c>
      <c r="H74" s="100"/>
      <c r="I74" s="13">
        <f>G74*F74/12</f>
        <v>12235.362000000001</v>
      </c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</row>
    <row r="75" spans="1:22" ht="22.5" hidden="1" customHeight="1">
      <c r="A75" s="52"/>
      <c r="B75" s="62" t="s">
        <v>118</v>
      </c>
      <c r="C75" s="62"/>
      <c r="D75" s="62"/>
      <c r="E75" s="62"/>
      <c r="F75" s="70"/>
      <c r="G75" s="62"/>
      <c r="H75" s="70"/>
      <c r="I75" s="18"/>
    </row>
    <row r="76" spans="1:22" ht="16.5" hidden="1" customHeight="1">
      <c r="A76" s="29">
        <v>19</v>
      </c>
      <c r="B76" s="82" t="s">
        <v>119</v>
      </c>
      <c r="C76" s="16"/>
      <c r="D76" s="99"/>
      <c r="E76" s="77"/>
      <c r="F76" s="13">
        <v>1</v>
      </c>
      <c r="G76" s="13">
        <v>27865.200000000001</v>
      </c>
      <c r="H76" s="100">
        <f>G76*F76/1000</f>
        <v>27.865200000000002</v>
      </c>
      <c r="I76" s="13">
        <v>0</v>
      </c>
    </row>
    <row r="77" spans="1:22" ht="15.75" customHeight="1">
      <c r="A77" s="29"/>
      <c r="B77" s="48" t="s">
        <v>70</v>
      </c>
      <c r="C77" s="48"/>
      <c r="D77" s="48"/>
      <c r="E77" s="18"/>
      <c r="F77" s="18"/>
      <c r="G77" s="29"/>
      <c r="H77" s="29"/>
      <c r="I77" s="18"/>
    </row>
    <row r="78" spans="1:22" ht="18.75" hidden="1" customHeight="1">
      <c r="A78" s="29"/>
      <c r="B78" s="99" t="s">
        <v>71</v>
      </c>
      <c r="C78" s="16" t="s">
        <v>73</v>
      </c>
      <c r="D78" s="99"/>
      <c r="E78" s="18">
        <v>10</v>
      </c>
      <c r="F78" s="13">
        <v>1</v>
      </c>
      <c r="G78" s="13">
        <v>501.62</v>
      </c>
      <c r="H78" s="100">
        <f t="shared" ref="H78:H82" si="7">SUM(F78*G78/1000)</f>
        <v>0.50161999999999995</v>
      </c>
      <c r="I78" s="13">
        <v>0</v>
      </c>
    </row>
    <row r="79" spans="1:22" ht="17.25" hidden="1" customHeight="1">
      <c r="A79" s="29"/>
      <c r="B79" s="99" t="s">
        <v>132</v>
      </c>
      <c r="C79" s="16" t="s">
        <v>31</v>
      </c>
      <c r="D79" s="99"/>
      <c r="E79" s="18">
        <v>1</v>
      </c>
      <c r="F79" s="13">
        <v>1</v>
      </c>
      <c r="G79" s="13">
        <v>99.85</v>
      </c>
      <c r="H79" s="100">
        <f>F79*G79/1000</f>
        <v>9.9849999999999994E-2</v>
      </c>
      <c r="I79" s="13">
        <v>0</v>
      </c>
    </row>
    <row r="80" spans="1:22" ht="17.25" hidden="1" customHeight="1">
      <c r="A80" s="29"/>
      <c r="B80" s="99" t="s">
        <v>133</v>
      </c>
      <c r="C80" s="16" t="s">
        <v>31</v>
      </c>
      <c r="D80" s="99"/>
      <c r="E80" s="18">
        <v>1</v>
      </c>
      <c r="F80" s="13">
        <v>1</v>
      </c>
      <c r="G80" s="13">
        <v>120.26</v>
      </c>
      <c r="H80" s="100">
        <f>F80*G80/1000</f>
        <v>0.12026000000000001</v>
      </c>
      <c r="I80" s="13">
        <v>0</v>
      </c>
    </row>
    <row r="81" spans="1:9" ht="18.75" customHeight="1">
      <c r="A81" s="29">
        <v>20</v>
      </c>
      <c r="B81" s="37" t="s">
        <v>72</v>
      </c>
      <c r="C81" s="38" t="s">
        <v>31</v>
      </c>
      <c r="D81" s="37"/>
      <c r="E81" s="17">
        <v>2</v>
      </c>
      <c r="F81" s="117">
        <v>2</v>
      </c>
      <c r="G81" s="36">
        <v>1163.47</v>
      </c>
      <c r="H81" s="100">
        <f>F81*G81/1000</f>
        <v>2.32694</v>
      </c>
      <c r="I81" s="13">
        <f>G81*1</f>
        <v>1163.47</v>
      </c>
    </row>
    <row r="82" spans="1:9" ht="21.75" hidden="1" customHeight="1">
      <c r="A82" s="29">
        <v>17</v>
      </c>
      <c r="B82" s="99" t="s">
        <v>83</v>
      </c>
      <c r="C82" s="16" t="s">
        <v>111</v>
      </c>
      <c r="D82" s="99"/>
      <c r="E82" s="18">
        <v>1</v>
      </c>
      <c r="F82" s="85">
        <f>SUM(E82)</f>
        <v>1</v>
      </c>
      <c r="G82" s="13">
        <v>358.51</v>
      </c>
      <c r="H82" s="100">
        <f t="shared" si="7"/>
        <v>0.35851</v>
      </c>
      <c r="I82" s="13">
        <v>0</v>
      </c>
    </row>
    <row r="83" spans="1:9" ht="30.75" customHeight="1">
      <c r="A83" s="29">
        <v>21</v>
      </c>
      <c r="B83" s="37" t="s">
        <v>184</v>
      </c>
      <c r="C83" s="38" t="s">
        <v>111</v>
      </c>
      <c r="D83" s="37" t="s">
        <v>233</v>
      </c>
      <c r="E83" s="17">
        <v>1</v>
      </c>
      <c r="F83" s="36">
        <f>E83*12</f>
        <v>12</v>
      </c>
      <c r="G83" s="36">
        <v>55.55</v>
      </c>
      <c r="H83" s="100"/>
      <c r="I83" s="13">
        <f>G83*1</f>
        <v>55.55</v>
      </c>
    </row>
    <row r="84" spans="1:9" ht="16.5" hidden="1" customHeight="1">
      <c r="A84" s="29"/>
      <c r="B84" s="49" t="s">
        <v>74</v>
      </c>
      <c r="C84" s="38"/>
      <c r="D84" s="29"/>
      <c r="E84" s="18"/>
      <c r="F84" s="18"/>
      <c r="G84" s="36"/>
      <c r="H84" s="36"/>
      <c r="I84" s="18"/>
    </row>
    <row r="85" spans="1:9" ht="15" hidden="1" customHeight="1">
      <c r="A85" s="29">
        <v>39</v>
      </c>
      <c r="B85" s="51" t="s">
        <v>120</v>
      </c>
      <c r="C85" s="16" t="s">
        <v>75</v>
      </c>
      <c r="D85" s="99"/>
      <c r="E85" s="18"/>
      <c r="F85" s="13">
        <v>1.35</v>
      </c>
      <c r="G85" s="13">
        <v>2759.44</v>
      </c>
      <c r="H85" s="100">
        <f t="shared" ref="H85" si="8">SUM(F85*G85/1000)</f>
        <v>3.725244</v>
      </c>
      <c r="I85" s="13">
        <v>0</v>
      </c>
    </row>
    <row r="86" spans="1:9" ht="15.75" customHeight="1">
      <c r="A86" s="208" t="s">
        <v>139</v>
      </c>
      <c r="B86" s="209"/>
      <c r="C86" s="209"/>
      <c r="D86" s="209"/>
      <c r="E86" s="209"/>
      <c r="F86" s="209"/>
      <c r="G86" s="209"/>
      <c r="H86" s="209"/>
      <c r="I86" s="210"/>
    </row>
    <row r="87" spans="1:9" ht="15.75" customHeight="1">
      <c r="A87" s="29">
        <v>22</v>
      </c>
      <c r="B87" s="32" t="s">
        <v>121</v>
      </c>
      <c r="C87" s="38" t="s">
        <v>53</v>
      </c>
      <c r="D87" s="63"/>
      <c r="E87" s="36">
        <v>5162.6000000000004</v>
      </c>
      <c r="F87" s="36">
        <f>SUM(E87*12)</f>
        <v>61951.200000000004</v>
      </c>
      <c r="G87" s="36">
        <v>3.22</v>
      </c>
      <c r="H87" s="102">
        <f>SUM(F87*G87/1000)</f>
        <v>199.48286400000003</v>
      </c>
      <c r="I87" s="13">
        <f>F87/12*G87</f>
        <v>16623.572000000004</v>
      </c>
    </row>
    <row r="88" spans="1:9" ht="31.5" customHeight="1">
      <c r="A88" s="29">
        <v>23</v>
      </c>
      <c r="B88" s="37" t="s">
        <v>185</v>
      </c>
      <c r="C88" s="114" t="s">
        <v>186</v>
      </c>
      <c r="D88" s="37"/>
      <c r="E88" s="17">
        <v>5162.6000000000004</v>
      </c>
      <c r="F88" s="36">
        <f>E88*12</f>
        <v>61951.200000000004</v>
      </c>
      <c r="G88" s="36">
        <v>3.64</v>
      </c>
      <c r="H88" s="100">
        <f>F88*G88/1000</f>
        <v>225.50236800000002</v>
      </c>
      <c r="I88" s="13">
        <f>F88/12*G88</f>
        <v>18791.864000000001</v>
      </c>
    </row>
    <row r="89" spans="1:9" ht="15.75" customHeight="1">
      <c r="A89" s="52"/>
      <c r="B89" s="39" t="s">
        <v>78</v>
      </c>
      <c r="C89" s="40"/>
      <c r="D89" s="15"/>
      <c r="E89" s="15"/>
      <c r="F89" s="15"/>
      <c r="G89" s="18"/>
      <c r="H89" s="18"/>
      <c r="I89" s="31">
        <f>I88+I87+I83+I81+I74+I65+I63+I59+I58+I51+I44+I43+I42+I41+I39+I38+I37+I27+I21+I20+I18+I17+I16</f>
        <v>103596.08899493332</v>
      </c>
    </row>
    <row r="90" spans="1:9" ht="15.75" customHeight="1">
      <c r="A90" s="211" t="s">
        <v>58</v>
      </c>
      <c r="B90" s="212"/>
      <c r="C90" s="212"/>
      <c r="D90" s="212"/>
      <c r="E90" s="212"/>
      <c r="F90" s="212"/>
      <c r="G90" s="212"/>
      <c r="H90" s="212"/>
      <c r="I90" s="213"/>
    </row>
    <row r="91" spans="1:9" ht="15.75" customHeight="1">
      <c r="A91" s="29">
        <v>24</v>
      </c>
      <c r="B91" s="161" t="s">
        <v>189</v>
      </c>
      <c r="C91" s="67" t="s">
        <v>111</v>
      </c>
      <c r="D91" s="51"/>
      <c r="E91" s="13"/>
      <c r="F91" s="13">
        <v>1</v>
      </c>
      <c r="G91" s="36">
        <v>207.32</v>
      </c>
      <c r="H91" s="100">
        <f t="shared" ref="H91:H99" si="9">G91*F91/1000</f>
        <v>0.20732</v>
      </c>
      <c r="I91" s="119">
        <f>G91*1</f>
        <v>207.32</v>
      </c>
    </row>
    <row r="92" spans="1:9" ht="31.5" customHeight="1">
      <c r="A92" s="29">
        <v>25</v>
      </c>
      <c r="B92" s="66" t="s">
        <v>168</v>
      </c>
      <c r="C92" s="67" t="s">
        <v>169</v>
      </c>
      <c r="D92" s="51"/>
      <c r="E92" s="13"/>
      <c r="F92" s="13">
        <v>3</v>
      </c>
      <c r="G92" s="36">
        <v>26095.37</v>
      </c>
      <c r="H92" s="100">
        <f t="shared" si="9"/>
        <v>78.286109999999994</v>
      </c>
      <c r="I92" s="119">
        <f>G92*0.01</f>
        <v>260.95369999999997</v>
      </c>
    </row>
    <row r="93" spans="1:9" ht="31.5" customHeight="1">
      <c r="A93" s="29">
        <v>26</v>
      </c>
      <c r="B93" s="66" t="s">
        <v>160</v>
      </c>
      <c r="C93" s="67" t="s">
        <v>111</v>
      </c>
      <c r="D93" s="51"/>
      <c r="E93" s="13"/>
      <c r="F93" s="13">
        <v>4</v>
      </c>
      <c r="G93" s="36">
        <v>207.55</v>
      </c>
      <c r="H93" s="100">
        <f t="shared" si="9"/>
        <v>0.83020000000000005</v>
      </c>
      <c r="I93" s="119">
        <f>G93*2</f>
        <v>415.1</v>
      </c>
    </row>
    <row r="94" spans="1:9" ht="31.5" customHeight="1">
      <c r="A94" s="29">
        <v>27</v>
      </c>
      <c r="B94" s="66" t="s">
        <v>190</v>
      </c>
      <c r="C94" s="67" t="s">
        <v>171</v>
      </c>
      <c r="D94" s="51"/>
      <c r="E94" s="13"/>
      <c r="F94" s="13">
        <v>1</v>
      </c>
      <c r="G94" s="36">
        <v>1367</v>
      </c>
      <c r="H94" s="100">
        <f t="shared" si="9"/>
        <v>1.367</v>
      </c>
      <c r="I94" s="119">
        <f>G94*2</f>
        <v>2734</v>
      </c>
    </row>
    <row r="95" spans="1:9" ht="15.75" customHeight="1">
      <c r="A95" s="29">
        <v>28</v>
      </c>
      <c r="B95" s="66" t="s">
        <v>153</v>
      </c>
      <c r="C95" s="67" t="s">
        <v>154</v>
      </c>
      <c r="D95" s="99"/>
      <c r="E95" s="18"/>
      <c r="F95" s="13">
        <v>55</v>
      </c>
      <c r="G95" s="36">
        <v>644.72</v>
      </c>
      <c r="H95" s="100">
        <f t="shared" si="9"/>
        <v>35.459600000000002</v>
      </c>
      <c r="I95" s="119">
        <f>G95*1</f>
        <v>644.72</v>
      </c>
    </row>
    <row r="96" spans="1:9" ht="31.5" customHeight="1">
      <c r="A96" s="29">
        <v>29</v>
      </c>
      <c r="B96" s="66" t="s">
        <v>134</v>
      </c>
      <c r="C96" s="67" t="s">
        <v>37</v>
      </c>
      <c r="D96" s="51"/>
      <c r="E96" s="13"/>
      <c r="F96" s="13">
        <v>6</v>
      </c>
      <c r="G96" s="36">
        <v>3914.31</v>
      </c>
      <c r="H96" s="100">
        <f t="shared" si="9"/>
        <v>23.485859999999999</v>
      </c>
      <c r="I96" s="119">
        <f>G96*0.02</f>
        <v>78.286199999999994</v>
      </c>
    </row>
    <row r="97" spans="1:9" ht="31.5" customHeight="1">
      <c r="A97" s="29">
        <v>30</v>
      </c>
      <c r="B97" s="66" t="s">
        <v>191</v>
      </c>
      <c r="C97" s="67" t="s">
        <v>192</v>
      </c>
      <c r="D97" s="99"/>
      <c r="E97" s="18"/>
      <c r="F97" s="13">
        <v>0.04</v>
      </c>
      <c r="G97" s="36">
        <v>153.37</v>
      </c>
      <c r="H97" s="100">
        <f t="shared" si="9"/>
        <v>6.1348000000000001E-3</v>
      </c>
      <c r="I97" s="119">
        <f>G97*1</f>
        <v>153.37</v>
      </c>
    </row>
    <row r="98" spans="1:9" ht="31.5" customHeight="1">
      <c r="A98" s="29">
        <v>31</v>
      </c>
      <c r="B98" s="66" t="s">
        <v>77</v>
      </c>
      <c r="C98" s="67" t="s">
        <v>111</v>
      </c>
      <c r="D98" s="99"/>
      <c r="E98" s="18"/>
      <c r="F98" s="13">
        <v>3</v>
      </c>
      <c r="G98" s="36">
        <v>91.11</v>
      </c>
      <c r="H98" s="100">
        <f t="shared" si="9"/>
        <v>0.27332999999999996</v>
      </c>
      <c r="I98" s="13">
        <f>G98*1</f>
        <v>91.11</v>
      </c>
    </row>
    <row r="99" spans="1:9" ht="15.75" customHeight="1">
      <c r="A99" s="29">
        <v>32</v>
      </c>
      <c r="B99" s="66" t="s">
        <v>193</v>
      </c>
      <c r="C99" s="67" t="s">
        <v>111</v>
      </c>
      <c r="D99" s="51"/>
      <c r="E99" s="13"/>
      <c r="F99" s="13">
        <v>1</v>
      </c>
      <c r="G99" s="36">
        <v>133.85</v>
      </c>
      <c r="H99" s="100">
        <f t="shared" si="9"/>
        <v>0.13385</v>
      </c>
      <c r="I99" s="119">
        <f>G99*1</f>
        <v>133.85</v>
      </c>
    </row>
    <row r="100" spans="1:9" ht="15.75" customHeight="1">
      <c r="A100" s="29"/>
      <c r="B100" s="66" t="s">
        <v>194</v>
      </c>
      <c r="C100" s="67" t="s">
        <v>171</v>
      </c>
      <c r="D100" s="51"/>
      <c r="E100" s="13"/>
      <c r="F100" s="13"/>
      <c r="G100" s="36">
        <v>273</v>
      </c>
      <c r="H100" s="100"/>
      <c r="I100" s="119">
        <f>G100*11</f>
        <v>3003</v>
      </c>
    </row>
    <row r="101" spans="1:9" ht="15.75" customHeight="1">
      <c r="A101" s="29"/>
      <c r="B101" s="45" t="s">
        <v>50</v>
      </c>
      <c r="C101" s="41"/>
      <c r="D101" s="53"/>
      <c r="E101" s="41">
        <v>1</v>
      </c>
      <c r="F101" s="41"/>
      <c r="G101" s="41"/>
      <c r="H101" s="41"/>
      <c r="I101" s="31">
        <f>SUM(I91:I100)</f>
        <v>7721.7098999999998</v>
      </c>
    </row>
    <row r="102" spans="1:9" ht="15.75" customHeight="1">
      <c r="A102" s="29"/>
      <c r="B102" s="51" t="s">
        <v>76</v>
      </c>
      <c r="C102" s="15"/>
      <c r="D102" s="15"/>
      <c r="E102" s="42"/>
      <c r="F102" s="42"/>
      <c r="G102" s="43"/>
      <c r="H102" s="43"/>
      <c r="I102" s="17">
        <v>0</v>
      </c>
    </row>
    <row r="103" spans="1:9" ht="15.75" customHeight="1">
      <c r="A103" s="54"/>
      <c r="B103" s="46" t="s">
        <v>144</v>
      </c>
      <c r="C103" s="34"/>
      <c r="D103" s="34"/>
      <c r="E103" s="34"/>
      <c r="F103" s="34"/>
      <c r="G103" s="34"/>
      <c r="H103" s="34"/>
      <c r="I103" s="44">
        <f>I89+I101</f>
        <v>111317.79889493332</v>
      </c>
    </row>
    <row r="104" spans="1:9" ht="15.75">
      <c r="A104" s="205" t="s">
        <v>241</v>
      </c>
      <c r="B104" s="205"/>
      <c r="C104" s="205"/>
      <c r="D104" s="205"/>
      <c r="E104" s="205"/>
      <c r="F104" s="205"/>
      <c r="G104" s="205"/>
      <c r="H104" s="205"/>
      <c r="I104" s="205"/>
    </row>
    <row r="105" spans="1:9" ht="15.75">
      <c r="A105" s="61"/>
      <c r="B105" s="206" t="s">
        <v>242</v>
      </c>
      <c r="C105" s="206"/>
      <c r="D105" s="206"/>
      <c r="E105" s="206"/>
      <c r="F105" s="206"/>
      <c r="G105" s="206"/>
      <c r="H105" s="80"/>
      <c r="I105" s="3"/>
    </row>
    <row r="106" spans="1:9">
      <c r="A106" s="56"/>
      <c r="B106" s="204" t="s">
        <v>6</v>
      </c>
      <c r="C106" s="204"/>
      <c r="D106" s="204"/>
      <c r="E106" s="204"/>
      <c r="F106" s="204"/>
      <c r="G106" s="204"/>
      <c r="H106" s="24"/>
      <c r="I106" s="5"/>
    </row>
    <row r="107" spans="1:9">
      <c r="A107" s="10"/>
      <c r="B107" s="10"/>
      <c r="C107" s="10"/>
      <c r="D107" s="10"/>
      <c r="E107" s="10"/>
      <c r="F107" s="10"/>
      <c r="G107" s="10"/>
      <c r="H107" s="10"/>
      <c r="I107" s="10"/>
    </row>
    <row r="108" spans="1:9" ht="15.75">
      <c r="A108" s="207" t="s">
        <v>7</v>
      </c>
      <c r="B108" s="207"/>
      <c r="C108" s="207"/>
      <c r="D108" s="207"/>
      <c r="E108" s="207"/>
      <c r="F108" s="207"/>
      <c r="G108" s="207"/>
      <c r="H108" s="207"/>
      <c r="I108" s="207"/>
    </row>
    <row r="109" spans="1:9" ht="15.75">
      <c r="A109" s="207" t="s">
        <v>8</v>
      </c>
      <c r="B109" s="207"/>
      <c r="C109" s="207"/>
      <c r="D109" s="207"/>
      <c r="E109" s="207"/>
      <c r="F109" s="207"/>
      <c r="G109" s="207"/>
      <c r="H109" s="207"/>
      <c r="I109" s="207"/>
    </row>
    <row r="110" spans="1:9" ht="15.75">
      <c r="A110" s="201" t="s">
        <v>59</v>
      </c>
      <c r="B110" s="201"/>
      <c r="C110" s="201"/>
      <c r="D110" s="201"/>
      <c r="E110" s="201"/>
      <c r="F110" s="201"/>
      <c r="G110" s="201"/>
      <c r="H110" s="201"/>
      <c r="I110" s="201"/>
    </row>
    <row r="111" spans="1:9" ht="15.75">
      <c r="A111" s="11"/>
    </row>
    <row r="112" spans="1:9" ht="15.75">
      <c r="A112" s="202" t="s">
        <v>9</v>
      </c>
      <c r="B112" s="202"/>
      <c r="C112" s="202"/>
      <c r="D112" s="202"/>
      <c r="E112" s="202"/>
      <c r="F112" s="202"/>
      <c r="G112" s="202"/>
      <c r="H112" s="202"/>
      <c r="I112" s="202"/>
    </row>
    <row r="113" spans="1:9" ht="15.75">
      <c r="A113" s="4"/>
    </row>
    <row r="114" spans="1:9" ht="15.75">
      <c r="B114" s="59" t="s">
        <v>10</v>
      </c>
      <c r="C114" s="203" t="s">
        <v>84</v>
      </c>
      <c r="D114" s="203"/>
      <c r="E114" s="203"/>
      <c r="F114" s="78"/>
      <c r="I114" s="60"/>
    </row>
    <row r="115" spans="1:9">
      <c r="A115" s="56"/>
      <c r="C115" s="204" t="s">
        <v>11</v>
      </c>
      <c r="D115" s="204"/>
      <c r="E115" s="204"/>
      <c r="F115" s="24"/>
      <c r="I115" s="58" t="s">
        <v>12</v>
      </c>
    </row>
    <row r="116" spans="1:9" ht="15.75">
      <c r="A116" s="25"/>
      <c r="C116" s="12"/>
      <c r="D116" s="12"/>
      <c r="G116" s="12"/>
      <c r="H116" s="12"/>
    </row>
    <row r="117" spans="1:9" ht="15.75">
      <c r="B117" s="59" t="s">
        <v>13</v>
      </c>
      <c r="C117" s="198"/>
      <c r="D117" s="198"/>
      <c r="E117" s="198"/>
      <c r="F117" s="79"/>
      <c r="I117" s="60"/>
    </row>
    <row r="118" spans="1:9">
      <c r="A118" s="56"/>
      <c r="C118" s="199" t="s">
        <v>11</v>
      </c>
      <c r="D118" s="199"/>
      <c r="E118" s="199"/>
      <c r="F118" s="69"/>
      <c r="I118" s="58" t="s">
        <v>12</v>
      </c>
    </row>
    <row r="119" spans="1:9" ht="15.75">
      <c r="A119" s="4" t="s">
        <v>14</v>
      </c>
    </row>
    <row r="120" spans="1:9">
      <c r="A120" s="200" t="s">
        <v>15</v>
      </c>
      <c r="B120" s="200"/>
      <c r="C120" s="200"/>
      <c r="D120" s="200"/>
      <c r="E120" s="200"/>
      <c r="F120" s="200"/>
      <c r="G120" s="200"/>
      <c r="H120" s="200"/>
      <c r="I120" s="200"/>
    </row>
    <row r="121" spans="1:9" ht="45" customHeight="1">
      <c r="A121" s="197" t="s">
        <v>16</v>
      </c>
      <c r="B121" s="197"/>
      <c r="C121" s="197"/>
      <c r="D121" s="197"/>
      <c r="E121" s="197"/>
      <c r="F121" s="197"/>
      <c r="G121" s="197"/>
      <c r="H121" s="197"/>
      <c r="I121" s="197"/>
    </row>
    <row r="122" spans="1:9" ht="30" customHeight="1">
      <c r="A122" s="197" t="s">
        <v>17</v>
      </c>
      <c r="B122" s="197"/>
      <c r="C122" s="197"/>
      <c r="D122" s="197"/>
      <c r="E122" s="197"/>
      <c r="F122" s="197"/>
      <c r="G122" s="197"/>
      <c r="H122" s="197"/>
      <c r="I122" s="197"/>
    </row>
    <row r="123" spans="1:9" ht="30" customHeight="1">
      <c r="A123" s="197" t="s">
        <v>21</v>
      </c>
      <c r="B123" s="197"/>
      <c r="C123" s="197"/>
      <c r="D123" s="197"/>
      <c r="E123" s="197"/>
      <c r="F123" s="197"/>
      <c r="G123" s="197"/>
      <c r="H123" s="197"/>
      <c r="I123" s="197"/>
    </row>
    <row r="124" spans="1:9" ht="15" customHeight="1">
      <c r="A124" s="197" t="s">
        <v>20</v>
      </c>
      <c r="B124" s="197"/>
      <c r="C124" s="197"/>
      <c r="D124" s="197"/>
      <c r="E124" s="197"/>
      <c r="F124" s="197"/>
      <c r="G124" s="197"/>
      <c r="H124" s="197"/>
      <c r="I124" s="197"/>
    </row>
  </sheetData>
  <autoFilter ref="I12:I66"/>
  <mergeCells count="29">
    <mergeCell ref="A86:I86"/>
    <mergeCell ref="A90:I90"/>
    <mergeCell ref="R71:U71"/>
    <mergeCell ref="A3:I3"/>
    <mergeCell ref="A4:I4"/>
    <mergeCell ref="A8:I8"/>
    <mergeCell ref="A10:I10"/>
    <mergeCell ref="A5:I5"/>
    <mergeCell ref="A14:I14"/>
    <mergeCell ref="A15:I15"/>
    <mergeCell ref="A28:I28"/>
    <mergeCell ref="A46:I46"/>
    <mergeCell ref="A56:I56"/>
    <mergeCell ref="A104:I104"/>
    <mergeCell ref="B105:G105"/>
    <mergeCell ref="B106:G106"/>
    <mergeCell ref="A108:I108"/>
    <mergeCell ref="A109:I109"/>
    <mergeCell ref="A110:I110"/>
    <mergeCell ref="A112:I112"/>
    <mergeCell ref="C114:E114"/>
    <mergeCell ref="C115:E115"/>
    <mergeCell ref="A123:I123"/>
    <mergeCell ref="A124:I124"/>
    <mergeCell ref="C117:E117"/>
    <mergeCell ref="C118:E118"/>
    <mergeCell ref="A120:I120"/>
    <mergeCell ref="A121:I121"/>
    <mergeCell ref="A122:I122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V118"/>
  <sheetViews>
    <sheetView view="pageBreakPreview" topLeftCell="A10" zoomScale="60" workbookViewId="0">
      <selection activeCell="D38" sqref="D38:D4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1.140625" hidden="1" customWidth="1"/>
    <col min="6" max="6" width="10.71093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170</v>
      </c>
      <c r="I1" s="26"/>
      <c r="J1" s="1"/>
      <c r="K1" s="1"/>
      <c r="L1" s="1"/>
      <c r="M1" s="1"/>
    </row>
    <row r="2" spans="1:13" ht="15.75" customHeight="1">
      <c r="A2" s="28" t="s">
        <v>60</v>
      </c>
      <c r="J2" s="2"/>
      <c r="K2" s="2"/>
      <c r="L2" s="2"/>
      <c r="M2" s="2"/>
    </row>
    <row r="3" spans="1:13" ht="15.75" customHeight="1">
      <c r="A3" s="214" t="s">
        <v>145</v>
      </c>
      <c r="B3" s="214"/>
      <c r="C3" s="214"/>
      <c r="D3" s="214"/>
      <c r="E3" s="214"/>
      <c r="F3" s="214"/>
      <c r="G3" s="214"/>
      <c r="H3" s="214"/>
      <c r="I3" s="214"/>
      <c r="J3" s="3"/>
      <c r="K3" s="3"/>
      <c r="L3" s="3"/>
    </row>
    <row r="4" spans="1:13" ht="31.5" customHeight="1">
      <c r="A4" s="215" t="s">
        <v>122</v>
      </c>
      <c r="B4" s="215"/>
      <c r="C4" s="215"/>
      <c r="D4" s="215"/>
      <c r="E4" s="215"/>
      <c r="F4" s="215"/>
      <c r="G4" s="215"/>
      <c r="H4" s="215"/>
      <c r="I4" s="215"/>
    </row>
    <row r="5" spans="1:13" ht="15.75" customHeight="1">
      <c r="A5" s="214" t="s">
        <v>197</v>
      </c>
      <c r="B5" s="218"/>
      <c r="C5" s="218"/>
      <c r="D5" s="218"/>
      <c r="E5" s="218"/>
      <c r="F5" s="218"/>
      <c r="G5" s="218"/>
      <c r="H5" s="218"/>
      <c r="I5" s="218"/>
      <c r="J5" s="2"/>
      <c r="K5" s="2"/>
      <c r="L5" s="2"/>
      <c r="M5" s="2"/>
    </row>
    <row r="6" spans="1:13" ht="15.75" customHeight="1">
      <c r="A6" s="2"/>
      <c r="B6" s="167"/>
      <c r="C6" s="167"/>
      <c r="D6" s="167"/>
      <c r="E6" s="167"/>
      <c r="F6" s="167"/>
      <c r="G6" s="167"/>
      <c r="H6" s="167"/>
      <c r="I6" s="30">
        <v>43524</v>
      </c>
      <c r="J6" s="2"/>
      <c r="K6" s="2"/>
      <c r="L6" s="2"/>
      <c r="M6" s="2"/>
    </row>
    <row r="7" spans="1:13" ht="15.75" customHeight="1">
      <c r="B7" s="165"/>
      <c r="C7" s="165"/>
      <c r="D7" s="165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16" t="s">
        <v>196</v>
      </c>
      <c r="B8" s="216"/>
      <c r="C8" s="216"/>
      <c r="D8" s="216"/>
      <c r="E8" s="216"/>
      <c r="F8" s="216"/>
      <c r="G8" s="216"/>
      <c r="H8" s="216"/>
      <c r="I8" s="216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17" t="s">
        <v>136</v>
      </c>
      <c r="B10" s="217"/>
      <c r="C10" s="217"/>
      <c r="D10" s="217"/>
      <c r="E10" s="217"/>
      <c r="F10" s="217"/>
      <c r="G10" s="217"/>
      <c r="H10" s="217"/>
      <c r="I10" s="217"/>
      <c r="J10" s="2"/>
      <c r="K10" s="2"/>
      <c r="L10" s="2"/>
      <c r="M10" s="2"/>
    </row>
    <row r="11" spans="1:13" ht="15.75">
      <c r="A11" s="4"/>
    </row>
    <row r="12" spans="1:13" ht="53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219" t="s">
        <v>57</v>
      </c>
      <c r="B14" s="219"/>
      <c r="C14" s="219"/>
      <c r="D14" s="219"/>
      <c r="E14" s="219"/>
      <c r="F14" s="219"/>
      <c r="G14" s="219"/>
      <c r="H14" s="219"/>
      <c r="I14" s="219"/>
      <c r="J14" s="8"/>
      <c r="K14" s="8"/>
      <c r="L14" s="8"/>
      <c r="M14" s="8"/>
    </row>
    <row r="15" spans="1:13" ht="15.75" customHeight="1">
      <c r="A15" s="220" t="s">
        <v>4</v>
      </c>
      <c r="B15" s="220"/>
      <c r="C15" s="220"/>
      <c r="D15" s="220"/>
      <c r="E15" s="220"/>
      <c r="F15" s="220"/>
      <c r="G15" s="220"/>
      <c r="H15" s="220"/>
      <c r="I15" s="220"/>
      <c r="J15" s="8"/>
      <c r="K15" s="8"/>
      <c r="L15" s="8"/>
      <c r="M15" s="8"/>
    </row>
    <row r="16" spans="1:13" ht="15.75" customHeight="1">
      <c r="A16" s="29">
        <v>1</v>
      </c>
      <c r="B16" s="32" t="s">
        <v>82</v>
      </c>
      <c r="C16" s="138" t="s">
        <v>89</v>
      </c>
      <c r="D16" s="32" t="s">
        <v>230</v>
      </c>
      <c r="E16" s="152">
        <v>129.88</v>
      </c>
      <c r="F16" s="139">
        <f>SUM(E16*156/100)</f>
        <v>202.61279999999999</v>
      </c>
      <c r="G16" s="139">
        <v>239.2</v>
      </c>
      <c r="H16" s="86">
        <f t="shared" ref="H16:H26" si="0">SUM(F16*G16/1000)</f>
        <v>48.464981759999993</v>
      </c>
      <c r="I16" s="13">
        <f>F16/12*G16</f>
        <v>4038.7484799999997</v>
      </c>
      <c r="J16" s="8"/>
      <c r="K16" s="8"/>
      <c r="L16" s="8"/>
      <c r="M16" s="8"/>
    </row>
    <row r="17" spans="1:13" ht="15.75" customHeight="1">
      <c r="A17" s="29">
        <v>2</v>
      </c>
      <c r="B17" s="32" t="s">
        <v>85</v>
      </c>
      <c r="C17" s="138" t="s">
        <v>89</v>
      </c>
      <c r="D17" s="32" t="s">
        <v>231</v>
      </c>
      <c r="E17" s="152">
        <v>519.52</v>
      </c>
      <c r="F17" s="139">
        <f>SUM(E17*104/100)</f>
        <v>540.30079999999998</v>
      </c>
      <c r="G17" s="139">
        <v>239.2</v>
      </c>
      <c r="H17" s="86">
        <f t="shared" si="0"/>
        <v>129.23995135999999</v>
      </c>
      <c r="I17" s="13">
        <f>F17/12*G17</f>
        <v>10769.995946666666</v>
      </c>
      <c r="J17" s="22"/>
      <c r="K17" s="8"/>
      <c r="L17" s="8"/>
      <c r="M17" s="8"/>
    </row>
    <row r="18" spans="1:13" ht="15.75" customHeight="1">
      <c r="A18" s="29">
        <v>3</v>
      </c>
      <c r="B18" s="32" t="s">
        <v>86</v>
      </c>
      <c r="C18" s="138" t="s">
        <v>89</v>
      </c>
      <c r="D18" s="32" t="s">
        <v>232</v>
      </c>
      <c r="E18" s="152">
        <f>SUM(E16+E17)</f>
        <v>649.4</v>
      </c>
      <c r="F18" s="139">
        <f>SUM(E18*18/100)</f>
        <v>116.892</v>
      </c>
      <c r="G18" s="139">
        <v>688.14</v>
      </c>
      <c r="H18" s="86">
        <f t="shared" si="0"/>
        <v>80.438060879999995</v>
      </c>
      <c r="I18" s="13">
        <f>F18/12*G18</f>
        <v>6703.1717399999998</v>
      </c>
      <c r="J18" s="22"/>
      <c r="K18" s="8"/>
      <c r="L18" s="8"/>
      <c r="M18" s="8"/>
    </row>
    <row r="19" spans="1:13" ht="15.75" hidden="1" customHeight="1">
      <c r="A19" s="29"/>
      <c r="B19" s="32" t="s">
        <v>90</v>
      </c>
      <c r="C19" s="138" t="s">
        <v>91</v>
      </c>
      <c r="D19" s="32" t="s">
        <v>92</v>
      </c>
      <c r="E19" s="152">
        <v>124.8</v>
      </c>
      <c r="F19" s="139">
        <f>SUM(E19/10)</f>
        <v>12.48</v>
      </c>
      <c r="G19" s="139">
        <v>232.1</v>
      </c>
      <c r="H19" s="86">
        <f t="shared" si="0"/>
        <v>2.8966080000000001</v>
      </c>
      <c r="I19" s="13">
        <f>F19/2*G19</f>
        <v>1448.3040000000001</v>
      </c>
      <c r="J19" s="22"/>
      <c r="K19" s="8"/>
      <c r="L19" s="8"/>
      <c r="M19" s="8"/>
    </row>
    <row r="20" spans="1:13" ht="17.25" customHeight="1">
      <c r="A20" s="29">
        <v>4</v>
      </c>
      <c r="B20" s="32" t="s">
        <v>95</v>
      </c>
      <c r="C20" s="138" t="s">
        <v>89</v>
      </c>
      <c r="D20" s="32" t="s">
        <v>233</v>
      </c>
      <c r="E20" s="152">
        <v>57.5</v>
      </c>
      <c r="F20" s="139">
        <f>SUM(E20*12/100)</f>
        <v>6.9</v>
      </c>
      <c r="G20" s="139">
        <v>297.19</v>
      </c>
      <c r="H20" s="86">
        <f t="shared" si="0"/>
        <v>2.050611</v>
      </c>
      <c r="I20" s="13">
        <f>F20*G20/12</f>
        <v>170.88424999999998</v>
      </c>
      <c r="J20" s="22"/>
      <c r="K20" s="8"/>
      <c r="L20" s="8"/>
      <c r="M20" s="8"/>
    </row>
    <row r="21" spans="1:13" ht="15" customHeight="1">
      <c r="A21" s="29">
        <v>5</v>
      </c>
      <c r="B21" s="32" t="s">
        <v>96</v>
      </c>
      <c r="C21" s="138" t="s">
        <v>89</v>
      </c>
      <c r="D21" s="32" t="s">
        <v>233</v>
      </c>
      <c r="E21" s="152">
        <v>13.41</v>
      </c>
      <c r="F21" s="139">
        <f>SUM(E21*12/100)</f>
        <v>1.6092000000000002</v>
      </c>
      <c r="G21" s="139">
        <v>294.77999999999997</v>
      </c>
      <c r="H21" s="86">
        <f t="shared" si="0"/>
        <v>0.47435997600000002</v>
      </c>
      <c r="I21" s="13">
        <f>F21*G21/12</f>
        <v>39.529997999999999</v>
      </c>
      <c r="J21" s="22"/>
      <c r="K21" s="8"/>
      <c r="L21" s="8"/>
      <c r="M21" s="8"/>
    </row>
    <row r="22" spans="1:13" ht="30" hidden="1" customHeight="1">
      <c r="A22" s="29"/>
      <c r="B22" s="32" t="s">
        <v>97</v>
      </c>
      <c r="C22" s="138" t="s">
        <v>51</v>
      </c>
      <c r="D22" s="32" t="s">
        <v>92</v>
      </c>
      <c r="E22" s="152">
        <v>820.5</v>
      </c>
      <c r="F22" s="139">
        <f>SUM(E22/100)</f>
        <v>8.2050000000000001</v>
      </c>
      <c r="G22" s="139">
        <v>367.27</v>
      </c>
      <c r="H22" s="86">
        <f t="shared" si="0"/>
        <v>3.0134503500000003</v>
      </c>
      <c r="I22" s="13">
        <f t="shared" ref="I22:I26" si="1">F22*G22</f>
        <v>3013.4503500000001</v>
      </c>
      <c r="J22" s="22"/>
      <c r="K22" s="8"/>
      <c r="L22" s="8"/>
      <c r="M22" s="8"/>
    </row>
    <row r="23" spans="1:13" ht="30.75" hidden="1" customHeight="1">
      <c r="A23" s="29"/>
      <c r="B23" s="32" t="s">
        <v>98</v>
      </c>
      <c r="C23" s="138" t="s">
        <v>51</v>
      </c>
      <c r="D23" s="32" t="s">
        <v>92</v>
      </c>
      <c r="E23" s="159">
        <v>60.25</v>
      </c>
      <c r="F23" s="139">
        <f>SUM(E23/100)</f>
        <v>0.60250000000000004</v>
      </c>
      <c r="G23" s="139">
        <v>60.41</v>
      </c>
      <c r="H23" s="86">
        <f t="shared" si="0"/>
        <v>3.6397025E-2</v>
      </c>
      <c r="I23" s="13">
        <f t="shared" si="1"/>
        <v>36.397024999999999</v>
      </c>
      <c r="J23" s="22"/>
      <c r="K23" s="8"/>
      <c r="L23" s="8"/>
      <c r="M23" s="8"/>
    </row>
    <row r="24" spans="1:13" ht="28.5" hidden="1" customHeight="1">
      <c r="A24" s="29"/>
      <c r="B24" s="32" t="s">
        <v>93</v>
      </c>
      <c r="C24" s="138" t="s">
        <v>51</v>
      </c>
      <c r="D24" s="32" t="s">
        <v>94</v>
      </c>
      <c r="E24" s="152">
        <v>19.149999999999999</v>
      </c>
      <c r="F24" s="139">
        <f>E24/100</f>
        <v>0.19149999999999998</v>
      </c>
      <c r="G24" s="139">
        <v>531.55999999999995</v>
      </c>
      <c r="H24" s="86">
        <f t="shared" si="0"/>
        <v>0.10179373999999997</v>
      </c>
      <c r="I24" s="13">
        <f t="shared" si="1"/>
        <v>101.79373999999997</v>
      </c>
      <c r="J24" s="22"/>
      <c r="K24" s="8"/>
      <c r="L24" s="8"/>
      <c r="M24" s="8"/>
    </row>
    <row r="25" spans="1:13" ht="22.5" hidden="1" customHeight="1">
      <c r="A25" s="40">
        <v>6</v>
      </c>
      <c r="B25" s="32" t="s">
        <v>100</v>
      </c>
      <c r="C25" s="138" t="s">
        <v>51</v>
      </c>
      <c r="D25" s="32" t="s">
        <v>52</v>
      </c>
      <c r="E25" s="152">
        <v>31.5</v>
      </c>
      <c r="F25" s="139">
        <v>0.32</v>
      </c>
      <c r="G25" s="139">
        <v>294.77999999999997</v>
      </c>
      <c r="H25" s="86">
        <f t="shared" si="0"/>
        <v>9.43296E-2</v>
      </c>
      <c r="I25" s="13">
        <f t="shared" si="1"/>
        <v>94.329599999999999</v>
      </c>
      <c r="J25" s="22"/>
      <c r="K25" s="8"/>
      <c r="L25" s="8"/>
      <c r="M25" s="8"/>
    </row>
    <row r="26" spans="1:13" ht="17.25" hidden="1" customHeight="1">
      <c r="A26" s="40"/>
      <c r="B26" s="32" t="s">
        <v>99</v>
      </c>
      <c r="C26" s="138" t="s">
        <v>51</v>
      </c>
      <c r="D26" s="32" t="s">
        <v>92</v>
      </c>
      <c r="E26" s="152">
        <v>37.5</v>
      </c>
      <c r="F26" s="139">
        <f>SUM(E26/100)</f>
        <v>0.375</v>
      </c>
      <c r="G26" s="139">
        <v>710.37</v>
      </c>
      <c r="H26" s="86">
        <f t="shared" si="0"/>
        <v>0.26638875000000001</v>
      </c>
      <c r="I26" s="13">
        <f t="shared" si="1"/>
        <v>266.38875000000002</v>
      </c>
      <c r="J26" s="22"/>
      <c r="K26" s="8"/>
      <c r="L26" s="8"/>
      <c r="M26" s="8"/>
    </row>
    <row r="27" spans="1:13" ht="15.75" customHeight="1">
      <c r="A27" s="40">
        <v>6</v>
      </c>
      <c r="B27" s="32" t="s">
        <v>229</v>
      </c>
      <c r="C27" s="138" t="s">
        <v>26</v>
      </c>
      <c r="D27" s="32" t="s">
        <v>234</v>
      </c>
      <c r="E27" s="175">
        <v>4.88</v>
      </c>
      <c r="F27" s="139">
        <f>E27*258</f>
        <v>1259.04</v>
      </c>
      <c r="G27" s="139">
        <v>10.39</v>
      </c>
      <c r="H27" s="86">
        <f t="shared" ref="H27" si="2">SUM(F27*G27/1000)</f>
        <v>13.081425600000001</v>
      </c>
      <c r="I27" s="13">
        <f>F27/12*G27</f>
        <v>1090.1188</v>
      </c>
      <c r="J27" s="22"/>
      <c r="K27" s="8"/>
      <c r="L27" s="8"/>
      <c r="M27" s="8"/>
    </row>
    <row r="28" spans="1:13" ht="15.75" customHeight="1">
      <c r="A28" s="221" t="s">
        <v>81</v>
      </c>
      <c r="B28" s="222"/>
      <c r="C28" s="222"/>
      <c r="D28" s="222"/>
      <c r="E28" s="222"/>
      <c r="F28" s="222"/>
      <c r="G28" s="222"/>
      <c r="H28" s="222"/>
      <c r="I28" s="223"/>
      <c r="J28" s="22"/>
      <c r="K28" s="8"/>
      <c r="L28" s="8"/>
      <c r="M28" s="8"/>
    </row>
    <row r="29" spans="1:13" ht="15.75" customHeight="1">
      <c r="A29" s="40"/>
      <c r="B29" s="50" t="s">
        <v>29</v>
      </c>
      <c r="C29" s="50"/>
      <c r="D29" s="50"/>
      <c r="E29" s="50"/>
      <c r="F29" s="50"/>
      <c r="G29" s="50"/>
      <c r="H29" s="50"/>
      <c r="I29" s="18"/>
      <c r="J29" s="22"/>
      <c r="K29" s="8"/>
      <c r="L29" s="8"/>
      <c r="M29" s="8"/>
    </row>
    <row r="30" spans="1:13" ht="15.75" hidden="1" customHeight="1">
      <c r="A30" s="40">
        <v>2</v>
      </c>
      <c r="B30" s="82" t="s">
        <v>101</v>
      </c>
      <c r="C30" s="83" t="s">
        <v>102</v>
      </c>
      <c r="D30" s="82" t="s">
        <v>103</v>
      </c>
      <c r="E30" s="85">
        <v>1304.45</v>
      </c>
      <c r="F30" s="85">
        <f>SUM(E30*52/1000)</f>
        <v>67.831400000000002</v>
      </c>
      <c r="G30" s="85">
        <v>155.88999999999999</v>
      </c>
      <c r="H30" s="86">
        <f t="shared" ref="H30:H35" si="3">SUM(F30*G30/1000)</f>
        <v>10.574236945999999</v>
      </c>
      <c r="I30" s="13">
        <f>F30/6*G30</f>
        <v>1762.3728243333333</v>
      </c>
      <c r="J30" s="22"/>
      <c r="K30" s="8"/>
      <c r="L30" s="8"/>
      <c r="M30" s="8"/>
    </row>
    <row r="31" spans="1:13" ht="15.75" hidden="1" customHeight="1">
      <c r="A31" s="40">
        <v>3</v>
      </c>
      <c r="B31" s="82" t="s">
        <v>140</v>
      </c>
      <c r="C31" s="83" t="s">
        <v>102</v>
      </c>
      <c r="D31" s="82" t="s">
        <v>104</v>
      </c>
      <c r="E31" s="85">
        <v>287.83999999999997</v>
      </c>
      <c r="F31" s="85">
        <f>SUM(E31*78/1000)</f>
        <v>22.451519999999995</v>
      </c>
      <c r="G31" s="85">
        <v>258.63</v>
      </c>
      <c r="H31" s="86">
        <f t="shared" si="3"/>
        <v>5.8066366175999979</v>
      </c>
      <c r="I31" s="13">
        <f t="shared" ref="I31:I33" si="4">F31/6*G31</f>
        <v>967.77276959999972</v>
      </c>
      <c r="J31" s="22"/>
      <c r="K31" s="8"/>
      <c r="L31" s="8"/>
      <c r="M31" s="8"/>
    </row>
    <row r="32" spans="1:13" ht="31.5" hidden="1" customHeight="1">
      <c r="A32" s="40">
        <v>4</v>
      </c>
      <c r="B32" s="82" t="s">
        <v>28</v>
      </c>
      <c r="C32" s="83" t="s">
        <v>102</v>
      </c>
      <c r="D32" s="82" t="s">
        <v>52</v>
      </c>
      <c r="E32" s="85">
        <v>1304.45</v>
      </c>
      <c r="F32" s="85">
        <f>SUM(E32/1000)</f>
        <v>1.3044500000000001</v>
      </c>
      <c r="G32" s="85">
        <v>3020.33</v>
      </c>
      <c r="H32" s="86">
        <f t="shared" si="3"/>
        <v>3.9398694685</v>
      </c>
      <c r="I32" s="13">
        <f>F32*G32</f>
        <v>3939.8694685</v>
      </c>
      <c r="J32" s="22"/>
      <c r="K32" s="8"/>
      <c r="L32" s="8"/>
      <c r="M32" s="8"/>
    </row>
    <row r="33" spans="1:14" ht="15.75" hidden="1" customHeight="1">
      <c r="A33" s="40">
        <v>5</v>
      </c>
      <c r="B33" s="82" t="s">
        <v>105</v>
      </c>
      <c r="C33" s="83" t="s">
        <v>31</v>
      </c>
      <c r="D33" s="82" t="s">
        <v>61</v>
      </c>
      <c r="E33" s="89">
        <v>0.33333333333333331</v>
      </c>
      <c r="F33" s="85">
        <f>155/3</f>
        <v>51.666666666666664</v>
      </c>
      <c r="G33" s="85">
        <v>56.69</v>
      </c>
      <c r="H33" s="86">
        <f t="shared" si="3"/>
        <v>2.9289833333333331</v>
      </c>
      <c r="I33" s="13">
        <f t="shared" si="4"/>
        <v>488.16388888888883</v>
      </c>
      <c r="J33" s="22"/>
      <c r="K33" s="8"/>
      <c r="L33" s="8"/>
      <c r="M33" s="8"/>
    </row>
    <row r="34" spans="1:14" ht="15.75" hidden="1" customHeight="1">
      <c r="A34" s="40">
        <v>4</v>
      </c>
      <c r="B34" s="82" t="s">
        <v>63</v>
      </c>
      <c r="C34" s="83" t="s">
        <v>33</v>
      </c>
      <c r="D34" s="82" t="s">
        <v>65</v>
      </c>
      <c r="E34" s="84"/>
      <c r="F34" s="85">
        <v>3</v>
      </c>
      <c r="G34" s="85">
        <v>191.32</v>
      </c>
      <c r="H34" s="86">
        <f t="shared" si="3"/>
        <v>0.57396000000000003</v>
      </c>
      <c r="I34" s="13">
        <v>0</v>
      </c>
      <c r="J34" s="23"/>
    </row>
    <row r="35" spans="1:14" ht="15.75" hidden="1" customHeight="1">
      <c r="A35" s="29">
        <v>8</v>
      </c>
      <c r="B35" s="82" t="s">
        <v>64</v>
      </c>
      <c r="C35" s="83" t="s">
        <v>32</v>
      </c>
      <c r="D35" s="82" t="s">
        <v>65</v>
      </c>
      <c r="E35" s="84"/>
      <c r="F35" s="85">
        <v>2</v>
      </c>
      <c r="G35" s="85">
        <v>1136.32</v>
      </c>
      <c r="H35" s="86">
        <f t="shared" si="3"/>
        <v>2.27264</v>
      </c>
      <c r="I35" s="13">
        <v>0</v>
      </c>
      <c r="J35" s="23"/>
    </row>
    <row r="36" spans="1:14" ht="15.75" hidden="1" customHeight="1">
      <c r="A36" s="40"/>
      <c r="B36" s="48" t="s">
        <v>5</v>
      </c>
      <c r="C36" s="48"/>
      <c r="D36" s="48"/>
      <c r="E36" s="13"/>
      <c r="F36" s="13"/>
      <c r="G36" s="14"/>
      <c r="H36" s="14"/>
      <c r="I36" s="18"/>
      <c r="J36" s="23"/>
    </row>
    <row r="37" spans="1:14" ht="15.75" customHeight="1">
      <c r="A37" s="33">
        <v>7</v>
      </c>
      <c r="B37" s="155" t="s">
        <v>27</v>
      </c>
      <c r="C37" s="138" t="s">
        <v>32</v>
      </c>
      <c r="D37" s="183">
        <v>43523</v>
      </c>
      <c r="E37" s="152"/>
      <c r="F37" s="139">
        <v>8</v>
      </c>
      <c r="G37" s="139">
        <v>2083</v>
      </c>
      <c r="H37" s="86">
        <f t="shared" ref="H37:H43" si="5">SUM(F37*G37/1000)</f>
        <v>16.664000000000001</v>
      </c>
      <c r="I37" s="13">
        <f>G37*1.4</f>
        <v>2916.2</v>
      </c>
      <c r="J37" s="23"/>
    </row>
    <row r="38" spans="1:14" ht="16.5" customHeight="1">
      <c r="A38" s="33">
        <v>8</v>
      </c>
      <c r="B38" s="155" t="s">
        <v>123</v>
      </c>
      <c r="C38" s="156" t="s">
        <v>30</v>
      </c>
      <c r="D38" s="32" t="s">
        <v>235</v>
      </c>
      <c r="E38" s="157">
        <v>287.83999999999997</v>
      </c>
      <c r="F38" s="157">
        <f>SUM(E38*30/1000)</f>
        <v>8.6351999999999993</v>
      </c>
      <c r="G38" s="157">
        <v>2868.09</v>
      </c>
      <c r="H38" s="86">
        <f t="shared" si="5"/>
        <v>24.766530767999999</v>
      </c>
      <c r="I38" s="13">
        <f>F38/6*G38</f>
        <v>4127.7551279999998</v>
      </c>
      <c r="J38" s="23"/>
    </row>
    <row r="39" spans="1:14" ht="33.75" customHeight="1">
      <c r="A39" s="33">
        <v>9</v>
      </c>
      <c r="B39" s="155" t="s">
        <v>178</v>
      </c>
      <c r="C39" s="156" t="s">
        <v>30</v>
      </c>
      <c r="D39" s="32" t="s">
        <v>236</v>
      </c>
      <c r="E39" s="152">
        <v>287.83999999999997</v>
      </c>
      <c r="F39" s="157">
        <f>E39*155/1000</f>
        <v>44.615199999999994</v>
      </c>
      <c r="G39" s="139">
        <v>478.42</v>
      </c>
      <c r="H39" s="86">
        <f>G39*F39/1000</f>
        <v>21.344803983999999</v>
      </c>
      <c r="I39" s="13">
        <f>F39/6*G39</f>
        <v>3557.4673306666664</v>
      </c>
      <c r="J39" s="23"/>
    </row>
    <row r="40" spans="1:14" ht="49.5" customHeight="1">
      <c r="A40" s="33">
        <v>10</v>
      </c>
      <c r="B40" s="32" t="s">
        <v>79</v>
      </c>
      <c r="C40" s="138" t="s">
        <v>102</v>
      </c>
      <c r="D40" s="155" t="s">
        <v>235</v>
      </c>
      <c r="E40" s="139">
        <v>130.6</v>
      </c>
      <c r="F40" s="157">
        <f>SUM(E40*35/1000)</f>
        <v>4.5709999999999997</v>
      </c>
      <c r="G40" s="139">
        <v>7915.6</v>
      </c>
      <c r="H40" s="86">
        <f>G40*F40/1000</f>
        <v>36.182207599999998</v>
      </c>
      <c r="I40" s="13">
        <f>G40*F40/6</f>
        <v>6030.3679333333339</v>
      </c>
      <c r="J40" s="23"/>
    </row>
    <row r="41" spans="1:14" ht="18.75" customHeight="1">
      <c r="A41" s="33">
        <v>11</v>
      </c>
      <c r="B41" s="32" t="s">
        <v>108</v>
      </c>
      <c r="C41" s="138" t="s">
        <v>102</v>
      </c>
      <c r="D41" s="155" t="s">
        <v>237</v>
      </c>
      <c r="E41" s="139">
        <v>287.83999999999997</v>
      </c>
      <c r="F41" s="157">
        <f>SUM(E41*45/1000)</f>
        <v>12.9528</v>
      </c>
      <c r="G41" s="139">
        <v>584.74</v>
      </c>
      <c r="H41" s="86">
        <f t="shared" si="5"/>
        <v>7.5740202719999994</v>
      </c>
      <c r="I41" s="13">
        <f>G41*F41/7.5</f>
        <v>1009.8693695999999</v>
      </c>
      <c r="J41" s="23"/>
    </row>
    <row r="42" spans="1:14" ht="15.75" customHeight="1">
      <c r="A42" s="33">
        <v>12</v>
      </c>
      <c r="B42" s="155" t="s">
        <v>68</v>
      </c>
      <c r="C42" s="156" t="s">
        <v>33</v>
      </c>
      <c r="D42" s="155"/>
      <c r="E42" s="158"/>
      <c r="F42" s="157">
        <v>0.9</v>
      </c>
      <c r="G42" s="157">
        <v>800</v>
      </c>
      <c r="H42" s="86">
        <f t="shared" si="5"/>
        <v>0.72</v>
      </c>
      <c r="I42" s="13">
        <f>F42/7.5*G42</f>
        <v>96.000000000000014</v>
      </c>
      <c r="J42" s="23"/>
    </row>
    <row r="43" spans="1:14" ht="33.75" customHeight="1">
      <c r="A43" s="33">
        <v>13</v>
      </c>
      <c r="B43" s="155" t="s">
        <v>179</v>
      </c>
      <c r="C43" s="156" t="s">
        <v>102</v>
      </c>
      <c r="D43" s="155" t="s">
        <v>232</v>
      </c>
      <c r="E43" s="158">
        <v>0.6</v>
      </c>
      <c r="F43" s="157">
        <v>0.01</v>
      </c>
      <c r="G43" s="157">
        <v>18798.34</v>
      </c>
      <c r="H43" s="86">
        <f t="shared" si="5"/>
        <v>0.18798340000000002</v>
      </c>
      <c r="I43" s="13">
        <f>G43*F43/6</f>
        <v>31.33056666666667</v>
      </c>
      <c r="J43" s="23"/>
      <c r="L43" s="19"/>
      <c r="M43" s="20"/>
      <c r="N43" s="21"/>
    </row>
    <row r="44" spans="1:14" ht="15.75" customHeight="1">
      <c r="A44" s="33"/>
      <c r="B44" s="99"/>
      <c r="C44" s="16"/>
      <c r="D44" s="99"/>
      <c r="E44" s="18"/>
      <c r="F44" s="13"/>
      <c r="G44" s="13"/>
      <c r="H44" s="13"/>
      <c r="I44" s="13"/>
      <c r="J44" s="23"/>
      <c r="L44" s="19"/>
      <c r="M44" s="20"/>
      <c r="N44" s="21"/>
    </row>
    <row r="45" spans="1:14" ht="15.75" customHeight="1">
      <c r="A45" s="224" t="s">
        <v>137</v>
      </c>
      <c r="B45" s="225"/>
      <c r="C45" s="225"/>
      <c r="D45" s="225"/>
      <c r="E45" s="225"/>
      <c r="F45" s="225"/>
      <c r="G45" s="225"/>
      <c r="H45" s="225"/>
      <c r="I45" s="226"/>
      <c r="J45" s="23"/>
      <c r="L45" s="19"/>
      <c r="M45" s="20"/>
      <c r="N45" s="21"/>
    </row>
    <row r="46" spans="1:14" ht="15.75" hidden="1" customHeight="1">
      <c r="A46" s="40">
        <v>15</v>
      </c>
      <c r="B46" s="82" t="s">
        <v>128</v>
      </c>
      <c r="C46" s="83" t="s">
        <v>102</v>
      </c>
      <c r="D46" s="82" t="s">
        <v>41</v>
      </c>
      <c r="E46" s="84">
        <v>1369</v>
      </c>
      <c r="F46" s="85">
        <f>SUM(E46*2/1000)</f>
        <v>2.738</v>
      </c>
      <c r="G46" s="13">
        <v>849.49</v>
      </c>
      <c r="H46" s="86">
        <f t="shared" ref="H46:H54" si="6">SUM(F46*G46/1000)</f>
        <v>2.3259036200000001</v>
      </c>
      <c r="I46" s="13">
        <v>0</v>
      </c>
      <c r="J46" s="23"/>
      <c r="L46" s="19"/>
      <c r="M46" s="20"/>
      <c r="N46" s="21"/>
    </row>
    <row r="47" spans="1:14" ht="15.75" hidden="1" customHeight="1">
      <c r="A47" s="40"/>
      <c r="B47" s="82" t="s">
        <v>34</v>
      </c>
      <c r="C47" s="83" t="s">
        <v>102</v>
      </c>
      <c r="D47" s="82" t="s">
        <v>41</v>
      </c>
      <c r="E47" s="84">
        <v>1418</v>
      </c>
      <c r="F47" s="85">
        <f>SUM(E47*2/1000)</f>
        <v>2.8359999999999999</v>
      </c>
      <c r="G47" s="13">
        <v>579.48</v>
      </c>
      <c r="H47" s="86">
        <f t="shared" si="6"/>
        <v>1.6434052799999999</v>
      </c>
      <c r="I47" s="13">
        <v>0</v>
      </c>
      <c r="J47" s="23"/>
      <c r="L47" s="19"/>
      <c r="M47" s="20"/>
      <c r="N47" s="21"/>
    </row>
    <row r="48" spans="1:14" ht="15.75" hidden="1" customHeight="1">
      <c r="A48" s="40">
        <v>16</v>
      </c>
      <c r="B48" s="82" t="s">
        <v>35</v>
      </c>
      <c r="C48" s="83" t="s">
        <v>102</v>
      </c>
      <c r="D48" s="82" t="s">
        <v>41</v>
      </c>
      <c r="E48" s="84">
        <v>4985.21</v>
      </c>
      <c r="F48" s="85">
        <f>SUM(E48*2/1000)</f>
        <v>9.9704200000000007</v>
      </c>
      <c r="G48" s="13">
        <v>579.48</v>
      </c>
      <c r="H48" s="86">
        <f t="shared" si="6"/>
        <v>5.7776589816000001</v>
      </c>
      <c r="I48" s="13">
        <v>0</v>
      </c>
      <c r="J48" s="23"/>
      <c r="L48" s="19"/>
      <c r="M48" s="20"/>
      <c r="N48" s="21"/>
    </row>
    <row r="49" spans="1:14" ht="15.75" hidden="1" customHeight="1">
      <c r="A49" s="40">
        <v>17</v>
      </c>
      <c r="B49" s="82" t="s">
        <v>36</v>
      </c>
      <c r="C49" s="83" t="s">
        <v>102</v>
      </c>
      <c r="D49" s="82" t="s">
        <v>41</v>
      </c>
      <c r="E49" s="84">
        <v>2474</v>
      </c>
      <c r="F49" s="85">
        <f>SUM(E49*2/1000)</f>
        <v>4.9480000000000004</v>
      </c>
      <c r="G49" s="13">
        <v>606.77</v>
      </c>
      <c r="H49" s="86">
        <f t="shared" si="6"/>
        <v>3.0022979600000004</v>
      </c>
      <c r="I49" s="13">
        <v>0</v>
      </c>
      <c r="J49" s="23"/>
      <c r="L49" s="19"/>
      <c r="M49" s="20"/>
      <c r="N49" s="21"/>
    </row>
    <row r="50" spans="1:14" ht="15.75" customHeight="1">
      <c r="A50" s="40">
        <v>14</v>
      </c>
      <c r="B50" s="32" t="s">
        <v>54</v>
      </c>
      <c r="C50" s="138" t="s">
        <v>102</v>
      </c>
      <c r="D50" s="32" t="s">
        <v>243</v>
      </c>
      <c r="E50" s="152">
        <v>5162.6000000000004</v>
      </c>
      <c r="F50" s="139">
        <f>SUM(E50*5/1000)</f>
        <v>25.812999999999999</v>
      </c>
      <c r="G50" s="36">
        <v>1655.27</v>
      </c>
      <c r="H50" s="86">
        <f t="shared" si="6"/>
        <v>42.727484509999996</v>
      </c>
      <c r="I50" s="13">
        <f>F50/5*G50</f>
        <v>8545.496901999999</v>
      </c>
      <c r="J50" s="23"/>
      <c r="L50" s="19"/>
      <c r="M50" s="20"/>
      <c r="N50" s="21"/>
    </row>
    <row r="51" spans="1:14" ht="30.75" hidden="1" customHeight="1">
      <c r="A51" s="40">
        <v>13</v>
      </c>
      <c r="B51" s="82" t="s">
        <v>109</v>
      </c>
      <c r="C51" s="83" t="s">
        <v>102</v>
      </c>
      <c r="D51" s="82" t="s">
        <v>41</v>
      </c>
      <c r="E51" s="84">
        <v>1349.3</v>
      </c>
      <c r="F51" s="85">
        <f>SUM(E51*2/1000)</f>
        <v>2.6985999999999999</v>
      </c>
      <c r="G51" s="13">
        <v>1213.55</v>
      </c>
      <c r="H51" s="86">
        <f t="shared" si="6"/>
        <v>3.2748860299999998</v>
      </c>
      <c r="I51" s="13">
        <v>0</v>
      </c>
      <c r="J51" s="23"/>
      <c r="L51" s="19"/>
      <c r="M51" s="20"/>
      <c r="N51" s="21"/>
    </row>
    <row r="52" spans="1:14" ht="30.75" hidden="1" customHeight="1">
      <c r="A52" s="40">
        <v>14</v>
      </c>
      <c r="B52" s="82" t="s">
        <v>110</v>
      </c>
      <c r="C52" s="83" t="s">
        <v>37</v>
      </c>
      <c r="D52" s="82" t="s">
        <v>41</v>
      </c>
      <c r="E52" s="84">
        <v>40</v>
      </c>
      <c r="F52" s="85">
        <f>SUM(E52*2/100)</f>
        <v>0.8</v>
      </c>
      <c r="G52" s="13">
        <v>2730.49</v>
      </c>
      <c r="H52" s="86">
        <f t="shared" si="6"/>
        <v>2.1843919999999999</v>
      </c>
      <c r="I52" s="13">
        <v>0</v>
      </c>
      <c r="J52" s="23"/>
      <c r="L52" s="19"/>
      <c r="M52" s="20"/>
      <c r="N52" s="21"/>
    </row>
    <row r="53" spans="1:14" ht="15.75" hidden="1" customHeight="1">
      <c r="A53" s="40">
        <v>15</v>
      </c>
      <c r="B53" s="82" t="s">
        <v>38</v>
      </c>
      <c r="C53" s="83" t="s">
        <v>39</v>
      </c>
      <c r="D53" s="82" t="s">
        <v>41</v>
      </c>
      <c r="E53" s="84">
        <v>1</v>
      </c>
      <c r="F53" s="85">
        <v>0.02</v>
      </c>
      <c r="G53" s="13">
        <v>5652.13</v>
      </c>
      <c r="H53" s="86">
        <f t="shared" si="6"/>
        <v>0.11304260000000001</v>
      </c>
      <c r="I53" s="13">
        <v>0</v>
      </c>
      <c r="J53" s="23"/>
      <c r="L53" s="19"/>
      <c r="M53" s="20"/>
      <c r="N53" s="21"/>
    </row>
    <row r="54" spans="1:14" ht="15" customHeight="1">
      <c r="A54" s="40">
        <v>15</v>
      </c>
      <c r="B54" s="82" t="s">
        <v>40</v>
      </c>
      <c r="C54" s="83" t="s">
        <v>111</v>
      </c>
      <c r="D54" s="184">
        <v>43511</v>
      </c>
      <c r="E54" s="84">
        <v>238</v>
      </c>
      <c r="F54" s="85">
        <f>SUM(E54)*3</f>
        <v>714</v>
      </c>
      <c r="G54" s="172">
        <v>89.59</v>
      </c>
      <c r="H54" s="86">
        <f t="shared" si="6"/>
        <v>63.967260000000003</v>
      </c>
      <c r="I54" s="13">
        <f>E54*G54</f>
        <v>21322.420000000002</v>
      </c>
      <c r="J54" s="23"/>
      <c r="L54" s="19"/>
      <c r="M54" s="20"/>
      <c r="N54" s="21"/>
    </row>
    <row r="55" spans="1:14" ht="15.75" customHeight="1">
      <c r="A55" s="224" t="s">
        <v>138</v>
      </c>
      <c r="B55" s="225"/>
      <c r="C55" s="225"/>
      <c r="D55" s="225"/>
      <c r="E55" s="225"/>
      <c r="F55" s="225"/>
      <c r="G55" s="225"/>
      <c r="H55" s="225"/>
      <c r="I55" s="226"/>
      <c r="J55" s="23"/>
      <c r="L55" s="19"/>
      <c r="M55" s="20"/>
      <c r="N55" s="21"/>
    </row>
    <row r="56" spans="1:14" ht="15.75" customHeight="1">
      <c r="A56" s="169"/>
      <c r="B56" s="47" t="s">
        <v>42</v>
      </c>
      <c r="C56" s="16"/>
      <c r="D56" s="15"/>
      <c r="E56" s="15"/>
      <c r="F56" s="15"/>
      <c r="G56" s="29"/>
      <c r="H56" s="29"/>
      <c r="I56" s="18"/>
      <c r="J56" s="23"/>
      <c r="L56" s="19"/>
      <c r="M56" s="20"/>
      <c r="N56" s="21"/>
    </row>
    <row r="57" spans="1:14" ht="31.5" customHeight="1">
      <c r="A57" s="40">
        <v>16</v>
      </c>
      <c r="B57" s="32" t="s">
        <v>112</v>
      </c>
      <c r="C57" s="138" t="s">
        <v>89</v>
      </c>
      <c r="D57" s="183">
        <v>43507</v>
      </c>
      <c r="E57" s="152">
        <v>128.5</v>
      </c>
      <c r="F57" s="139">
        <f>SUM(E57*6/100)</f>
        <v>7.71</v>
      </c>
      <c r="G57" s="36">
        <v>2110.4699999999998</v>
      </c>
      <c r="H57" s="86">
        <f>SUM(F57*G57/1000)</f>
        <v>16.271723699999999</v>
      </c>
      <c r="I57" s="13">
        <f>G57*F57/6</f>
        <v>2711.9539499999996</v>
      </c>
      <c r="J57" s="23"/>
      <c r="L57" s="19"/>
      <c r="M57" s="20"/>
      <c r="N57" s="21"/>
    </row>
    <row r="58" spans="1:14" ht="15.75" customHeight="1">
      <c r="A58" s="40">
        <v>17</v>
      </c>
      <c r="B58" s="32" t="s">
        <v>180</v>
      </c>
      <c r="C58" s="138" t="s">
        <v>89</v>
      </c>
      <c r="D58" s="32" t="s">
        <v>113</v>
      </c>
      <c r="E58" s="153">
        <v>69.5</v>
      </c>
      <c r="F58" s="154">
        <f>E58*6/100</f>
        <v>4.17</v>
      </c>
      <c r="G58" s="139">
        <v>2110.4699999999998</v>
      </c>
      <c r="H58" s="86">
        <f>F58*G58/1000</f>
        <v>8.8006598999999994</v>
      </c>
      <c r="I58" s="13">
        <f>F58/6*G58</f>
        <v>1466.7766499999998</v>
      </c>
      <c r="J58" s="23"/>
      <c r="L58" s="19"/>
      <c r="M58" s="20"/>
      <c r="N58" s="21"/>
    </row>
    <row r="59" spans="1:14" ht="15.75" hidden="1" customHeight="1">
      <c r="A59" s="40"/>
      <c r="B59" s="82" t="s">
        <v>130</v>
      </c>
      <c r="C59" s="83" t="s">
        <v>131</v>
      </c>
      <c r="D59" s="82" t="s">
        <v>41</v>
      </c>
      <c r="E59" s="91">
        <v>8</v>
      </c>
      <c r="F59" s="13">
        <v>16</v>
      </c>
      <c r="G59" s="85">
        <v>180.78</v>
      </c>
      <c r="H59" s="86">
        <f>SUM(F59*G59/1000)</f>
        <v>2.8924799999999999</v>
      </c>
      <c r="I59" s="13">
        <v>0</v>
      </c>
      <c r="J59" s="23"/>
      <c r="L59" s="19"/>
      <c r="M59" s="20"/>
      <c r="N59" s="21"/>
    </row>
    <row r="60" spans="1:14" ht="15.75" customHeight="1">
      <c r="A60" s="40"/>
      <c r="B60" s="168" t="s">
        <v>43</v>
      </c>
      <c r="C60" s="168"/>
      <c r="D60" s="168"/>
      <c r="E60" s="168"/>
      <c r="F60" s="168"/>
      <c r="G60" s="168"/>
      <c r="H60" s="168"/>
      <c r="I60" s="35"/>
      <c r="J60" s="23"/>
      <c r="L60" s="19"/>
      <c r="M60" s="20"/>
      <c r="N60" s="21"/>
    </row>
    <row r="61" spans="1:14" ht="15.75" hidden="1" customHeight="1">
      <c r="A61" s="40">
        <v>27</v>
      </c>
      <c r="B61" s="82" t="s">
        <v>142</v>
      </c>
      <c r="C61" s="83"/>
      <c r="D61" s="82" t="s">
        <v>52</v>
      </c>
      <c r="E61" s="84">
        <v>1349.3</v>
      </c>
      <c r="F61" s="86">
        <v>13.493</v>
      </c>
      <c r="G61" s="13">
        <v>793.61</v>
      </c>
      <c r="H61" s="92">
        <f>F61*G61/1000</f>
        <v>10.708179729999999</v>
      </c>
      <c r="I61" s="13">
        <v>0</v>
      </c>
      <c r="J61" s="23"/>
      <c r="L61" s="19"/>
      <c r="M61" s="20"/>
      <c r="N61" s="21"/>
    </row>
    <row r="62" spans="1:14" ht="15.75" customHeight="1">
      <c r="A62" s="40">
        <v>18</v>
      </c>
      <c r="B62" s="113" t="s">
        <v>88</v>
      </c>
      <c r="C62" s="114" t="s">
        <v>26</v>
      </c>
      <c r="D62" s="113"/>
      <c r="E62" s="115">
        <v>200</v>
      </c>
      <c r="F62" s="116">
        <f>E62*12</f>
        <v>2400</v>
      </c>
      <c r="G62" s="117">
        <v>1.4</v>
      </c>
      <c r="H62" s="118">
        <f>F62*G62</f>
        <v>3360</v>
      </c>
      <c r="I62" s="13">
        <f>F62/12*G62</f>
        <v>280</v>
      </c>
      <c r="J62" s="23"/>
      <c r="L62" s="19"/>
      <c r="M62" s="20"/>
      <c r="N62" s="21"/>
    </row>
    <row r="63" spans="1:14" ht="15.75" hidden="1" customHeight="1">
      <c r="A63" s="40"/>
      <c r="B63" s="168" t="s">
        <v>44</v>
      </c>
      <c r="C63" s="16"/>
      <c r="D63" s="37"/>
      <c r="E63" s="15"/>
      <c r="F63" s="15"/>
      <c r="G63" s="29"/>
      <c r="H63" s="29"/>
      <c r="I63" s="18"/>
      <c r="J63" s="23"/>
      <c r="L63" s="19"/>
    </row>
    <row r="64" spans="1:14" ht="15.75" hidden="1" customHeight="1">
      <c r="A64" s="40">
        <v>18</v>
      </c>
      <c r="B64" s="151" t="s">
        <v>45</v>
      </c>
      <c r="C64" s="38" t="s">
        <v>111</v>
      </c>
      <c r="D64" s="37" t="s">
        <v>177</v>
      </c>
      <c r="E64" s="17">
        <v>40</v>
      </c>
      <c r="F64" s="139">
        <f>E64</f>
        <v>40</v>
      </c>
      <c r="G64" s="36">
        <v>303.35000000000002</v>
      </c>
      <c r="H64" s="100">
        <f t="shared" ref="H64:H71" si="7">SUM(F64*G64/1000)</f>
        <v>12.134</v>
      </c>
      <c r="I64" s="13">
        <f>G64*1</f>
        <v>303.35000000000002</v>
      </c>
    </row>
    <row r="65" spans="1:22" ht="15.75" hidden="1" customHeight="1">
      <c r="A65" s="29">
        <v>29</v>
      </c>
      <c r="B65" s="99" t="s">
        <v>46</v>
      </c>
      <c r="C65" s="16" t="s">
        <v>111</v>
      </c>
      <c r="D65" s="99" t="s">
        <v>65</v>
      </c>
      <c r="E65" s="18">
        <v>20</v>
      </c>
      <c r="F65" s="85">
        <v>20</v>
      </c>
      <c r="G65" s="13">
        <v>76.25</v>
      </c>
      <c r="H65" s="100">
        <f t="shared" si="7"/>
        <v>1.5249999999999999</v>
      </c>
      <c r="I65" s="13">
        <v>0</v>
      </c>
    </row>
    <row r="66" spans="1:22" ht="15.75" hidden="1" customHeight="1">
      <c r="A66" s="29">
        <v>8</v>
      </c>
      <c r="B66" s="99" t="s">
        <v>47</v>
      </c>
      <c r="C66" s="16" t="s">
        <v>114</v>
      </c>
      <c r="D66" s="99" t="s">
        <v>52</v>
      </c>
      <c r="E66" s="84">
        <v>18890</v>
      </c>
      <c r="F66" s="13">
        <f>SUM(E66/100)</f>
        <v>188.9</v>
      </c>
      <c r="G66" s="13">
        <v>212.15</v>
      </c>
      <c r="H66" s="100">
        <f t="shared" si="7"/>
        <v>40.075135000000003</v>
      </c>
      <c r="I66" s="13">
        <v>0</v>
      </c>
    </row>
    <row r="67" spans="1:22" ht="15.75" hidden="1" customHeight="1">
      <c r="A67" s="29">
        <v>9</v>
      </c>
      <c r="B67" s="99" t="s">
        <v>48</v>
      </c>
      <c r="C67" s="16" t="s">
        <v>115</v>
      </c>
      <c r="D67" s="99"/>
      <c r="E67" s="84">
        <v>18890</v>
      </c>
      <c r="F67" s="13">
        <f>SUM(E67/1000)</f>
        <v>18.89</v>
      </c>
      <c r="G67" s="13">
        <v>165.21</v>
      </c>
      <c r="H67" s="100">
        <f t="shared" si="7"/>
        <v>3.1208169000000003</v>
      </c>
      <c r="I67" s="13">
        <v>0</v>
      </c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9"/>
    </row>
    <row r="68" spans="1:22" ht="15.75" hidden="1" customHeight="1">
      <c r="A68" s="29">
        <v>10</v>
      </c>
      <c r="B68" s="99" t="s">
        <v>49</v>
      </c>
      <c r="C68" s="16" t="s">
        <v>75</v>
      </c>
      <c r="D68" s="99" t="s">
        <v>52</v>
      </c>
      <c r="E68" s="84">
        <v>3004</v>
      </c>
      <c r="F68" s="13">
        <f>SUM(E68/100)</f>
        <v>30.04</v>
      </c>
      <c r="G68" s="13">
        <v>2074.63</v>
      </c>
      <c r="H68" s="100">
        <f t="shared" si="7"/>
        <v>62.321885200000004</v>
      </c>
      <c r="I68" s="13">
        <v>0</v>
      </c>
      <c r="J68" s="25"/>
      <c r="K68" s="25"/>
      <c r="L68" s="3"/>
      <c r="M68" s="3"/>
      <c r="N68" s="3"/>
      <c r="O68" s="3"/>
      <c r="P68" s="3"/>
      <c r="Q68" s="3"/>
      <c r="R68" s="3"/>
      <c r="S68" s="3"/>
      <c r="T68" s="3"/>
      <c r="U68" s="3"/>
    </row>
    <row r="69" spans="1:22" ht="15.75" hidden="1" customHeight="1">
      <c r="A69" s="29">
        <v>11</v>
      </c>
      <c r="B69" s="101" t="s">
        <v>116</v>
      </c>
      <c r="C69" s="16" t="s">
        <v>33</v>
      </c>
      <c r="D69" s="99"/>
      <c r="E69" s="84">
        <v>15.8</v>
      </c>
      <c r="F69" s="13">
        <f>SUM(E69)</f>
        <v>15.8</v>
      </c>
      <c r="G69" s="13">
        <v>42.67</v>
      </c>
      <c r="H69" s="100">
        <f t="shared" si="7"/>
        <v>0.67418600000000006</v>
      </c>
      <c r="I69" s="13">
        <v>0</v>
      </c>
      <c r="J69" s="3"/>
      <c r="K69" s="3"/>
      <c r="L69" s="3"/>
      <c r="M69" s="3"/>
      <c r="N69" s="3"/>
      <c r="O69" s="3"/>
      <c r="P69" s="3"/>
      <c r="Q69" s="3"/>
      <c r="S69" s="3"/>
      <c r="T69" s="3"/>
      <c r="U69" s="3"/>
    </row>
    <row r="70" spans="1:22" ht="15.75" hidden="1" customHeight="1">
      <c r="A70" s="29">
        <v>12</v>
      </c>
      <c r="B70" s="101" t="s">
        <v>117</v>
      </c>
      <c r="C70" s="16" t="s">
        <v>33</v>
      </c>
      <c r="D70" s="99"/>
      <c r="E70" s="84">
        <v>15.8</v>
      </c>
      <c r="F70" s="13">
        <f>SUM(E70)</f>
        <v>15.8</v>
      </c>
      <c r="G70" s="13">
        <v>39.81</v>
      </c>
      <c r="H70" s="100">
        <f t="shared" si="7"/>
        <v>0.62899800000000006</v>
      </c>
      <c r="I70" s="13">
        <v>0</v>
      </c>
      <c r="J70" s="5"/>
      <c r="K70" s="5"/>
      <c r="L70" s="5"/>
      <c r="M70" s="5"/>
      <c r="N70" s="5"/>
      <c r="O70" s="5"/>
      <c r="P70" s="5"/>
      <c r="Q70" s="5"/>
      <c r="R70" s="199"/>
      <c r="S70" s="199"/>
      <c r="T70" s="199"/>
      <c r="U70" s="199"/>
    </row>
    <row r="71" spans="1:22" ht="15.75" hidden="1" customHeight="1">
      <c r="A71" s="29">
        <v>13</v>
      </c>
      <c r="B71" s="99" t="s">
        <v>55</v>
      </c>
      <c r="C71" s="16" t="s">
        <v>56</v>
      </c>
      <c r="D71" s="99" t="s">
        <v>52</v>
      </c>
      <c r="E71" s="18">
        <v>15</v>
      </c>
      <c r="F71" s="85">
        <v>15</v>
      </c>
      <c r="G71" s="13">
        <v>49.88</v>
      </c>
      <c r="H71" s="100">
        <f t="shared" si="7"/>
        <v>0.74820000000000009</v>
      </c>
      <c r="I71" s="13">
        <v>0</v>
      </c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2" ht="15.75" customHeight="1">
      <c r="A72" s="29"/>
      <c r="B72" s="162" t="s">
        <v>181</v>
      </c>
      <c r="C72" s="38"/>
      <c r="D72" s="37"/>
      <c r="E72" s="17"/>
      <c r="F72" s="117"/>
      <c r="G72" s="36"/>
      <c r="H72" s="100"/>
      <c r="I72" s="13"/>
    </row>
    <row r="73" spans="1:22" ht="33" customHeight="1">
      <c r="A73" s="29">
        <v>19</v>
      </c>
      <c r="B73" s="37" t="s">
        <v>182</v>
      </c>
      <c r="C73" s="40" t="s">
        <v>183</v>
      </c>
      <c r="D73" s="37"/>
      <c r="E73" s="17">
        <v>5162.6000000000004</v>
      </c>
      <c r="F73" s="36">
        <f>E73*12</f>
        <v>61951.200000000004</v>
      </c>
      <c r="G73" s="36">
        <v>2.37</v>
      </c>
      <c r="H73" s="100"/>
      <c r="I73" s="13">
        <f>G73*F73/12</f>
        <v>12235.362000000001</v>
      </c>
    </row>
    <row r="74" spans="1:22" ht="28.5" hidden="1" customHeight="1">
      <c r="A74" s="169"/>
      <c r="B74" s="168" t="s">
        <v>118</v>
      </c>
      <c r="C74" s="168"/>
      <c r="D74" s="168"/>
      <c r="E74" s="168"/>
      <c r="F74" s="168"/>
      <c r="G74" s="168"/>
      <c r="H74" s="168"/>
      <c r="I74" s="18"/>
    </row>
    <row r="75" spans="1:22" ht="26.25" hidden="1" customHeight="1">
      <c r="A75" s="29">
        <v>19</v>
      </c>
      <c r="B75" s="82" t="s">
        <v>119</v>
      </c>
      <c r="C75" s="16"/>
      <c r="D75" s="99"/>
      <c r="E75" s="77"/>
      <c r="F75" s="13">
        <v>1</v>
      </c>
      <c r="G75" s="13">
        <v>27865.200000000001</v>
      </c>
      <c r="H75" s="100">
        <f>G75*F75/1000</f>
        <v>27.865200000000002</v>
      </c>
      <c r="I75" s="13">
        <v>0</v>
      </c>
    </row>
    <row r="76" spans="1:22" ht="18.75" customHeight="1">
      <c r="A76" s="29"/>
      <c r="B76" s="48" t="s">
        <v>70</v>
      </c>
      <c r="C76" s="48"/>
      <c r="D76" s="48"/>
      <c r="E76" s="18"/>
      <c r="F76" s="18"/>
      <c r="G76" s="29"/>
      <c r="H76" s="29"/>
      <c r="I76" s="18"/>
    </row>
    <row r="77" spans="1:22" ht="24.75" hidden="1" customHeight="1">
      <c r="A77" s="29"/>
      <c r="B77" s="99" t="s">
        <v>71</v>
      </c>
      <c r="C77" s="16" t="s">
        <v>73</v>
      </c>
      <c r="D77" s="99"/>
      <c r="E77" s="18">
        <v>10</v>
      </c>
      <c r="F77" s="13">
        <v>1</v>
      </c>
      <c r="G77" s="13">
        <v>501.62</v>
      </c>
      <c r="H77" s="100">
        <f t="shared" ref="H77:H81" si="8">SUM(F77*G77/1000)</f>
        <v>0.50161999999999995</v>
      </c>
      <c r="I77" s="13">
        <v>0</v>
      </c>
    </row>
    <row r="78" spans="1:22" ht="23.25" hidden="1" customHeight="1">
      <c r="A78" s="29"/>
      <c r="B78" s="99" t="s">
        <v>132</v>
      </c>
      <c r="C78" s="16" t="s">
        <v>31</v>
      </c>
      <c r="D78" s="99"/>
      <c r="E78" s="18">
        <v>1</v>
      </c>
      <c r="F78" s="13">
        <v>1</v>
      </c>
      <c r="G78" s="13">
        <v>99.85</v>
      </c>
      <c r="H78" s="100">
        <f>F78*G78/1000</f>
        <v>9.9849999999999994E-2</v>
      </c>
      <c r="I78" s="13">
        <v>0</v>
      </c>
    </row>
    <row r="79" spans="1:22" ht="18.75" hidden="1" customHeight="1">
      <c r="A79" s="29"/>
      <c r="B79" s="99" t="s">
        <v>133</v>
      </c>
      <c r="C79" s="16" t="s">
        <v>31</v>
      </c>
      <c r="D79" s="99"/>
      <c r="E79" s="18">
        <v>1</v>
      </c>
      <c r="F79" s="13">
        <v>1</v>
      </c>
      <c r="G79" s="13">
        <v>120.26</v>
      </c>
      <c r="H79" s="100">
        <f>F79*G79/1000</f>
        <v>0.12026000000000001</v>
      </c>
      <c r="I79" s="13">
        <v>0</v>
      </c>
    </row>
    <row r="80" spans="1:22" ht="15.75" hidden="1" customHeight="1">
      <c r="A80" s="29">
        <v>20</v>
      </c>
      <c r="B80" s="37" t="s">
        <v>72</v>
      </c>
      <c r="C80" s="38" t="s">
        <v>31</v>
      </c>
      <c r="D80" s="37" t="s">
        <v>177</v>
      </c>
      <c r="E80" s="17">
        <v>2</v>
      </c>
      <c r="F80" s="117">
        <v>2</v>
      </c>
      <c r="G80" s="36">
        <v>1163.47</v>
      </c>
      <c r="H80" s="100">
        <f>F80*G80/1000</f>
        <v>2.32694</v>
      </c>
      <c r="I80" s="13">
        <f>G80*1</f>
        <v>1163.47</v>
      </c>
    </row>
    <row r="81" spans="1:9" ht="15.75" hidden="1" customHeight="1">
      <c r="A81" s="29">
        <v>17</v>
      </c>
      <c r="B81" s="99" t="s">
        <v>83</v>
      </c>
      <c r="C81" s="16" t="s">
        <v>111</v>
      </c>
      <c r="D81" s="99"/>
      <c r="E81" s="18">
        <v>1</v>
      </c>
      <c r="F81" s="85">
        <f>SUM(E81)</f>
        <v>1</v>
      </c>
      <c r="G81" s="13">
        <v>358.51</v>
      </c>
      <c r="H81" s="100">
        <f t="shared" si="8"/>
        <v>0.35851</v>
      </c>
      <c r="I81" s="13">
        <v>0</v>
      </c>
    </row>
    <row r="82" spans="1:9" ht="34.5" customHeight="1">
      <c r="A82" s="29">
        <v>20</v>
      </c>
      <c r="B82" s="37" t="s">
        <v>184</v>
      </c>
      <c r="C82" s="38" t="s">
        <v>111</v>
      </c>
      <c r="D82" s="37" t="s">
        <v>233</v>
      </c>
      <c r="E82" s="17">
        <v>1</v>
      </c>
      <c r="F82" s="36">
        <f>E82*12</f>
        <v>12</v>
      </c>
      <c r="G82" s="36">
        <v>55.55</v>
      </c>
      <c r="H82" s="100"/>
      <c r="I82" s="13">
        <f>G82*1</f>
        <v>55.55</v>
      </c>
    </row>
    <row r="83" spans="1:9" ht="15.75" hidden="1" customHeight="1">
      <c r="A83" s="29"/>
      <c r="B83" s="49" t="s">
        <v>74</v>
      </c>
      <c r="C83" s="38"/>
      <c r="D83" s="29"/>
      <c r="E83" s="18"/>
      <c r="F83" s="18"/>
      <c r="G83" s="36"/>
      <c r="H83" s="36"/>
      <c r="I83" s="18"/>
    </row>
    <row r="84" spans="1:9" ht="31.5" hidden="1" customHeight="1">
      <c r="A84" s="29">
        <v>39</v>
      </c>
      <c r="B84" s="51" t="s">
        <v>120</v>
      </c>
      <c r="C84" s="16" t="s">
        <v>75</v>
      </c>
      <c r="D84" s="99"/>
      <c r="E84" s="18"/>
      <c r="F84" s="13">
        <v>1.35</v>
      </c>
      <c r="G84" s="13">
        <v>2759.44</v>
      </c>
      <c r="H84" s="100">
        <f t="shared" ref="H84" si="9">SUM(F84*G84/1000)</f>
        <v>3.725244</v>
      </c>
      <c r="I84" s="13">
        <v>0</v>
      </c>
    </row>
    <row r="85" spans="1:9" ht="15.75" customHeight="1">
      <c r="A85" s="208" t="s">
        <v>139</v>
      </c>
      <c r="B85" s="209"/>
      <c r="C85" s="209"/>
      <c r="D85" s="209"/>
      <c r="E85" s="209"/>
      <c r="F85" s="209"/>
      <c r="G85" s="209"/>
      <c r="H85" s="209"/>
      <c r="I85" s="210"/>
    </row>
    <row r="86" spans="1:9" ht="15.75" customHeight="1">
      <c r="A86" s="29">
        <v>21</v>
      </c>
      <c r="B86" s="32" t="s">
        <v>121</v>
      </c>
      <c r="C86" s="38" t="s">
        <v>53</v>
      </c>
      <c r="D86" s="63"/>
      <c r="E86" s="36">
        <v>5162.6000000000004</v>
      </c>
      <c r="F86" s="36">
        <f>SUM(E86*12)</f>
        <v>61951.200000000004</v>
      </c>
      <c r="G86" s="36">
        <v>3.22</v>
      </c>
      <c r="H86" s="102">
        <f>SUM(F86*G86/1000)</f>
        <v>199.48286400000003</v>
      </c>
      <c r="I86" s="13">
        <f>F86/12*G86</f>
        <v>16623.572000000004</v>
      </c>
    </row>
    <row r="87" spans="1:9" ht="30" customHeight="1">
      <c r="A87" s="29">
        <v>22</v>
      </c>
      <c r="B87" s="37" t="s">
        <v>185</v>
      </c>
      <c r="C87" s="114" t="s">
        <v>186</v>
      </c>
      <c r="D87" s="37"/>
      <c r="E87" s="17">
        <v>5162.6000000000004</v>
      </c>
      <c r="F87" s="36">
        <f>E87*12</f>
        <v>61951.200000000004</v>
      </c>
      <c r="G87" s="36">
        <v>3.64</v>
      </c>
      <c r="H87" s="100">
        <f>F87*G87/1000</f>
        <v>225.50236800000002</v>
      </c>
      <c r="I87" s="13">
        <f>F87/12*G87</f>
        <v>18791.864000000001</v>
      </c>
    </row>
    <row r="88" spans="1:9" ht="18" customHeight="1">
      <c r="A88" s="169"/>
      <c r="B88" s="39" t="s">
        <v>78</v>
      </c>
      <c r="C88" s="40"/>
      <c r="D88" s="15"/>
      <c r="E88" s="15"/>
      <c r="F88" s="15"/>
      <c r="G88" s="18"/>
      <c r="H88" s="18"/>
      <c r="I88" s="31">
        <f>I87+I86+I82+I73+I62+I58+I57+I54+I50+I43+I42+I41+I40+I39+I38+I37+I27+I21+I20+I18+I17+I16</f>
        <v>122614.43504493333</v>
      </c>
    </row>
    <row r="89" spans="1:9" ht="15.75" customHeight="1">
      <c r="A89" s="211" t="s">
        <v>58</v>
      </c>
      <c r="B89" s="212"/>
      <c r="C89" s="212"/>
      <c r="D89" s="212"/>
      <c r="E89" s="212"/>
      <c r="F89" s="212"/>
      <c r="G89" s="212"/>
      <c r="H89" s="212"/>
      <c r="I89" s="213"/>
    </row>
    <row r="90" spans="1:9" ht="31.5" customHeight="1">
      <c r="A90" s="29">
        <v>23</v>
      </c>
      <c r="B90" s="66" t="s">
        <v>168</v>
      </c>
      <c r="C90" s="67" t="s">
        <v>169</v>
      </c>
      <c r="D90" s="51"/>
      <c r="E90" s="13"/>
      <c r="F90" s="13">
        <v>1</v>
      </c>
      <c r="G90" s="36">
        <v>26095.37</v>
      </c>
      <c r="H90" s="100">
        <f t="shared" ref="H90:H94" si="10">G90*F90/1000</f>
        <v>26.095369999999999</v>
      </c>
      <c r="I90" s="119">
        <f>G90*0.02</f>
        <v>521.90739999999994</v>
      </c>
    </row>
    <row r="91" spans="1:9" ht="30" customHeight="1">
      <c r="A91" s="29">
        <v>24</v>
      </c>
      <c r="B91" s="66" t="s">
        <v>134</v>
      </c>
      <c r="C91" s="67" t="s">
        <v>37</v>
      </c>
      <c r="D91" s="51"/>
      <c r="E91" s="13"/>
      <c r="F91" s="13">
        <v>3</v>
      </c>
      <c r="G91" s="36">
        <v>3914.31</v>
      </c>
      <c r="H91" s="100">
        <f t="shared" si="10"/>
        <v>11.742929999999999</v>
      </c>
      <c r="I91" s="119">
        <f>G91*0.02</f>
        <v>78.286199999999994</v>
      </c>
    </row>
    <row r="92" spans="1:9" ht="15.75" customHeight="1">
      <c r="A92" s="29">
        <v>25</v>
      </c>
      <c r="B92" s="66" t="s">
        <v>198</v>
      </c>
      <c r="C92" s="67" t="s">
        <v>154</v>
      </c>
      <c r="D92" s="51"/>
      <c r="E92" s="13"/>
      <c r="F92" s="13">
        <v>4</v>
      </c>
      <c r="G92" s="36">
        <v>173.55</v>
      </c>
      <c r="H92" s="100">
        <f t="shared" si="10"/>
        <v>0.69420000000000004</v>
      </c>
      <c r="I92" s="119">
        <f>G92*1</f>
        <v>173.55</v>
      </c>
    </row>
    <row r="93" spans="1:9" ht="15.75" customHeight="1">
      <c r="A93" s="29">
        <v>26</v>
      </c>
      <c r="B93" s="66" t="s">
        <v>199</v>
      </c>
      <c r="C93" s="67" t="s">
        <v>80</v>
      </c>
      <c r="D93" s="51"/>
      <c r="E93" s="13"/>
      <c r="F93" s="13">
        <v>1</v>
      </c>
      <c r="G93" s="36">
        <v>214.07</v>
      </c>
      <c r="H93" s="100">
        <f t="shared" si="10"/>
        <v>0.21406999999999998</v>
      </c>
      <c r="I93" s="119">
        <f>G93*1</f>
        <v>214.07</v>
      </c>
    </row>
    <row r="94" spans="1:9" ht="15.75" customHeight="1">
      <c r="A94" s="29">
        <v>27</v>
      </c>
      <c r="B94" s="66" t="s">
        <v>194</v>
      </c>
      <c r="C94" s="67" t="s">
        <v>171</v>
      </c>
      <c r="D94" s="99"/>
      <c r="E94" s="18"/>
      <c r="F94" s="13">
        <v>55</v>
      </c>
      <c r="G94" s="36">
        <v>273</v>
      </c>
      <c r="H94" s="100">
        <f t="shared" si="10"/>
        <v>15.015000000000001</v>
      </c>
      <c r="I94" s="119">
        <f>G94*4</f>
        <v>1092</v>
      </c>
    </row>
    <row r="95" spans="1:9">
      <c r="A95" s="29"/>
      <c r="B95" s="45" t="s">
        <v>50</v>
      </c>
      <c r="C95" s="41"/>
      <c r="D95" s="53"/>
      <c r="E95" s="41">
        <v>1</v>
      </c>
      <c r="F95" s="41"/>
      <c r="G95" s="41"/>
      <c r="H95" s="41"/>
      <c r="I95" s="31">
        <f>SUM(I90:I94)</f>
        <v>2079.8136</v>
      </c>
    </row>
    <row r="96" spans="1:9">
      <c r="A96" s="29"/>
      <c r="B96" s="51" t="s">
        <v>76</v>
      </c>
      <c r="C96" s="15"/>
      <c r="D96" s="15"/>
      <c r="E96" s="42"/>
      <c r="F96" s="42"/>
      <c r="G96" s="43"/>
      <c r="H96" s="43"/>
      <c r="I96" s="17">
        <v>0</v>
      </c>
    </row>
    <row r="97" spans="1:9">
      <c r="A97" s="54"/>
      <c r="B97" s="46" t="s">
        <v>144</v>
      </c>
      <c r="C97" s="34"/>
      <c r="D97" s="34"/>
      <c r="E97" s="34"/>
      <c r="F97" s="34"/>
      <c r="G97" s="34"/>
      <c r="H97" s="34"/>
      <c r="I97" s="44">
        <f>I88+I95</f>
        <v>124694.24864493332</v>
      </c>
    </row>
    <row r="98" spans="1:9" ht="15.75" customHeight="1">
      <c r="A98" s="205" t="s">
        <v>244</v>
      </c>
      <c r="B98" s="205"/>
      <c r="C98" s="205"/>
      <c r="D98" s="205"/>
      <c r="E98" s="205"/>
      <c r="F98" s="205"/>
      <c r="G98" s="205"/>
      <c r="H98" s="205"/>
      <c r="I98" s="205"/>
    </row>
    <row r="99" spans="1:9" ht="15.75">
      <c r="A99" s="61"/>
      <c r="B99" s="206" t="s">
        <v>245</v>
      </c>
      <c r="C99" s="206"/>
      <c r="D99" s="206"/>
      <c r="E99" s="206"/>
      <c r="F99" s="206"/>
      <c r="G99" s="206"/>
      <c r="H99" s="80"/>
      <c r="I99" s="3"/>
    </row>
    <row r="100" spans="1:9">
      <c r="A100" s="164"/>
      <c r="B100" s="204" t="s">
        <v>6</v>
      </c>
      <c r="C100" s="204"/>
      <c r="D100" s="204"/>
      <c r="E100" s="204"/>
      <c r="F100" s="204"/>
      <c r="G100" s="204"/>
      <c r="H100" s="24"/>
      <c r="I100" s="5"/>
    </row>
    <row r="101" spans="1:9">
      <c r="A101" s="10"/>
      <c r="B101" s="10"/>
      <c r="C101" s="10"/>
      <c r="D101" s="10"/>
      <c r="E101" s="10"/>
      <c r="F101" s="10"/>
      <c r="G101" s="10"/>
      <c r="H101" s="10"/>
      <c r="I101" s="10"/>
    </row>
    <row r="102" spans="1:9" ht="15.75">
      <c r="A102" s="207" t="s">
        <v>7</v>
      </c>
      <c r="B102" s="207"/>
      <c r="C102" s="207"/>
      <c r="D102" s="207"/>
      <c r="E102" s="207"/>
      <c r="F102" s="207"/>
      <c r="G102" s="207"/>
      <c r="H102" s="207"/>
      <c r="I102" s="207"/>
    </row>
    <row r="103" spans="1:9" ht="15.75">
      <c r="A103" s="207" t="s">
        <v>8</v>
      </c>
      <c r="B103" s="207"/>
      <c r="C103" s="207"/>
      <c r="D103" s="207"/>
      <c r="E103" s="207"/>
      <c r="F103" s="207"/>
      <c r="G103" s="207"/>
      <c r="H103" s="207"/>
      <c r="I103" s="207"/>
    </row>
    <row r="104" spans="1:9" ht="15.75">
      <c r="A104" s="201" t="s">
        <v>59</v>
      </c>
      <c r="B104" s="201"/>
      <c r="C104" s="201"/>
      <c r="D104" s="201"/>
      <c r="E104" s="201"/>
      <c r="F104" s="201"/>
      <c r="G104" s="201"/>
      <c r="H104" s="201"/>
      <c r="I104" s="201"/>
    </row>
    <row r="105" spans="1:9" ht="45" customHeight="1">
      <c r="A105" s="11"/>
    </row>
    <row r="106" spans="1:9" ht="30" customHeight="1">
      <c r="A106" s="202" t="s">
        <v>9</v>
      </c>
      <c r="B106" s="202"/>
      <c r="C106" s="202"/>
      <c r="D106" s="202"/>
      <c r="E106" s="202"/>
      <c r="F106" s="202"/>
      <c r="G106" s="202"/>
      <c r="H106" s="202"/>
      <c r="I106" s="202"/>
    </row>
    <row r="107" spans="1:9" ht="30" customHeight="1">
      <c r="A107" s="4"/>
    </row>
    <row r="108" spans="1:9" ht="15" customHeight="1">
      <c r="B108" s="165" t="s">
        <v>10</v>
      </c>
      <c r="C108" s="203" t="s">
        <v>84</v>
      </c>
      <c r="D108" s="203"/>
      <c r="E108" s="203"/>
      <c r="F108" s="78"/>
      <c r="I108" s="163"/>
    </row>
    <row r="109" spans="1:9">
      <c r="A109" s="164"/>
      <c r="C109" s="204" t="s">
        <v>11</v>
      </c>
      <c r="D109" s="204"/>
      <c r="E109" s="204"/>
      <c r="F109" s="24"/>
      <c r="I109" s="166" t="s">
        <v>12</v>
      </c>
    </row>
    <row r="110" spans="1:9" ht="15.75">
      <c r="A110" s="25"/>
      <c r="C110" s="12"/>
      <c r="D110" s="12"/>
      <c r="G110" s="12"/>
      <c r="H110" s="12"/>
    </row>
    <row r="111" spans="1:9" ht="15.75">
      <c r="B111" s="165" t="s">
        <v>13</v>
      </c>
      <c r="C111" s="198"/>
      <c r="D111" s="198"/>
      <c r="E111" s="198"/>
      <c r="F111" s="79"/>
      <c r="I111" s="163"/>
    </row>
    <row r="112" spans="1:9">
      <c r="A112" s="164"/>
      <c r="C112" s="199" t="s">
        <v>11</v>
      </c>
      <c r="D112" s="199"/>
      <c r="E112" s="199"/>
      <c r="F112" s="164"/>
      <c r="I112" s="166" t="s">
        <v>12</v>
      </c>
    </row>
    <row r="113" spans="1:9" ht="15.75">
      <c r="A113" s="4" t="s">
        <v>14</v>
      </c>
    </row>
    <row r="114" spans="1:9">
      <c r="A114" s="200" t="s">
        <v>15</v>
      </c>
      <c r="B114" s="200"/>
      <c r="C114" s="200"/>
      <c r="D114" s="200"/>
      <c r="E114" s="200"/>
      <c r="F114" s="200"/>
      <c r="G114" s="200"/>
      <c r="H114" s="200"/>
      <c r="I114" s="200"/>
    </row>
    <row r="115" spans="1:9" ht="15.75">
      <c r="A115" s="197" t="s">
        <v>16</v>
      </c>
      <c r="B115" s="197"/>
      <c r="C115" s="197"/>
      <c r="D115" s="197"/>
      <c r="E115" s="197"/>
      <c r="F115" s="197"/>
      <c r="G115" s="197"/>
      <c r="H115" s="197"/>
      <c r="I115" s="197"/>
    </row>
    <row r="116" spans="1:9" ht="15.75">
      <c r="A116" s="197" t="s">
        <v>17</v>
      </c>
      <c r="B116" s="197"/>
      <c r="C116" s="197"/>
      <c r="D116" s="197"/>
      <c r="E116" s="197"/>
      <c r="F116" s="197"/>
      <c r="G116" s="197"/>
      <c r="H116" s="197"/>
      <c r="I116" s="197"/>
    </row>
    <row r="117" spans="1:9" ht="15.75">
      <c r="A117" s="197" t="s">
        <v>21</v>
      </c>
      <c r="B117" s="197"/>
      <c r="C117" s="197"/>
      <c r="D117" s="197"/>
      <c r="E117" s="197"/>
      <c r="F117" s="197"/>
      <c r="G117" s="197"/>
      <c r="H117" s="197"/>
      <c r="I117" s="197"/>
    </row>
    <row r="118" spans="1:9" ht="15.75">
      <c r="A118" s="197" t="s">
        <v>20</v>
      </c>
      <c r="B118" s="197"/>
      <c r="C118" s="197"/>
      <c r="D118" s="197"/>
      <c r="E118" s="197"/>
      <c r="F118" s="197"/>
      <c r="G118" s="197"/>
      <c r="H118" s="197"/>
      <c r="I118" s="197"/>
    </row>
  </sheetData>
  <autoFilter ref="I12:I65"/>
  <mergeCells count="29">
    <mergeCell ref="A14:I14"/>
    <mergeCell ref="A15:I15"/>
    <mergeCell ref="A45:I45"/>
    <mergeCell ref="A55:I55"/>
    <mergeCell ref="A28:I28"/>
    <mergeCell ref="A3:I3"/>
    <mergeCell ref="A4:I4"/>
    <mergeCell ref="A5:I5"/>
    <mergeCell ref="A8:I8"/>
    <mergeCell ref="A10:I10"/>
    <mergeCell ref="A104:I104"/>
    <mergeCell ref="A106:I106"/>
    <mergeCell ref="C108:E108"/>
    <mergeCell ref="R70:U70"/>
    <mergeCell ref="A85:I85"/>
    <mergeCell ref="A89:I89"/>
    <mergeCell ref="A98:I98"/>
    <mergeCell ref="B99:G99"/>
    <mergeCell ref="B100:G100"/>
    <mergeCell ref="A102:I102"/>
    <mergeCell ref="A103:I103"/>
    <mergeCell ref="A116:I116"/>
    <mergeCell ref="A117:I117"/>
    <mergeCell ref="A118:I118"/>
    <mergeCell ref="C109:E109"/>
    <mergeCell ref="C111:E111"/>
    <mergeCell ref="C112:E112"/>
    <mergeCell ref="A114:I114"/>
    <mergeCell ref="A115:I115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V115"/>
  <sheetViews>
    <sheetView topLeftCell="A81" workbookViewId="0">
      <selection activeCell="B93" sqref="B9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3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170</v>
      </c>
      <c r="I1" s="26"/>
      <c r="J1" s="1"/>
      <c r="K1" s="1"/>
      <c r="L1" s="1"/>
      <c r="M1" s="1"/>
    </row>
    <row r="2" spans="1:13" ht="15.75" customHeight="1">
      <c r="A2" s="28" t="s">
        <v>60</v>
      </c>
      <c r="J2" s="2"/>
      <c r="K2" s="2"/>
      <c r="L2" s="2"/>
      <c r="M2" s="2"/>
    </row>
    <row r="3" spans="1:13" ht="15.75" customHeight="1">
      <c r="A3" s="214" t="s">
        <v>149</v>
      </c>
      <c r="B3" s="214"/>
      <c r="C3" s="214"/>
      <c r="D3" s="214"/>
      <c r="E3" s="214"/>
      <c r="F3" s="214"/>
      <c r="G3" s="214"/>
      <c r="H3" s="214"/>
      <c r="I3" s="214"/>
      <c r="J3" s="3"/>
      <c r="K3" s="3"/>
      <c r="L3" s="3"/>
    </row>
    <row r="4" spans="1:13" ht="31.5" customHeight="1">
      <c r="A4" s="215" t="s">
        <v>122</v>
      </c>
      <c r="B4" s="215"/>
      <c r="C4" s="215"/>
      <c r="D4" s="215"/>
      <c r="E4" s="215"/>
      <c r="F4" s="215"/>
      <c r="G4" s="215"/>
      <c r="H4" s="215"/>
      <c r="I4" s="215"/>
    </row>
    <row r="5" spans="1:13" ht="15.75" customHeight="1">
      <c r="A5" s="214" t="s">
        <v>200</v>
      </c>
      <c r="B5" s="218"/>
      <c r="C5" s="218"/>
      <c r="D5" s="218"/>
      <c r="E5" s="218"/>
      <c r="F5" s="218"/>
      <c r="G5" s="218"/>
      <c r="H5" s="218"/>
      <c r="I5" s="218"/>
      <c r="J5" s="2"/>
      <c r="K5" s="2"/>
      <c r="L5" s="2"/>
      <c r="M5" s="2"/>
    </row>
    <row r="6" spans="1:13" ht="15.75" customHeight="1">
      <c r="A6" s="2"/>
      <c r="B6" s="75"/>
      <c r="C6" s="75"/>
      <c r="D6" s="75"/>
      <c r="E6" s="75"/>
      <c r="F6" s="75"/>
      <c r="G6" s="75"/>
      <c r="H6" s="75"/>
      <c r="I6" s="30">
        <v>43555</v>
      </c>
      <c r="J6" s="2"/>
      <c r="K6" s="2"/>
      <c r="L6" s="2"/>
      <c r="M6" s="2"/>
    </row>
    <row r="7" spans="1:13" ht="15.75" customHeight="1">
      <c r="B7" s="72"/>
      <c r="C7" s="72"/>
      <c r="D7" s="72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16" t="s">
        <v>196</v>
      </c>
      <c r="B8" s="216"/>
      <c r="C8" s="216"/>
      <c r="D8" s="216"/>
      <c r="E8" s="216"/>
      <c r="F8" s="216"/>
      <c r="G8" s="216"/>
      <c r="H8" s="216"/>
      <c r="I8" s="216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17" t="s">
        <v>136</v>
      </c>
      <c r="B10" s="217"/>
      <c r="C10" s="217"/>
      <c r="D10" s="217"/>
      <c r="E10" s="217"/>
      <c r="F10" s="217"/>
      <c r="G10" s="217"/>
      <c r="H10" s="217"/>
      <c r="I10" s="217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219" t="s">
        <v>57</v>
      </c>
      <c r="B14" s="219"/>
      <c r="C14" s="219"/>
      <c r="D14" s="219"/>
      <c r="E14" s="219"/>
      <c r="F14" s="219"/>
      <c r="G14" s="219"/>
      <c r="H14" s="219"/>
      <c r="I14" s="219"/>
      <c r="J14" s="8"/>
      <c r="K14" s="8"/>
      <c r="L14" s="8"/>
      <c r="M14" s="8"/>
    </row>
    <row r="15" spans="1:13" ht="15.75" customHeight="1">
      <c r="A15" s="220" t="s">
        <v>4</v>
      </c>
      <c r="B15" s="220"/>
      <c r="C15" s="220"/>
      <c r="D15" s="220"/>
      <c r="E15" s="220"/>
      <c r="F15" s="220"/>
      <c r="G15" s="220"/>
      <c r="H15" s="220"/>
      <c r="I15" s="220"/>
      <c r="J15" s="8"/>
      <c r="K15" s="8"/>
      <c r="L15" s="8"/>
      <c r="M15" s="8"/>
    </row>
    <row r="16" spans="1:13" ht="15.75" customHeight="1">
      <c r="A16" s="29">
        <v>1</v>
      </c>
      <c r="B16" s="32" t="s">
        <v>82</v>
      </c>
      <c r="C16" s="138" t="s">
        <v>89</v>
      </c>
      <c r="D16" s="32" t="s">
        <v>230</v>
      </c>
      <c r="E16" s="152">
        <v>129.88</v>
      </c>
      <c r="F16" s="139">
        <f>SUM(E16*156/100)</f>
        <v>202.61279999999999</v>
      </c>
      <c r="G16" s="139">
        <v>239.2</v>
      </c>
      <c r="H16" s="86">
        <f t="shared" ref="H16:H26" si="0">SUM(F16*G16/1000)</f>
        <v>48.464981759999993</v>
      </c>
      <c r="I16" s="13">
        <f>F16/12*G16</f>
        <v>4038.7484799999997</v>
      </c>
      <c r="J16" s="8"/>
      <c r="K16" s="8"/>
      <c r="L16" s="8"/>
      <c r="M16" s="8"/>
    </row>
    <row r="17" spans="1:13" ht="15.75" customHeight="1">
      <c r="A17" s="29">
        <v>2</v>
      </c>
      <c r="B17" s="32" t="s">
        <v>85</v>
      </c>
      <c r="C17" s="138" t="s">
        <v>89</v>
      </c>
      <c r="D17" s="32" t="s">
        <v>231</v>
      </c>
      <c r="E17" s="152">
        <v>519.52</v>
      </c>
      <c r="F17" s="139">
        <f>SUM(E17*104/100)</f>
        <v>540.30079999999998</v>
      </c>
      <c r="G17" s="139">
        <v>239.2</v>
      </c>
      <c r="H17" s="86">
        <f t="shared" si="0"/>
        <v>129.23995135999999</v>
      </c>
      <c r="I17" s="13">
        <f>F17/12*G17</f>
        <v>10769.995946666666</v>
      </c>
      <c r="J17" s="22"/>
      <c r="K17" s="8"/>
      <c r="L17" s="8"/>
      <c r="M17" s="8"/>
    </row>
    <row r="18" spans="1:13" ht="15.75" customHeight="1">
      <c r="A18" s="29">
        <v>3</v>
      </c>
      <c r="B18" s="32" t="s">
        <v>86</v>
      </c>
      <c r="C18" s="138" t="s">
        <v>89</v>
      </c>
      <c r="D18" s="32" t="s">
        <v>232</v>
      </c>
      <c r="E18" s="152">
        <f>SUM(E16+E17)</f>
        <v>649.4</v>
      </c>
      <c r="F18" s="139">
        <f>SUM(E18*18/100)</f>
        <v>116.892</v>
      </c>
      <c r="G18" s="139">
        <v>688.14</v>
      </c>
      <c r="H18" s="86">
        <f t="shared" si="0"/>
        <v>80.438060879999995</v>
      </c>
      <c r="I18" s="13">
        <f>F18/12*G18</f>
        <v>6703.1717399999998</v>
      </c>
      <c r="J18" s="22"/>
      <c r="K18" s="8"/>
      <c r="L18" s="8"/>
      <c r="M18" s="8"/>
    </row>
    <row r="19" spans="1:13" ht="15.75" hidden="1" customHeight="1">
      <c r="A19" s="29"/>
      <c r="B19" s="32" t="s">
        <v>90</v>
      </c>
      <c r="C19" s="138" t="s">
        <v>91</v>
      </c>
      <c r="D19" s="32" t="s">
        <v>92</v>
      </c>
      <c r="E19" s="152">
        <v>124.8</v>
      </c>
      <c r="F19" s="139">
        <f>SUM(E19/10)</f>
        <v>12.48</v>
      </c>
      <c r="G19" s="139">
        <v>232.1</v>
      </c>
      <c r="H19" s="86">
        <f t="shared" si="0"/>
        <v>2.8966080000000001</v>
      </c>
      <c r="I19" s="13">
        <v>0</v>
      </c>
      <c r="J19" s="22"/>
      <c r="K19" s="8"/>
      <c r="L19" s="8"/>
      <c r="M19" s="8"/>
    </row>
    <row r="20" spans="1:13" ht="15.75" customHeight="1">
      <c r="A20" s="29">
        <v>4</v>
      </c>
      <c r="B20" s="32" t="s">
        <v>95</v>
      </c>
      <c r="C20" s="138" t="s">
        <v>89</v>
      </c>
      <c r="D20" s="32" t="s">
        <v>233</v>
      </c>
      <c r="E20" s="152">
        <v>57.5</v>
      </c>
      <c r="F20" s="139">
        <f>SUM(E20*12/100)</f>
        <v>6.9</v>
      </c>
      <c r="G20" s="139">
        <v>297.19</v>
      </c>
      <c r="H20" s="86">
        <f t="shared" si="0"/>
        <v>2.050611</v>
      </c>
      <c r="I20" s="13">
        <f>G20*F20/12</f>
        <v>170.88424999999998</v>
      </c>
      <c r="J20" s="22"/>
      <c r="K20" s="8"/>
      <c r="L20" s="8"/>
      <c r="M20" s="8"/>
    </row>
    <row r="21" spans="1:13" ht="18" customHeight="1">
      <c r="A21" s="29">
        <v>5</v>
      </c>
      <c r="B21" s="32" t="s">
        <v>96</v>
      </c>
      <c r="C21" s="138" t="s">
        <v>89</v>
      </c>
      <c r="D21" s="32" t="s">
        <v>233</v>
      </c>
      <c r="E21" s="152">
        <v>13.41</v>
      </c>
      <c r="F21" s="139">
        <f>SUM(E21*12/100)</f>
        <v>1.6092000000000002</v>
      </c>
      <c r="G21" s="139">
        <v>294.77999999999997</v>
      </c>
      <c r="H21" s="86">
        <f t="shared" si="0"/>
        <v>0.47435997600000002</v>
      </c>
      <c r="I21" s="13">
        <f>G21*F21/12</f>
        <v>39.529997999999999</v>
      </c>
      <c r="J21" s="22"/>
      <c r="K21" s="8"/>
      <c r="L21" s="8"/>
      <c r="M21" s="8"/>
    </row>
    <row r="22" spans="1:13" ht="18" hidden="1" customHeight="1">
      <c r="A22" s="29"/>
      <c r="B22" s="32" t="s">
        <v>97</v>
      </c>
      <c r="C22" s="138" t="s">
        <v>51</v>
      </c>
      <c r="D22" s="32" t="s">
        <v>92</v>
      </c>
      <c r="E22" s="152">
        <v>820.5</v>
      </c>
      <c r="F22" s="139">
        <f>SUM(E22/100)</f>
        <v>8.2050000000000001</v>
      </c>
      <c r="G22" s="139">
        <v>367.27</v>
      </c>
      <c r="H22" s="86">
        <f t="shared" si="0"/>
        <v>3.0134503500000003</v>
      </c>
      <c r="I22" s="13">
        <v>0</v>
      </c>
      <c r="J22" s="22"/>
      <c r="K22" s="8"/>
      <c r="L22" s="8"/>
      <c r="M22" s="8"/>
    </row>
    <row r="23" spans="1:13" ht="20.25" hidden="1" customHeight="1">
      <c r="A23" s="29"/>
      <c r="B23" s="32" t="s">
        <v>98</v>
      </c>
      <c r="C23" s="138" t="s">
        <v>51</v>
      </c>
      <c r="D23" s="32" t="s">
        <v>92</v>
      </c>
      <c r="E23" s="159">
        <v>60.25</v>
      </c>
      <c r="F23" s="139">
        <f>SUM(E23/100)</f>
        <v>0.60250000000000004</v>
      </c>
      <c r="G23" s="139">
        <v>60.41</v>
      </c>
      <c r="H23" s="86">
        <f t="shared" si="0"/>
        <v>3.6397025E-2</v>
      </c>
      <c r="I23" s="13">
        <v>0</v>
      </c>
      <c r="J23" s="22"/>
      <c r="K23" s="8"/>
      <c r="L23" s="8"/>
      <c r="M23" s="8"/>
    </row>
    <row r="24" spans="1:13" ht="21" hidden="1" customHeight="1">
      <c r="A24" s="29"/>
      <c r="B24" s="32" t="s">
        <v>93</v>
      </c>
      <c r="C24" s="138" t="s">
        <v>51</v>
      </c>
      <c r="D24" s="32" t="s">
        <v>94</v>
      </c>
      <c r="E24" s="152">
        <v>19.149999999999999</v>
      </c>
      <c r="F24" s="139">
        <f>E24/100</f>
        <v>0.19149999999999998</v>
      </c>
      <c r="G24" s="139">
        <v>531.55999999999995</v>
      </c>
      <c r="H24" s="86">
        <f t="shared" si="0"/>
        <v>0.10179373999999997</v>
      </c>
      <c r="I24" s="13">
        <v>0</v>
      </c>
      <c r="J24" s="22"/>
      <c r="K24" s="8"/>
      <c r="L24" s="8"/>
      <c r="M24" s="8"/>
    </row>
    <row r="25" spans="1:13" ht="18.75" hidden="1" customHeight="1">
      <c r="A25" s="40">
        <v>6</v>
      </c>
      <c r="B25" s="32" t="s">
        <v>100</v>
      </c>
      <c r="C25" s="138" t="s">
        <v>51</v>
      </c>
      <c r="D25" s="32" t="s">
        <v>52</v>
      </c>
      <c r="E25" s="152">
        <v>31.5</v>
      </c>
      <c r="F25" s="139">
        <v>0.32</v>
      </c>
      <c r="G25" s="139">
        <v>294.77999999999997</v>
      </c>
      <c r="H25" s="86">
        <f t="shared" si="0"/>
        <v>9.43296E-2</v>
      </c>
      <c r="I25" s="13">
        <v>0</v>
      </c>
      <c r="J25" s="22"/>
      <c r="K25" s="8"/>
      <c r="L25" s="8"/>
      <c r="M25" s="8"/>
    </row>
    <row r="26" spans="1:13" ht="18" hidden="1" customHeight="1">
      <c r="A26" s="40"/>
      <c r="B26" s="32" t="s">
        <v>99</v>
      </c>
      <c r="C26" s="138" t="s">
        <v>51</v>
      </c>
      <c r="D26" s="32" t="s">
        <v>92</v>
      </c>
      <c r="E26" s="152">
        <v>37.5</v>
      </c>
      <c r="F26" s="139">
        <f>SUM(E26/100)</f>
        <v>0.375</v>
      </c>
      <c r="G26" s="139">
        <v>710.37</v>
      </c>
      <c r="H26" s="86">
        <f t="shared" si="0"/>
        <v>0.26638875000000001</v>
      </c>
      <c r="I26" s="13">
        <v>0</v>
      </c>
      <c r="J26" s="22"/>
      <c r="K26" s="8"/>
      <c r="L26" s="8"/>
      <c r="M26" s="8"/>
    </row>
    <row r="27" spans="1:13" ht="15.75" customHeight="1">
      <c r="A27" s="40">
        <v>6</v>
      </c>
      <c r="B27" s="32" t="s">
        <v>229</v>
      </c>
      <c r="C27" s="138" t="s">
        <v>26</v>
      </c>
      <c r="D27" s="32" t="s">
        <v>234</v>
      </c>
      <c r="E27" s="175">
        <v>4.88</v>
      </c>
      <c r="F27" s="139">
        <f>E27*258</f>
        <v>1259.04</v>
      </c>
      <c r="G27" s="139">
        <v>10.39</v>
      </c>
      <c r="H27" s="86">
        <f t="shared" ref="H27" si="1">SUM(F27*G27/1000)</f>
        <v>13.081425600000001</v>
      </c>
      <c r="I27" s="13">
        <f>F27/12*G27</f>
        <v>1090.1188</v>
      </c>
      <c r="J27" s="22"/>
      <c r="K27" s="8"/>
      <c r="L27" s="8"/>
      <c r="M27" s="8"/>
    </row>
    <row r="28" spans="1:13" ht="15.75" customHeight="1">
      <c r="A28" s="220" t="s">
        <v>81</v>
      </c>
      <c r="B28" s="220"/>
      <c r="C28" s="220"/>
      <c r="D28" s="220"/>
      <c r="E28" s="220"/>
      <c r="F28" s="220"/>
      <c r="G28" s="220"/>
      <c r="H28" s="220"/>
      <c r="I28" s="220"/>
      <c r="J28" s="22"/>
      <c r="K28" s="8"/>
      <c r="L28" s="8"/>
      <c r="M28" s="8"/>
    </row>
    <row r="29" spans="1:13" ht="15.75" hidden="1" customHeight="1">
      <c r="A29" s="40"/>
      <c r="B29" s="50" t="s">
        <v>29</v>
      </c>
      <c r="C29" s="50"/>
      <c r="D29" s="50"/>
      <c r="E29" s="50"/>
      <c r="F29" s="50"/>
      <c r="G29" s="50"/>
      <c r="H29" s="50"/>
      <c r="I29" s="18"/>
      <c r="J29" s="22"/>
      <c r="K29" s="8"/>
      <c r="L29" s="8"/>
      <c r="M29" s="8"/>
    </row>
    <row r="30" spans="1:13" ht="15.75" hidden="1" customHeight="1">
      <c r="A30" s="40">
        <v>2</v>
      </c>
      <c r="B30" s="82" t="s">
        <v>101</v>
      </c>
      <c r="C30" s="83" t="s">
        <v>102</v>
      </c>
      <c r="D30" s="82" t="s">
        <v>103</v>
      </c>
      <c r="E30" s="85">
        <v>1304.45</v>
      </c>
      <c r="F30" s="85">
        <f>SUM(E30*52/1000)</f>
        <v>67.831400000000002</v>
      </c>
      <c r="G30" s="85">
        <v>155.88999999999999</v>
      </c>
      <c r="H30" s="86">
        <f t="shared" ref="H30:H35" si="2">SUM(F30*G30/1000)</f>
        <v>10.574236945999999</v>
      </c>
      <c r="I30" s="13">
        <f>F30/6*G30</f>
        <v>1762.3728243333333</v>
      </c>
      <c r="J30" s="22"/>
      <c r="K30" s="8"/>
      <c r="L30" s="8"/>
      <c r="M30" s="8"/>
    </row>
    <row r="31" spans="1:13" ht="31.5" hidden="1" customHeight="1">
      <c r="A31" s="40">
        <v>3</v>
      </c>
      <c r="B31" s="82" t="s">
        <v>140</v>
      </c>
      <c r="C31" s="83" t="s">
        <v>102</v>
      </c>
      <c r="D31" s="82" t="s">
        <v>104</v>
      </c>
      <c r="E31" s="85">
        <v>287.83999999999997</v>
      </c>
      <c r="F31" s="85">
        <f>SUM(E31*78/1000)</f>
        <v>22.451519999999995</v>
      </c>
      <c r="G31" s="85">
        <v>258.63</v>
      </c>
      <c r="H31" s="86">
        <f t="shared" si="2"/>
        <v>5.8066366175999979</v>
      </c>
      <c r="I31" s="13">
        <f t="shared" ref="I31:I33" si="3">F31/6*G31</f>
        <v>967.77276959999972</v>
      </c>
      <c r="J31" s="22"/>
      <c r="K31" s="8"/>
      <c r="L31" s="8"/>
      <c r="M31" s="8"/>
    </row>
    <row r="32" spans="1:13" ht="15.75" hidden="1" customHeight="1">
      <c r="A32" s="40">
        <v>4</v>
      </c>
      <c r="B32" s="82" t="s">
        <v>28</v>
      </c>
      <c r="C32" s="83" t="s">
        <v>102</v>
      </c>
      <c r="D32" s="82" t="s">
        <v>52</v>
      </c>
      <c r="E32" s="85">
        <v>1304.45</v>
      </c>
      <c r="F32" s="85">
        <f>SUM(E32/1000)</f>
        <v>1.3044500000000001</v>
      </c>
      <c r="G32" s="85">
        <v>3020.33</v>
      </c>
      <c r="H32" s="86">
        <f t="shared" si="2"/>
        <v>3.9398694685</v>
      </c>
      <c r="I32" s="13">
        <f>F32*G32</f>
        <v>3939.8694685</v>
      </c>
      <c r="J32" s="22"/>
      <c r="K32" s="8"/>
      <c r="L32" s="8"/>
      <c r="M32" s="8"/>
    </row>
    <row r="33" spans="1:14" ht="15.75" hidden="1" customHeight="1">
      <c r="A33" s="40">
        <v>5</v>
      </c>
      <c r="B33" s="82" t="s">
        <v>105</v>
      </c>
      <c r="C33" s="83" t="s">
        <v>31</v>
      </c>
      <c r="D33" s="82" t="s">
        <v>61</v>
      </c>
      <c r="E33" s="89">
        <v>0.33333333333333331</v>
      </c>
      <c r="F33" s="85">
        <f>155/3</f>
        <v>51.666666666666664</v>
      </c>
      <c r="G33" s="85">
        <v>56.69</v>
      </c>
      <c r="H33" s="86">
        <f t="shared" si="2"/>
        <v>2.9289833333333331</v>
      </c>
      <c r="I33" s="13">
        <f t="shared" si="3"/>
        <v>488.16388888888883</v>
      </c>
      <c r="J33" s="23"/>
    </row>
    <row r="34" spans="1:14" ht="15.75" hidden="1" customHeight="1">
      <c r="A34" s="40">
        <v>4</v>
      </c>
      <c r="B34" s="82" t="s">
        <v>63</v>
      </c>
      <c r="C34" s="83" t="s">
        <v>33</v>
      </c>
      <c r="D34" s="82" t="s">
        <v>65</v>
      </c>
      <c r="E34" s="84"/>
      <c r="F34" s="85">
        <v>3</v>
      </c>
      <c r="G34" s="85">
        <v>191.32</v>
      </c>
      <c r="H34" s="86">
        <f t="shared" si="2"/>
        <v>0.57396000000000003</v>
      </c>
      <c r="I34" s="13">
        <v>0</v>
      </c>
      <c r="J34" s="23"/>
    </row>
    <row r="35" spans="1:14" ht="15.75" hidden="1" customHeight="1">
      <c r="A35" s="29">
        <v>8</v>
      </c>
      <c r="B35" s="82" t="s">
        <v>64</v>
      </c>
      <c r="C35" s="83" t="s">
        <v>32</v>
      </c>
      <c r="D35" s="82" t="s">
        <v>65</v>
      </c>
      <c r="E35" s="84"/>
      <c r="F35" s="85">
        <v>2</v>
      </c>
      <c r="G35" s="85">
        <v>1136.32</v>
      </c>
      <c r="H35" s="86">
        <f t="shared" si="2"/>
        <v>2.27264</v>
      </c>
      <c r="I35" s="13">
        <v>0</v>
      </c>
      <c r="J35" s="23"/>
    </row>
    <row r="36" spans="1:14" ht="15.75" customHeight="1">
      <c r="A36" s="40"/>
      <c r="B36" s="48" t="s">
        <v>5</v>
      </c>
      <c r="C36" s="48"/>
      <c r="D36" s="48"/>
      <c r="E36" s="13"/>
      <c r="F36" s="13"/>
      <c r="G36" s="14"/>
      <c r="H36" s="14"/>
      <c r="I36" s="18"/>
      <c r="J36" s="23"/>
    </row>
    <row r="37" spans="1:14" ht="15.75" customHeight="1">
      <c r="A37" s="33">
        <v>7</v>
      </c>
      <c r="B37" s="155" t="s">
        <v>27</v>
      </c>
      <c r="C37" s="138" t="s">
        <v>32</v>
      </c>
      <c r="D37" s="183">
        <v>43551</v>
      </c>
      <c r="E37" s="152"/>
      <c r="F37" s="139">
        <v>8</v>
      </c>
      <c r="G37" s="139">
        <v>2083</v>
      </c>
      <c r="H37" s="86">
        <f t="shared" ref="H37:H43" si="4">SUM(F37*G37/1000)</f>
        <v>16.664000000000001</v>
      </c>
      <c r="I37" s="13">
        <f>G37*0.9</f>
        <v>1874.7</v>
      </c>
      <c r="J37" s="23"/>
    </row>
    <row r="38" spans="1:14" ht="15.75" customHeight="1">
      <c r="A38" s="33">
        <v>8</v>
      </c>
      <c r="B38" s="155" t="s">
        <v>123</v>
      </c>
      <c r="C38" s="156" t="s">
        <v>30</v>
      </c>
      <c r="D38" s="155" t="s">
        <v>235</v>
      </c>
      <c r="E38" s="157">
        <v>287.83999999999997</v>
      </c>
      <c r="F38" s="157">
        <f>SUM(E38*30/1000)</f>
        <v>8.6351999999999993</v>
      </c>
      <c r="G38" s="157">
        <v>2868.09</v>
      </c>
      <c r="H38" s="86">
        <f t="shared" si="4"/>
        <v>24.766530767999999</v>
      </c>
      <c r="I38" s="13">
        <f>F38/6*G38</f>
        <v>4127.7551279999998</v>
      </c>
      <c r="J38" s="23"/>
    </row>
    <row r="39" spans="1:14" ht="15.75" customHeight="1">
      <c r="A39" s="33">
        <v>9</v>
      </c>
      <c r="B39" s="155" t="s">
        <v>178</v>
      </c>
      <c r="C39" s="156" t="s">
        <v>30</v>
      </c>
      <c r="D39" s="32" t="s">
        <v>236</v>
      </c>
      <c r="E39" s="152">
        <v>287.83999999999997</v>
      </c>
      <c r="F39" s="157">
        <f>E39*155/1000</f>
        <v>44.615199999999994</v>
      </c>
      <c r="G39" s="139">
        <v>478.42</v>
      </c>
      <c r="H39" s="86">
        <f>G39*F39/1000</f>
        <v>21.344803983999999</v>
      </c>
      <c r="I39" s="13">
        <f>F39/6*G39</f>
        <v>3557.4673306666664</v>
      </c>
      <c r="J39" s="23"/>
    </row>
    <row r="40" spans="1:14" ht="15.75" hidden="1" customHeight="1">
      <c r="A40" s="33">
        <v>7</v>
      </c>
      <c r="B40" s="82" t="s">
        <v>87</v>
      </c>
      <c r="C40" s="83" t="s">
        <v>126</v>
      </c>
      <c r="D40" s="82" t="s">
        <v>65</v>
      </c>
      <c r="E40" s="84"/>
      <c r="F40" s="85">
        <v>80</v>
      </c>
      <c r="G40" s="85">
        <v>199.44</v>
      </c>
      <c r="H40" s="86">
        <f>G40*F40/1000</f>
        <v>15.955200000000001</v>
      </c>
      <c r="I40" s="13">
        <v>0</v>
      </c>
      <c r="J40" s="23"/>
    </row>
    <row r="41" spans="1:14" ht="47.25" customHeight="1">
      <c r="A41" s="33">
        <v>10</v>
      </c>
      <c r="B41" s="32" t="s">
        <v>79</v>
      </c>
      <c r="C41" s="138" t="s">
        <v>102</v>
      </c>
      <c r="D41" s="32" t="s">
        <v>235</v>
      </c>
      <c r="E41" s="139">
        <v>130.6</v>
      </c>
      <c r="F41" s="157">
        <f>SUM(E41*35/1000)</f>
        <v>4.5709999999999997</v>
      </c>
      <c r="G41" s="139">
        <v>7915.6</v>
      </c>
      <c r="H41" s="86">
        <f t="shared" si="4"/>
        <v>36.182207599999998</v>
      </c>
      <c r="I41" s="13">
        <f>F41/6*G41</f>
        <v>6030.367933333333</v>
      </c>
      <c r="J41" s="23"/>
      <c r="L41" s="19"/>
      <c r="M41" s="20"/>
      <c r="N41" s="21"/>
    </row>
    <row r="42" spans="1:14" ht="15.75" customHeight="1">
      <c r="A42" s="33">
        <v>11</v>
      </c>
      <c r="B42" s="32" t="s">
        <v>108</v>
      </c>
      <c r="C42" s="138" t="s">
        <v>102</v>
      </c>
      <c r="D42" s="32" t="s">
        <v>237</v>
      </c>
      <c r="E42" s="139">
        <v>287.83999999999997</v>
      </c>
      <c r="F42" s="157">
        <f>SUM(E42*45/1000)</f>
        <v>12.9528</v>
      </c>
      <c r="G42" s="139">
        <v>584.74</v>
      </c>
      <c r="H42" s="86">
        <f t="shared" si="4"/>
        <v>7.5740202719999994</v>
      </c>
      <c r="I42" s="13">
        <f>(F42/7.5*1.5)*G42</f>
        <v>1514.8040544</v>
      </c>
      <c r="J42" s="23"/>
      <c r="L42" s="19"/>
      <c r="M42" s="20"/>
      <c r="N42" s="21"/>
    </row>
    <row r="43" spans="1:14" ht="15.75" customHeight="1">
      <c r="A43" s="33">
        <v>12</v>
      </c>
      <c r="B43" s="155" t="s">
        <v>68</v>
      </c>
      <c r="C43" s="156" t="s">
        <v>33</v>
      </c>
      <c r="D43" s="155"/>
      <c r="E43" s="158"/>
      <c r="F43" s="157">
        <v>0.9</v>
      </c>
      <c r="G43" s="157">
        <v>800</v>
      </c>
      <c r="H43" s="86">
        <f t="shared" si="4"/>
        <v>0.72</v>
      </c>
      <c r="I43" s="13">
        <f>(F43/7.5*1.5)*G43</f>
        <v>144.00000000000003</v>
      </c>
      <c r="J43" s="23"/>
      <c r="L43" s="19"/>
      <c r="M43" s="20"/>
      <c r="N43" s="21"/>
    </row>
    <row r="44" spans="1:14" ht="15.75" hidden="1" customHeight="1">
      <c r="A44" s="224" t="s">
        <v>137</v>
      </c>
      <c r="B44" s="225"/>
      <c r="C44" s="225"/>
      <c r="D44" s="225"/>
      <c r="E44" s="225"/>
      <c r="F44" s="225"/>
      <c r="G44" s="225"/>
      <c r="H44" s="225"/>
      <c r="I44" s="226"/>
      <c r="J44" s="23"/>
      <c r="L44" s="19"/>
      <c r="M44" s="20"/>
      <c r="N44" s="21"/>
    </row>
    <row r="45" spans="1:14" ht="15.75" hidden="1" customHeight="1">
      <c r="A45" s="40">
        <v>15</v>
      </c>
      <c r="B45" s="82" t="s">
        <v>128</v>
      </c>
      <c r="C45" s="83" t="s">
        <v>102</v>
      </c>
      <c r="D45" s="82" t="s">
        <v>41</v>
      </c>
      <c r="E45" s="84">
        <v>1369</v>
      </c>
      <c r="F45" s="85">
        <f>SUM(E45*2/1000)</f>
        <v>2.738</v>
      </c>
      <c r="G45" s="13">
        <v>849.49</v>
      </c>
      <c r="H45" s="86">
        <f t="shared" ref="H45:H53" si="5">SUM(F45*G45/1000)</f>
        <v>2.3259036200000001</v>
      </c>
      <c r="I45" s="13">
        <v>0</v>
      </c>
      <c r="J45" s="23"/>
      <c r="L45" s="19"/>
      <c r="M45" s="20"/>
      <c r="N45" s="21"/>
    </row>
    <row r="46" spans="1:14" ht="15.75" hidden="1" customHeight="1">
      <c r="A46" s="40"/>
      <c r="B46" s="82" t="s">
        <v>34</v>
      </c>
      <c r="C46" s="83" t="s">
        <v>102</v>
      </c>
      <c r="D46" s="82" t="s">
        <v>41</v>
      </c>
      <c r="E46" s="84">
        <v>1418</v>
      </c>
      <c r="F46" s="85">
        <f>SUM(E46*2/1000)</f>
        <v>2.8359999999999999</v>
      </c>
      <c r="G46" s="13">
        <v>579.48</v>
      </c>
      <c r="H46" s="86">
        <f t="shared" si="5"/>
        <v>1.6434052799999999</v>
      </c>
      <c r="I46" s="13">
        <v>0</v>
      </c>
      <c r="J46" s="23"/>
      <c r="L46" s="19"/>
      <c r="M46" s="20"/>
      <c r="N46" s="21"/>
    </row>
    <row r="47" spans="1:14" ht="15.75" hidden="1" customHeight="1">
      <c r="A47" s="40">
        <v>16</v>
      </c>
      <c r="B47" s="82" t="s">
        <v>35</v>
      </c>
      <c r="C47" s="83" t="s">
        <v>102</v>
      </c>
      <c r="D47" s="82" t="s">
        <v>41</v>
      </c>
      <c r="E47" s="84">
        <v>4985.21</v>
      </c>
      <c r="F47" s="85">
        <f>SUM(E47*2/1000)</f>
        <v>9.9704200000000007</v>
      </c>
      <c r="G47" s="13">
        <v>579.48</v>
      </c>
      <c r="H47" s="86">
        <f t="shared" si="5"/>
        <v>5.7776589816000001</v>
      </c>
      <c r="I47" s="13">
        <v>0</v>
      </c>
      <c r="J47" s="23"/>
      <c r="L47" s="19"/>
      <c r="M47" s="20"/>
      <c r="N47" s="21"/>
    </row>
    <row r="48" spans="1:14" ht="15.75" hidden="1" customHeight="1">
      <c r="A48" s="40">
        <v>17</v>
      </c>
      <c r="B48" s="82" t="s">
        <v>36</v>
      </c>
      <c r="C48" s="83" t="s">
        <v>102</v>
      </c>
      <c r="D48" s="82" t="s">
        <v>41</v>
      </c>
      <c r="E48" s="84">
        <v>2474</v>
      </c>
      <c r="F48" s="85">
        <f>SUM(E48*2/1000)</f>
        <v>4.9480000000000004</v>
      </c>
      <c r="G48" s="13">
        <v>606.77</v>
      </c>
      <c r="H48" s="86">
        <f t="shared" si="5"/>
        <v>3.0022979600000004</v>
      </c>
      <c r="I48" s="13">
        <v>0</v>
      </c>
      <c r="J48" s="23"/>
      <c r="L48" s="19"/>
      <c r="M48" s="20"/>
      <c r="N48" s="21"/>
    </row>
    <row r="49" spans="1:14" ht="15.75" hidden="1" customHeight="1">
      <c r="A49" s="40">
        <v>13</v>
      </c>
      <c r="B49" s="82" t="s">
        <v>54</v>
      </c>
      <c r="C49" s="83" t="s">
        <v>102</v>
      </c>
      <c r="D49" s="82" t="s">
        <v>141</v>
      </c>
      <c r="E49" s="84">
        <v>1349.3</v>
      </c>
      <c r="F49" s="85">
        <f>SUM(E49*5/1000)</f>
        <v>6.7465000000000002</v>
      </c>
      <c r="G49" s="13">
        <v>1213.55</v>
      </c>
      <c r="H49" s="86">
        <f t="shared" si="5"/>
        <v>8.1872150749999992</v>
      </c>
      <c r="I49" s="13">
        <f>F49/5*G49</f>
        <v>1637.4430149999998</v>
      </c>
      <c r="J49" s="23"/>
      <c r="L49" s="19"/>
      <c r="M49" s="20"/>
      <c r="N49" s="21"/>
    </row>
    <row r="50" spans="1:14" ht="30.75" hidden="1" customHeight="1">
      <c r="A50" s="40">
        <v>13</v>
      </c>
      <c r="B50" s="82" t="s">
        <v>109</v>
      </c>
      <c r="C50" s="83" t="s">
        <v>102</v>
      </c>
      <c r="D50" s="82" t="s">
        <v>41</v>
      </c>
      <c r="E50" s="84">
        <v>1349.3</v>
      </c>
      <c r="F50" s="85">
        <f>SUM(E50*2/1000)</f>
        <v>2.6985999999999999</v>
      </c>
      <c r="G50" s="13">
        <v>1213.55</v>
      </c>
      <c r="H50" s="86">
        <f t="shared" si="5"/>
        <v>3.2748860299999998</v>
      </c>
      <c r="I50" s="13">
        <v>0</v>
      </c>
      <c r="J50" s="23"/>
      <c r="L50" s="19"/>
      <c r="M50" s="20"/>
      <c r="N50" s="21"/>
    </row>
    <row r="51" spans="1:14" ht="30.75" hidden="1" customHeight="1">
      <c r="A51" s="40">
        <v>14</v>
      </c>
      <c r="B51" s="82" t="s">
        <v>110</v>
      </c>
      <c r="C51" s="83" t="s">
        <v>37</v>
      </c>
      <c r="D51" s="82" t="s">
        <v>41</v>
      </c>
      <c r="E51" s="84">
        <v>40</v>
      </c>
      <c r="F51" s="85">
        <f>SUM(E51*2/100)</f>
        <v>0.8</v>
      </c>
      <c r="G51" s="13">
        <v>2730.49</v>
      </c>
      <c r="H51" s="86">
        <f t="shared" si="5"/>
        <v>2.1843919999999999</v>
      </c>
      <c r="I51" s="13">
        <v>0</v>
      </c>
      <c r="J51" s="23"/>
      <c r="L51" s="19"/>
      <c r="M51" s="20"/>
      <c r="N51" s="21"/>
    </row>
    <row r="52" spans="1:14" ht="15.75" hidden="1" customHeight="1">
      <c r="A52" s="40">
        <v>15</v>
      </c>
      <c r="B52" s="82" t="s">
        <v>38</v>
      </c>
      <c r="C52" s="83" t="s">
        <v>39</v>
      </c>
      <c r="D52" s="82" t="s">
        <v>41</v>
      </c>
      <c r="E52" s="84">
        <v>1</v>
      </c>
      <c r="F52" s="85">
        <v>0.02</v>
      </c>
      <c r="G52" s="13">
        <v>5652.13</v>
      </c>
      <c r="H52" s="86">
        <f t="shared" si="5"/>
        <v>0.11304260000000001</v>
      </c>
      <c r="I52" s="13">
        <v>0</v>
      </c>
      <c r="J52" s="23"/>
      <c r="L52" s="19"/>
      <c r="M52" s="20"/>
      <c r="N52" s="21"/>
    </row>
    <row r="53" spans="1:14" ht="15.75" hidden="1" customHeight="1">
      <c r="A53" s="129">
        <v>14</v>
      </c>
      <c r="B53" s="93" t="s">
        <v>40</v>
      </c>
      <c r="C53" s="94" t="s">
        <v>111</v>
      </c>
      <c r="D53" s="93" t="s">
        <v>69</v>
      </c>
      <c r="E53" s="95">
        <v>238</v>
      </c>
      <c r="F53" s="96">
        <f>SUM(E53)*3</f>
        <v>714</v>
      </c>
      <c r="G53" s="119">
        <v>65.67</v>
      </c>
      <c r="H53" s="98">
        <f t="shared" si="5"/>
        <v>46.888380000000005</v>
      </c>
      <c r="I53" s="119">
        <f>E53*G53</f>
        <v>15629.460000000001</v>
      </c>
      <c r="J53" s="23"/>
      <c r="L53" s="19"/>
      <c r="M53" s="20"/>
      <c r="N53" s="21"/>
    </row>
    <row r="54" spans="1:14" ht="31.5" customHeight="1">
      <c r="A54" s="40">
        <v>13</v>
      </c>
      <c r="B54" s="155" t="s">
        <v>179</v>
      </c>
      <c r="C54" s="156" t="s">
        <v>102</v>
      </c>
      <c r="D54" s="155" t="s">
        <v>238</v>
      </c>
      <c r="E54" s="158">
        <v>0.6</v>
      </c>
      <c r="F54" s="157">
        <v>0.01</v>
      </c>
      <c r="G54" s="157">
        <v>18798.34</v>
      </c>
      <c r="H54" s="86">
        <f t="shared" ref="H54" si="6">SUM(F54*G54/1000)</f>
        <v>0.18798340000000002</v>
      </c>
      <c r="I54" s="13">
        <f>G54*F54/6</f>
        <v>31.33056666666667</v>
      </c>
      <c r="J54" s="23"/>
      <c r="L54" s="19"/>
      <c r="M54" s="20"/>
      <c r="N54" s="21"/>
    </row>
    <row r="55" spans="1:14" ht="15.75" customHeight="1">
      <c r="A55" s="224" t="s">
        <v>150</v>
      </c>
      <c r="B55" s="225"/>
      <c r="C55" s="225"/>
      <c r="D55" s="225"/>
      <c r="E55" s="225"/>
      <c r="F55" s="225"/>
      <c r="G55" s="225"/>
      <c r="H55" s="225"/>
      <c r="I55" s="226"/>
      <c r="J55" s="23"/>
      <c r="L55" s="19"/>
      <c r="M55" s="20"/>
      <c r="N55" s="21"/>
    </row>
    <row r="56" spans="1:14" ht="15.75" customHeight="1">
      <c r="A56" s="171"/>
      <c r="B56" s="47" t="s">
        <v>42</v>
      </c>
      <c r="C56" s="16"/>
      <c r="D56" s="15"/>
      <c r="E56" s="15"/>
      <c r="F56" s="15"/>
      <c r="G56" s="29"/>
      <c r="H56" s="29"/>
      <c r="I56" s="18"/>
      <c r="J56" s="23"/>
      <c r="L56" s="19"/>
      <c r="M56" s="20"/>
      <c r="N56" s="21"/>
    </row>
    <row r="57" spans="1:14" ht="31.5" customHeight="1">
      <c r="A57" s="40">
        <v>14</v>
      </c>
      <c r="B57" s="32" t="s">
        <v>112</v>
      </c>
      <c r="C57" s="138" t="s">
        <v>89</v>
      </c>
      <c r="D57" s="32" t="s">
        <v>239</v>
      </c>
      <c r="E57" s="152">
        <v>128.5</v>
      </c>
      <c r="F57" s="139">
        <f>SUM(E57*6/100)</f>
        <v>7.71</v>
      </c>
      <c r="G57" s="36">
        <v>2110.4699999999998</v>
      </c>
      <c r="H57" s="86">
        <f>SUM(F57*G57/1000)</f>
        <v>16.271723699999999</v>
      </c>
      <c r="I57" s="13">
        <f>G57*3.341</f>
        <v>7051.0802699999995</v>
      </c>
      <c r="J57" s="23"/>
      <c r="L57" s="19"/>
      <c r="M57" s="20"/>
      <c r="N57" s="21"/>
    </row>
    <row r="58" spans="1:14" ht="15.75" customHeight="1">
      <c r="A58" s="40">
        <v>15</v>
      </c>
      <c r="B58" s="32" t="s">
        <v>180</v>
      </c>
      <c r="C58" s="138" t="s">
        <v>89</v>
      </c>
      <c r="D58" s="32"/>
      <c r="E58" s="153">
        <v>69.5</v>
      </c>
      <c r="F58" s="154">
        <f>E58*6/100</f>
        <v>4.17</v>
      </c>
      <c r="G58" s="139">
        <v>2110.4699999999998</v>
      </c>
      <c r="H58" s="86">
        <f>F58*G58/1000</f>
        <v>8.8006598999999994</v>
      </c>
      <c r="I58" s="13">
        <f>F58/6*G58</f>
        <v>1466.7766499999998</v>
      </c>
      <c r="J58" s="23"/>
      <c r="L58" s="19"/>
      <c r="M58" s="20"/>
      <c r="N58" s="21"/>
    </row>
    <row r="59" spans="1:14" ht="15.75" customHeight="1">
      <c r="A59" s="40"/>
      <c r="B59" s="170" t="s">
        <v>43</v>
      </c>
      <c r="C59" s="170"/>
      <c r="D59" s="170"/>
      <c r="E59" s="170"/>
      <c r="F59" s="170"/>
      <c r="G59" s="170"/>
      <c r="H59" s="170"/>
      <c r="I59" s="35"/>
      <c r="J59" s="23"/>
      <c r="L59" s="19"/>
      <c r="M59" s="20"/>
      <c r="N59" s="21"/>
    </row>
    <row r="60" spans="1:14" ht="15.75" hidden="1" customHeight="1">
      <c r="A60" s="40">
        <v>27</v>
      </c>
      <c r="B60" s="82" t="s">
        <v>142</v>
      </c>
      <c r="C60" s="83"/>
      <c r="D60" s="82" t="s">
        <v>52</v>
      </c>
      <c r="E60" s="84">
        <v>1349.3</v>
      </c>
      <c r="F60" s="86">
        <v>13.493</v>
      </c>
      <c r="G60" s="13">
        <v>793.61</v>
      </c>
      <c r="H60" s="92">
        <f>F60*G60/1000</f>
        <v>10.708179729999999</v>
      </c>
      <c r="I60" s="13">
        <v>0</v>
      </c>
      <c r="J60" s="23"/>
      <c r="L60" s="19"/>
      <c r="M60" s="20"/>
      <c r="N60" s="21"/>
    </row>
    <row r="61" spans="1:14" ht="15.75" customHeight="1">
      <c r="A61" s="40">
        <v>16</v>
      </c>
      <c r="B61" s="93" t="s">
        <v>88</v>
      </c>
      <c r="C61" s="94" t="s">
        <v>26</v>
      </c>
      <c r="D61" s="113"/>
      <c r="E61" s="115">
        <v>200</v>
      </c>
      <c r="F61" s="116">
        <f>E61*12</f>
        <v>2400</v>
      </c>
      <c r="G61" s="117">
        <v>1.4</v>
      </c>
      <c r="H61" s="98">
        <f>F61*G61</f>
        <v>3360</v>
      </c>
      <c r="I61" s="13">
        <f>F61/12*G61</f>
        <v>280</v>
      </c>
      <c r="J61" s="23"/>
      <c r="L61" s="19"/>
      <c r="M61" s="20"/>
      <c r="N61" s="21"/>
    </row>
    <row r="62" spans="1:14" ht="15.75" hidden="1" customHeight="1">
      <c r="A62" s="40"/>
      <c r="B62" s="170" t="s">
        <v>44</v>
      </c>
      <c r="C62" s="16"/>
      <c r="D62" s="37"/>
      <c r="E62" s="15"/>
      <c r="F62" s="15"/>
      <c r="G62" s="29"/>
      <c r="H62" s="29"/>
      <c r="I62" s="18"/>
      <c r="J62" s="23"/>
      <c r="L62" s="19"/>
    </row>
    <row r="63" spans="1:14" ht="15.75" hidden="1" customHeight="1">
      <c r="A63" s="40">
        <v>17</v>
      </c>
      <c r="B63" s="99" t="s">
        <v>45</v>
      </c>
      <c r="C63" s="16" t="s">
        <v>111</v>
      </c>
      <c r="D63" s="99" t="s">
        <v>65</v>
      </c>
      <c r="E63" s="18">
        <v>40</v>
      </c>
      <c r="F63" s="85">
        <v>40</v>
      </c>
      <c r="G63" s="13">
        <v>222.4</v>
      </c>
      <c r="H63" s="100">
        <f t="shared" ref="H63:H69" si="7">SUM(F63*G63/1000)</f>
        <v>8.8960000000000008</v>
      </c>
      <c r="I63" s="13">
        <f>G63*3</f>
        <v>667.2</v>
      </c>
    </row>
    <row r="64" spans="1:14" ht="15.75" hidden="1" customHeight="1">
      <c r="A64" s="29">
        <v>29</v>
      </c>
      <c r="B64" s="99" t="s">
        <v>46</v>
      </c>
      <c r="C64" s="16" t="s">
        <v>111</v>
      </c>
      <c r="D64" s="99" t="s">
        <v>65</v>
      </c>
      <c r="E64" s="18">
        <v>20</v>
      </c>
      <c r="F64" s="85">
        <v>20</v>
      </c>
      <c r="G64" s="13">
        <v>76.25</v>
      </c>
      <c r="H64" s="100">
        <f t="shared" si="7"/>
        <v>1.5249999999999999</v>
      </c>
      <c r="I64" s="13">
        <v>0</v>
      </c>
    </row>
    <row r="65" spans="1:22" ht="15.75" hidden="1" customHeight="1">
      <c r="A65" s="29">
        <v>8</v>
      </c>
      <c r="B65" s="99" t="s">
        <v>47</v>
      </c>
      <c r="C65" s="16" t="s">
        <v>114</v>
      </c>
      <c r="D65" s="99" t="s">
        <v>52</v>
      </c>
      <c r="E65" s="84">
        <v>18890</v>
      </c>
      <c r="F65" s="13">
        <f>SUM(E65/100)</f>
        <v>188.9</v>
      </c>
      <c r="G65" s="13">
        <v>212.15</v>
      </c>
      <c r="H65" s="100">
        <f t="shared" si="7"/>
        <v>40.075135000000003</v>
      </c>
      <c r="I65" s="13">
        <v>0</v>
      </c>
    </row>
    <row r="66" spans="1:22" ht="15.75" hidden="1" customHeight="1">
      <c r="A66" s="29">
        <v>9</v>
      </c>
      <c r="B66" s="99" t="s">
        <v>48</v>
      </c>
      <c r="C66" s="16" t="s">
        <v>115</v>
      </c>
      <c r="D66" s="99"/>
      <c r="E66" s="84">
        <v>18890</v>
      </c>
      <c r="F66" s="13">
        <f>SUM(E66/1000)</f>
        <v>18.89</v>
      </c>
      <c r="G66" s="13">
        <v>165.21</v>
      </c>
      <c r="H66" s="100">
        <f t="shared" si="7"/>
        <v>3.1208169000000003</v>
      </c>
      <c r="I66" s="13">
        <v>0</v>
      </c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9"/>
    </row>
    <row r="67" spans="1:22" ht="15.75" hidden="1" customHeight="1">
      <c r="A67" s="29">
        <v>10</v>
      </c>
      <c r="B67" s="99" t="s">
        <v>49</v>
      </c>
      <c r="C67" s="16" t="s">
        <v>75</v>
      </c>
      <c r="D67" s="99" t="s">
        <v>52</v>
      </c>
      <c r="E67" s="84">
        <v>3004</v>
      </c>
      <c r="F67" s="13">
        <f>SUM(E67/100)</f>
        <v>30.04</v>
      </c>
      <c r="G67" s="13">
        <v>2074.63</v>
      </c>
      <c r="H67" s="100">
        <f t="shared" si="7"/>
        <v>62.321885200000004</v>
      </c>
      <c r="I67" s="13">
        <v>0</v>
      </c>
      <c r="J67" s="25"/>
      <c r="K67" s="25"/>
      <c r="L67" s="3"/>
      <c r="M67" s="3"/>
      <c r="N67" s="3"/>
      <c r="O67" s="3"/>
      <c r="P67" s="3"/>
      <c r="Q67" s="3"/>
      <c r="R67" s="3"/>
      <c r="S67" s="3"/>
      <c r="T67" s="3"/>
      <c r="U67" s="3"/>
    </row>
    <row r="68" spans="1:22" ht="15.75" hidden="1" customHeight="1">
      <c r="A68" s="29">
        <v>11</v>
      </c>
      <c r="B68" s="101" t="s">
        <v>116</v>
      </c>
      <c r="C68" s="16" t="s">
        <v>33</v>
      </c>
      <c r="D68" s="99"/>
      <c r="E68" s="84">
        <v>15.8</v>
      </c>
      <c r="F68" s="13">
        <f>SUM(E68)</f>
        <v>15.8</v>
      </c>
      <c r="G68" s="13">
        <v>42.67</v>
      </c>
      <c r="H68" s="100">
        <f t="shared" si="7"/>
        <v>0.67418600000000006</v>
      </c>
      <c r="I68" s="13">
        <v>0</v>
      </c>
      <c r="J68" s="3"/>
      <c r="K68" s="3"/>
      <c r="L68" s="3"/>
      <c r="M68" s="3"/>
      <c r="N68" s="3"/>
      <c r="O68" s="3"/>
      <c r="P68" s="3"/>
      <c r="Q68" s="3"/>
      <c r="S68" s="3"/>
      <c r="T68" s="3"/>
      <c r="U68" s="3"/>
    </row>
    <row r="69" spans="1:22" ht="15.75" hidden="1" customHeight="1">
      <c r="A69" s="29">
        <v>12</v>
      </c>
      <c r="B69" s="101" t="s">
        <v>117</v>
      </c>
      <c r="C69" s="16" t="s">
        <v>33</v>
      </c>
      <c r="D69" s="99"/>
      <c r="E69" s="84">
        <v>15.8</v>
      </c>
      <c r="F69" s="13">
        <f>SUM(E69)</f>
        <v>15.8</v>
      </c>
      <c r="G69" s="13">
        <v>39.81</v>
      </c>
      <c r="H69" s="100">
        <f t="shared" si="7"/>
        <v>0.62899800000000006</v>
      </c>
      <c r="I69" s="13">
        <v>0</v>
      </c>
      <c r="J69" s="5"/>
      <c r="K69" s="5"/>
      <c r="L69" s="5"/>
      <c r="M69" s="5"/>
      <c r="N69" s="5"/>
      <c r="O69" s="5"/>
      <c r="P69" s="5"/>
      <c r="Q69" s="5"/>
      <c r="R69" s="199"/>
      <c r="S69" s="199"/>
      <c r="T69" s="199"/>
      <c r="U69" s="199"/>
    </row>
    <row r="70" spans="1:22" ht="18" customHeight="1">
      <c r="A70" s="29"/>
      <c r="B70" s="162" t="s">
        <v>181</v>
      </c>
      <c r="C70" s="38"/>
      <c r="D70" s="37"/>
      <c r="E70" s="17"/>
      <c r="F70" s="117"/>
      <c r="G70" s="36"/>
      <c r="H70" s="100"/>
      <c r="I70" s="13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1" spans="1:22" ht="34.5" customHeight="1">
      <c r="A71" s="29">
        <v>17</v>
      </c>
      <c r="B71" s="37" t="s">
        <v>182</v>
      </c>
      <c r="C71" s="40" t="s">
        <v>183</v>
      </c>
      <c r="D71" s="37"/>
      <c r="E71" s="17">
        <v>5162.6000000000004</v>
      </c>
      <c r="F71" s="36">
        <f>E71*12</f>
        <v>61951.200000000004</v>
      </c>
      <c r="G71" s="36">
        <v>2.37</v>
      </c>
      <c r="H71" s="100"/>
      <c r="I71" s="13">
        <f>G71*F71/12</f>
        <v>12235.362000000001</v>
      </c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2" ht="14.25" hidden="1" customHeight="1">
      <c r="A72" s="171"/>
      <c r="B72" s="170" t="s">
        <v>118</v>
      </c>
      <c r="C72" s="170"/>
      <c r="D72" s="170"/>
      <c r="E72" s="170"/>
      <c r="F72" s="170"/>
      <c r="G72" s="170"/>
      <c r="H72" s="170"/>
      <c r="I72" s="18"/>
    </row>
    <row r="73" spans="1:22" ht="17.25" hidden="1" customHeight="1">
      <c r="A73" s="29">
        <v>19</v>
      </c>
      <c r="B73" s="82" t="s">
        <v>119</v>
      </c>
      <c r="C73" s="16"/>
      <c r="D73" s="99"/>
      <c r="E73" s="77"/>
      <c r="F73" s="13">
        <v>1</v>
      </c>
      <c r="G73" s="13">
        <v>27865.200000000001</v>
      </c>
      <c r="H73" s="100">
        <f>G73*F73/1000</f>
        <v>27.865200000000002</v>
      </c>
      <c r="I73" s="13">
        <v>0</v>
      </c>
    </row>
    <row r="74" spans="1:22" ht="15.75" customHeight="1">
      <c r="A74" s="29"/>
      <c r="B74" s="48" t="s">
        <v>70</v>
      </c>
      <c r="C74" s="48"/>
      <c r="D74" s="48"/>
      <c r="E74" s="18"/>
      <c r="F74" s="18"/>
      <c r="G74" s="29"/>
      <c r="H74" s="29"/>
      <c r="I74" s="18"/>
    </row>
    <row r="75" spans="1:22" ht="18.75" customHeight="1">
      <c r="A75" s="29">
        <v>18</v>
      </c>
      <c r="B75" s="37" t="s">
        <v>71</v>
      </c>
      <c r="C75" s="38" t="s">
        <v>207</v>
      </c>
      <c r="D75" s="37"/>
      <c r="E75" s="17">
        <v>8</v>
      </c>
      <c r="F75" s="36">
        <f>E75/10</f>
        <v>0.8</v>
      </c>
      <c r="G75" s="36">
        <v>684.19</v>
      </c>
      <c r="H75" s="100">
        <f t="shared" ref="H75" si="8">SUM(F75*G75/1000)</f>
        <v>0.54735200000000006</v>
      </c>
      <c r="I75" s="13">
        <f>G75*0.4</f>
        <v>273.67600000000004</v>
      </c>
    </row>
    <row r="76" spans="1:22" ht="15.75" hidden="1" customHeight="1">
      <c r="A76" s="29"/>
      <c r="B76" s="99" t="s">
        <v>132</v>
      </c>
      <c r="C76" s="16" t="s">
        <v>31</v>
      </c>
      <c r="D76" s="99"/>
      <c r="E76" s="18">
        <v>1</v>
      </c>
      <c r="F76" s="13">
        <v>1</v>
      </c>
      <c r="G76" s="13">
        <v>99.85</v>
      </c>
      <c r="H76" s="100">
        <f>F76*G76/1000</f>
        <v>9.9849999999999994E-2</v>
      </c>
      <c r="I76" s="13">
        <v>0</v>
      </c>
    </row>
    <row r="77" spans="1:22" ht="15.75" hidden="1" customHeight="1">
      <c r="A77" s="29"/>
      <c r="B77" s="99" t="s">
        <v>133</v>
      </c>
      <c r="C77" s="16" t="s">
        <v>31</v>
      </c>
      <c r="D77" s="99"/>
      <c r="E77" s="18">
        <v>1</v>
      </c>
      <c r="F77" s="13">
        <v>1</v>
      </c>
      <c r="G77" s="13">
        <v>120.26</v>
      </c>
      <c r="H77" s="100">
        <f>F77*G77/1000</f>
        <v>0.12026000000000001</v>
      </c>
      <c r="I77" s="13">
        <v>0</v>
      </c>
    </row>
    <row r="78" spans="1:22" ht="33" customHeight="1">
      <c r="A78" s="29">
        <v>19</v>
      </c>
      <c r="B78" s="37" t="s">
        <v>184</v>
      </c>
      <c r="C78" s="38" t="s">
        <v>111</v>
      </c>
      <c r="D78" s="37" t="s">
        <v>233</v>
      </c>
      <c r="E78" s="17">
        <v>1</v>
      </c>
      <c r="F78" s="36">
        <f>E78*12</f>
        <v>12</v>
      </c>
      <c r="G78" s="36">
        <v>55.55</v>
      </c>
      <c r="H78" s="100"/>
      <c r="I78" s="13">
        <f>G78*1</f>
        <v>55.55</v>
      </c>
    </row>
    <row r="79" spans="1:22" ht="16.5" customHeight="1">
      <c r="A79" s="29"/>
      <c r="B79" s="49" t="s">
        <v>74</v>
      </c>
      <c r="C79" s="38"/>
      <c r="D79" s="29"/>
      <c r="E79" s="18"/>
      <c r="F79" s="18"/>
      <c r="G79" s="36"/>
      <c r="H79" s="36"/>
      <c r="I79" s="18"/>
    </row>
    <row r="80" spans="1:22" ht="17.25" hidden="1" customHeight="1">
      <c r="A80" s="29">
        <v>39</v>
      </c>
      <c r="B80" s="51" t="s">
        <v>120</v>
      </c>
      <c r="C80" s="16" t="s">
        <v>75</v>
      </c>
      <c r="D80" s="99"/>
      <c r="E80" s="18"/>
      <c r="F80" s="13">
        <v>1.35</v>
      </c>
      <c r="G80" s="13">
        <v>2759.44</v>
      </c>
      <c r="H80" s="100">
        <f t="shared" ref="H80" si="9">SUM(F80*G80/1000)</f>
        <v>3.725244</v>
      </c>
      <c r="I80" s="13">
        <v>0</v>
      </c>
    </row>
    <row r="81" spans="1:9" ht="15.75" customHeight="1">
      <c r="A81" s="208" t="s">
        <v>151</v>
      </c>
      <c r="B81" s="209"/>
      <c r="C81" s="209"/>
      <c r="D81" s="209"/>
      <c r="E81" s="209"/>
      <c r="F81" s="209"/>
      <c r="G81" s="209"/>
      <c r="H81" s="209"/>
      <c r="I81" s="210"/>
    </row>
    <row r="82" spans="1:9" ht="15.75" customHeight="1">
      <c r="A82" s="29">
        <v>20</v>
      </c>
      <c r="B82" s="32" t="s">
        <v>121</v>
      </c>
      <c r="C82" s="38" t="s">
        <v>53</v>
      </c>
      <c r="D82" s="63"/>
      <c r="E82" s="36">
        <v>5162.6000000000004</v>
      </c>
      <c r="F82" s="36">
        <f>SUM(E82*12)</f>
        <v>61951.200000000004</v>
      </c>
      <c r="G82" s="36">
        <v>3.22</v>
      </c>
      <c r="H82" s="102">
        <f>SUM(F82*G82/1000)</f>
        <v>199.48286400000003</v>
      </c>
      <c r="I82" s="13">
        <f>F82/12*G82</f>
        <v>16623.572000000004</v>
      </c>
    </row>
    <row r="83" spans="1:9" ht="31.5" customHeight="1">
      <c r="A83" s="29">
        <v>21</v>
      </c>
      <c r="B83" s="37" t="s">
        <v>185</v>
      </c>
      <c r="C83" s="114" t="s">
        <v>186</v>
      </c>
      <c r="D83" s="37"/>
      <c r="E83" s="17">
        <v>5162.6000000000004</v>
      </c>
      <c r="F83" s="36">
        <f>E83*12</f>
        <v>61951.200000000004</v>
      </c>
      <c r="G83" s="36">
        <v>3.64</v>
      </c>
      <c r="H83" s="100">
        <f>F83*G83/1000</f>
        <v>225.50236800000002</v>
      </c>
      <c r="I83" s="13">
        <f>F83/12*G83</f>
        <v>18791.864000000001</v>
      </c>
    </row>
    <row r="84" spans="1:9" ht="15.75" customHeight="1">
      <c r="A84" s="171"/>
      <c r="B84" s="39" t="s">
        <v>78</v>
      </c>
      <c r="C84" s="40"/>
      <c r="D84" s="15"/>
      <c r="E84" s="15"/>
      <c r="F84" s="15"/>
      <c r="G84" s="18"/>
      <c r="H84" s="18"/>
      <c r="I84" s="31">
        <f>I83+I82+I78+I75+I71+I61+I58+I57+I54+I43+I42+I41+I39+I38+I37+I27+I21+I20+I18+I17+I16</f>
        <v>96870.755147733333</v>
      </c>
    </row>
    <row r="85" spans="1:9" ht="15.75" customHeight="1">
      <c r="A85" s="211" t="s">
        <v>58</v>
      </c>
      <c r="B85" s="212"/>
      <c r="C85" s="212"/>
      <c r="D85" s="212"/>
      <c r="E85" s="212"/>
      <c r="F85" s="212"/>
      <c r="G85" s="212"/>
      <c r="H85" s="212"/>
      <c r="I85" s="213"/>
    </row>
    <row r="86" spans="1:9" ht="15.75" customHeight="1">
      <c r="A86" s="29">
        <v>22</v>
      </c>
      <c r="B86" s="66" t="s">
        <v>201</v>
      </c>
      <c r="C86" s="67" t="s">
        <v>111</v>
      </c>
      <c r="D86" s="51"/>
      <c r="E86" s="13"/>
      <c r="F86" s="13">
        <v>1</v>
      </c>
      <c r="G86" s="36">
        <v>130.44</v>
      </c>
      <c r="H86" s="100">
        <f t="shared" ref="H86:H87" si="10">G86*F86/1000</f>
        <v>0.13044</v>
      </c>
      <c r="I86" s="119">
        <f>G86*1</f>
        <v>130.44</v>
      </c>
    </row>
    <row r="87" spans="1:9" ht="28.5" customHeight="1">
      <c r="A87" s="29">
        <v>23</v>
      </c>
      <c r="B87" s="66" t="s">
        <v>190</v>
      </c>
      <c r="C87" s="67" t="s">
        <v>171</v>
      </c>
      <c r="D87" s="51" t="s">
        <v>203</v>
      </c>
      <c r="E87" s="13"/>
      <c r="F87" s="13">
        <v>6</v>
      </c>
      <c r="G87" s="36">
        <v>1367</v>
      </c>
      <c r="H87" s="100">
        <f t="shared" si="10"/>
        <v>8.202</v>
      </c>
      <c r="I87" s="119">
        <f>G87*16</f>
        <v>21872</v>
      </c>
    </row>
    <row r="88" spans="1:9" ht="30" customHeight="1">
      <c r="A88" s="29">
        <v>24</v>
      </c>
      <c r="B88" s="66" t="s">
        <v>202</v>
      </c>
      <c r="C88" s="67" t="s">
        <v>171</v>
      </c>
      <c r="D88" s="51"/>
      <c r="E88" s="13"/>
      <c r="F88" s="13"/>
      <c r="G88" s="36">
        <v>1465</v>
      </c>
      <c r="H88" s="100"/>
      <c r="I88" s="119">
        <f>G88*2</f>
        <v>2930</v>
      </c>
    </row>
    <row r="89" spans="1:9" ht="16.5" customHeight="1">
      <c r="A89" s="29">
        <v>25</v>
      </c>
      <c r="B89" s="66" t="s">
        <v>204</v>
      </c>
      <c r="C89" s="67" t="s">
        <v>30</v>
      </c>
      <c r="D89" s="51"/>
      <c r="E89" s="13"/>
      <c r="F89" s="13"/>
      <c r="G89" s="36">
        <v>830.69</v>
      </c>
      <c r="H89" s="100"/>
      <c r="I89" s="119">
        <f>G89*0.004</f>
        <v>3.3227600000000002</v>
      </c>
    </row>
    <row r="90" spans="1:9" ht="15" customHeight="1">
      <c r="A90" s="29">
        <v>26</v>
      </c>
      <c r="B90" s="66" t="s">
        <v>277</v>
      </c>
      <c r="C90" s="67" t="s">
        <v>30</v>
      </c>
      <c r="D90" s="51"/>
      <c r="E90" s="13"/>
      <c r="F90" s="13"/>
      <c r="G90" s="36">
        <v>1160.81</v>
      </c>
      <c r="H90" s="100"/>
      <c r="I90" s="119">
        <f>G90*0.02</f>
        <v>23.216200000000001</v>
      </c>
    </row>
    <row r="91" spans="1:9" ht="15" customHeight="1">
      <c r="A91" s="29">
        <v>27</v>
      </c>
      <c r="B91" s="66" t="s">
        <v>205</v>
      </c>
      <c r="C91" s="67" t="s">
        <v>206</v>
      </c>
      <c r="D91" s="51"/>
      <c r="E91" s="13"/>
      <c r="F91" s="13"/>
      <c r="G91" s="36">
        <v>106.27</v>
      </c>
      <c r="H91" s="100"/>
      <c r="I91" s="119">
        <f>G91*1</f>
        <v>106.27</v>
      </c>
    </row>
    <row r="92" spans="1:9" ht="15.75" customHeight="1">
      <c r="A92" s="29"/>
      <c r="B92" s="45" t="s">
        <v>50</v>
      </c>
      <c r="C92" s="41"/>
      <c r="D92" s="53"/>
      <c r="E92" s="41">
        <v>1</v>
      </c>
      <c r="F92" s="41"/>
      <c r="G92" s="41"/>
      <c r="H92" s="41"/>
      <c r="I92" s="31">
        <f>SUM(I86:I91)</f>
        <v>25065.248959999997</v>
      </c>
    </row>
    <row r="93" spans="1:9" ht="15.75" customHeight="1">
      <c r="A93" s="29"/>
      <c r="B93" s="51" t="s">
        <v>76</v>
      </c>
      <c r="C93" s="15"/>
      <c r="D93" s="15"/>
      <c r="E93" s="42"/>
      <c r="F93" s="42"/>
      <c r="G93" s="43"/>
      <c r="H93" s="43"/>
      <c r="I93" s="17">
        <v>0</v>
      </c>
    </row>
    <row r="94" spans="1:9" ht="15.75" customHeight="1">
      <c r="A94" s="54"/>
      <c r="B94" s="46" t="s">
        <v>144</v>
      </c>
      <c r="C94" s="34"/>
      <c r="D94" s="34"/>
      <c r="E94" s="34"/>
      <c r="F94" s="34"/>
      <c r="G94" s="34"/>
      <c r="H94" s="34"/>
      <c r="I94" s="44">
        <f>I84+I92</f>
        <v>121936.00410773333</v>
      </c>
    </row>
    <row r="95" spans="1:9" ht="15.75">
      <c r="A95" s="205" t="s">
        <v>246</v>
      </c>
      <c r="B95" s="205"/>
      <c r="C95" s="205"/>
      <c r="D95" s="205"/>
      <c r="E95" s="205"/>
      <c r="F95" s="205"/>
      <c r="G95" s="205"/>
      <c r="H95" s="205"/>
      <c r="I95" s="205"/>
    </row>
    <row r="96" spans="1:9" ht="15.75">
      <c r="A96" s="61"/>
      <c r="B96" s="206" t="s">
        <v>247</v>
      </c>
      <c r="C96" s="206"/>
      <c r="D96" s="206"/>
      <c r="E96" s="206"/>
      <c r="F96" s="206"/>
      <c r="G96" s="206"/>
      <c r="H96" s="80"/>
      <c r="I96" s="3"/>
    </row>
    <row r="97" spans="1:9">
      <c r="A97" s="74"/>
      <c r="B97" s="204" t="s">
        <v>6</v>
      </c>
      <c r="C97" s="204"/>
      <c r="D97" s="204"/>
      <c r="E97" s="204"/>
      <c r="F97" s="204"/>
      <c r="G97" s="204"/>
      <c r="H97" s="24"/>
      <c r="I97" s="5"/>
    </row>
    <row r="98" spans="1:9">
      <c r="A98" s="10"/>
      <c r="B98" s="10"/>
      <c r="C98" s="10"/>
      <c r="D98" s="10"/>
      <c r="E98" s="10"/>
      <c r="F98" s="10"/>
      <c r="G98" s="10"/>
      <c r="H98" s="10"/>
      <c r="I98" s="10"/>
    </row>
    <row r="99" spans="1:9" ht="15.75">
      <c r="A99" s="207" t="s">
        <v>7</v>
      </c>
      <c r="B99" s="207"/>
      <c r="C99" s="207"/>
      <c r="D99" s="207"/>
      <c r="E99" s="207"/>
      <c r="F99" s="207"/>
      <c r="G99" s="207"/>
      <c r="H99" s="207"/>
      <c r="I99" s="207"/>
    </row>
    <row r="100" spans="1:9" ht="15.75">
      <c r="A100" s="207" t="s">
        <v>8</v>
      </c>
      <c r="B100" s="207"/>
      <c r="C100" s="207"/>
      <c r="D100" s="207"/>
      <c r="E100" s="207"/>
      <c r="F100" s="207"/>
      <c r="G100" s="207"/>
      <c r="H100" s="207"/>
      <c r="I100" s="207"/>
    </row>
    <row r="101" spans="1:9" ht="15.75">
      <c r="A101" s="201" t="s">
        <v>59</v>
      </c>
      <c r="B101" s="201"/>
      <c r="C101" s="201"/>
      <c r="D101" s="201"/>
      <c r="E101" s="201"/>
      <c r="F101" s="201"/>
      <c r="G101" s="201"/>
      <c r="H101" s="201"/>
      <c r="I101" s="201"/>
    </row>
    <row r="102" spans="1:9" ht="15.75">
      <c r="A102" s="11"/>
    </row>
    <row r="103" spans="1:9" ht="15.75">
      <c r="A103" s="202" t="s">
        <v>9</v>
      </c>
      <c r="B103" s="202"/>
      <c r="C103" s="202"/>
      <c r="D103" s="202"/>
      <c r="E103" s="202"/>
      <c r="F103" s="202"/>
      <c r="G103" s="202"/>
      <c r="H103" s="202"/>
      <c r="I103" s="202"/>
    </row>
    <row r="104" spans="1:9" ht="15.75">
      <c r="A104" s="4"/>
    </row>
    <row r="105" spans="1:9" ht="15.75">
      <c r="B105" s="72" t="s">
        <v>10</v>
      </c>
      <c r="C105" s="203" t="s">
        <v>84</v>
      </c>
      <c r="D105" s="203"/>
      <c r="E105" s="203"/>
      <c r="F105" s="78"/>
      <c r="I105" s="73"/>
    </row>
    <row r="106" spans="1:9">
      <c r="A106" s="74"/>
      <c r="C106" s="204" t="s">
        <v>11</v>
      </c>
      <c r="D106" s="204"/>
      <c r="E106" s="204"/>
      <c r="F106" s="24"/>
      <c r="I106" s="71" t="s">
        <v>12</v>
      </c>
    </row>
    <row r="107" spans="1:9" ht="15.75">
      <c r="A107" s="25"/>
      <c r="C107" s="12"/>
      <c r="D107" s="12"/>
      <c r="G107" s="12"/>
      <c r="H107" s="12"/>
    </row>
    <row r="108" spans="1:9" ht="15.75">
      <c r="B108" s="72" t="s">
        <v>13</v>
      </c>
      <c r="C108" s="198"/>
      <c r="D108" s="198"/>
      <c r="E108" s="198"/>
      <c r="F108" s="79"/>
      <c r="I108" s="73"/>
    </row>
    <row r="109" spans="1:9">
      <c r="A109" s="74"/>
      <c r="C109" s="199" t="s">
        <v>11</v>
      </c>
      <c r="D109" s="199"/>
      <c r="E109" s="199"/>
      <c r="F109" s="74"/>
      <c r="I109" s="71" t="s">
        <v>12</v>
      </c>
    </row>
    <row r="110" spans="1:9" ht="15.75">
      <c r="A110" s="4" t="s">
        <v>14</v>
      </c>
    </row>
    <row r="111" spans="1:9">
      <c r="A111" s="200" t="s">
        <v>15</v>
      </c>
      <c r="B111" s="200"/>
      <c r="C111" s="200"/>
      <c r="D111" s="200"/>
      <c r="E111" s="200"/>
      <c r="F111" s="200"/>
      <c r="G111" s="200"/>
      <c r="H111" s="200"/>
      <c r="I111" s="200"/>
    </row>
    <row r="112" spans="1:9" ht="45" customHeight="1">
      <c r="A112" s="197" t="s">
        <v>16</v>
      </c>
      <c r="B112" s="197"/>
      <c r="C112" s="197"/>
      <c r="D112" s="197"/>
      <c r="E112" s="197"/>
      <c r="F112" s="197"/>
      <c r="G112" s="197"/>
      <c r="H112" s="197"/>
      <c r="I112" s="197"/>
    </row>
    <row r="113" spans="1:9" ht="30" customHeight="1">
      <c r="A113" s="197" t="s">
        <v>17</v>
      </c>
      <c r="B113" s="197"/>
      <c r="C113" s="197"/>
      <c r="D113" s="197"/>
      <c r="E113" s="197"/>
      <c r="F113" s="197"/>
      <c r="G113" s="197"/>
      <c r="H113" s="197"/>
      <c r="I113" s="197"/>
    </row>
    <row r="114" spans="1:9" ht="30" customHeight="1">
      <c r="A114" s="197" t="s">
        <v>21</v>
      </c>
      <c r="B114" s="197"/>
      <c r="C114" s="197"/>
      <c r="D114" s="197"/>
      <c r="E114" s="197"/>
      <c r="F114" s="197"/>
      <c r="G114" s="197"/>
      <c r="H114" s="197"/>
      <c r="I114" s="197"/>
    </row>
    <row r="115" spans="1:9" ht="15" customHeight="1">
      <c r="A115" s="197" t="s">
        <v>20</v>
      </c>
      <c r="B115" s="197"/>
      <c r="C115" s="197"/>
      <c r="D115" s="197"/>
      <c r="E115" s="197"/>
      <c r="F115" s="197"/>
      <c r="G115" s="197"/>
      <c r="H115" s="197"/>
      <c r="I115" s="197"/>
    </row>
  </sheetData>
  <autoFilter ref="I12:I64"/>
  <mergeCells count="29">
    <mergeCell ref="A14:I14"/>
    <mergeCell ref="A15:I15"/>
    <mergeCell ref="A28:I28"/>
    <mergeCell ref="A44:I44"/>
    <mergeCell ref="A55:I55"/>
    <mergeCell ref="A3:I3"/>
    <mergeCell ref="A4:I4"/>
    <mergeCell ref="A5:I5"/>
    <mergeCell ref="A8:I8"/>
    <mergeCell ref="A10:I10"/>
    <mergeCell ref="R69:U69"/>
    <mergeCell ref="C109:E109"/>
    <mergeCell ref="A85:I85"/>
    <mergeCell ref="A95:I95"/>
    <mergeCell ref="B96:G96"/>
    <mergeCell ref="B97:G97"/>
    <mergeCell ref="A99:I99"/>
    <mergeCell ref="A100:I100"/>
    <mergeCell ref="A101:I101"/>
    <mergeCell ref="A103:I103"/>
    <mergeCell ref="C105:E105"/>
    <mergeCell ref="C106:E106"/>
    <mergeCell ref="C108:E108"/>
    <mergeCell ref="A81:I81"/>
    <mergeCell ref="A111:I111"/>
    <mergeCell ref="A112:I112"/>
    <mergeCell ref="A113:I113"/>
    <mergeCell ref="A114:I114"/>
    <mergeCell ref="A115:I115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V121"/>
  <sheetViews>
    <sheetView topLeftCell="A92" workbookViewId="0">
      <selection activeCell="D16" sqref="D16:D18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" customWidth="1"/>
    <col min="5" max="5" width="18.85546875" hidden="1" customWidth="1"/>
    <col min="6" max="6" width="11.57031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170</v>
      </c>
      <c r="I1" s="26"/>
      <c r="J1" s="1"/>
      <c r="K1" s="1"/>
      <c r="L1" s="1"/>
      <c r="M1" s="1"/>
    </row>
    <row r="2" spans="1:13" ht="15.75" customHeight="1">
      <c r="A2" s="28" t="s">
        <v>60</v>
      </c>
      <c r="J2" s="2"/>
      <c r="K2" s="2"/>
      <c r="L2" s="2"/>
      <c r="M2" s="2"/>
    </row>
    <row r="3" spans="1:13" ht="15.75" customHeight="1">
      <c r="A3" s="214" t="s">
        <v>152</v>
      </c>
      <c r="B3" s="214"/>
      <c r="C3" s="214"/>
      <c r="D3" s="214"/>
      <c r="E3" s="214"/>
      <c r="F3" s="214"/>
      <c r="G3" s="214"/>
      <c r="H3" s="214"/>
      <c r="I3" s="214"/>
      <c r="J3" s="3"/>
      <c r="K3" s="3"/>
      <c r="L3" s="3"/>
    </row>
    <row r="4" spans="1:13" ht="31.5" customHeight="1">
      <c r="A4" s="215" t="s">
        <v>122</v>
      </c>
      <c r="B4" s="215"/>
      <c r="C4" s="215"/>
      <c r="D4" s="215"/>
      <c r="E4" s="215"/>
      <c r="F4" s="215"/>
      <c r="G4" s="215"/>
      <c r="H4" s="215"/>
      <c r="I4" s="215"/>
    </row>
    <row r="5" spans="1:13" ht="15.75" customHeight="1">
      <c r="A5" s="214" t="s">
        <v>208</v>
      </c>
      <c r="B5" s="218"/>
      <c r="C5" s="218"/>
      <c r="D5" s="218"/>
      <c r="E5" s="218"/>
      <c r="F5" s="218"/>
      <c r="G5" s="218"/>
      <c r="H5" s="218"/>
      <c r="I5" s="218"/>
      <c r="J5" s="2"/>
      <c r="K5" s="2"/>
      <c r="L5" s="2"/>
      <c r="M5" s="2"/>
    </row>
    <row r="6" spans="1:13" ht="15.75" customHeight="1">
      <c r="A6" s="2"/>
      <c r="B6" s="75"/>
      <c r="C6" s="75"/>
      <c r="D6" s="75"/>
      <c r="E6" s="75"/>
      <c r="F6" s="75"/>
      <c r="G6" s="75"/>
      <c r="H6" s="75"/>
      <c r="I6" s="30">
        <v>43585</v>
      </c>
      <c r="J6" s="2"/>
      <c r="K6" s="2"/>
      <c r="L6" s="2"/>
      <c r="M6" s="2"/>
    </row>
    <row r="7" spans="1:13" ht="15.75" customHeight="1">
      <c r="B7" s="72"/>
      <c r="C7" s="72"/>
      <c r="D7" s="72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16" t="s">
        <v>196</v>
      </c>
      <c r="B8" s="216"/>
      <c r="C8" s="216"/>
      <c r="D8" s="216"/>
      <c r="E8" s="216"/>
      <c r="F8" s="216"/>
      <c r="G8" s="216"/>
      <c r="H8" s="216"/>
      <c r="I8" s="216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17" t="s">
        <v>136</v>
      </c>
      <c r="B10" s="217"/>
      <c r="C10" s="217"/>
      <c r="D10" s="217"/>
      <c r="E10" s="217"/>
      <c r="F10" s="217"/>
      <c r="G10" s="217"/>
      <c r="H10" s="217"/>
      <c r="I10" s="217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219" t="s">
        <v>57</v>
      </c>
      <c r="B14" s="219"/>
      <c r="C14" s="219"/>
      <c r="D14" s="219"/>
      <c r="E14" s="219"/>
      <c r="F14" s="219"/>
      <c r="G14" s="219"/>
      <c r="H14" s="219"/>
      <c r="I14" s="219"/>
      <c r="J14" s="8"/>
      <c r="K14" s="8"/>
      <c r="L14" s="8"/>
      <c r="M14" s="8"/>
    </row>
    <row r="15" spans="1:13" ht="15.75" customHeight="1">
      <c r="A15" s="220" t="s">
        <v>4</v>
      </c>
      <c r="B15" s="220"/>
      <c r="C15" s="220"/>
      <c r="D15" s="220"/>
      <c r="E15" s="220"/>
      <c r="F15" s="220"/>
      <c r="G15" s="220"/>
      <c r="H15" s="220"/>
      <c r="I15" s="220"/>
      <c r="J15" s="8"/>
      <c r="K15" s="8"/>
      <c r="L15" s="8"/>
      <c r="M15" s="8"/>
    </row>
    <row r="16" spans="1:13" ht="15.75" customHeight="1">
      <c r="A16" s="29">
        <v>1</v>
      </c>
      <c r="B16" s="32" t="s">
        <v>82</v>
      </c>
      <c r="C16" s="138" t="s">
        <v>89</v>
      </c>
      <c r="D16" s="32" t="s">
        <v>230</v>
      </c>
      <c r="E16" s="152">
        <v>129.88</v>
      </c>
      <c r="F16" s="139">
        <f>SUM(E16*156/100)</f>
        <v>202.61279999999999</v>
      </c>
      <c r="G16" s="139">
        <v>239.2</v>
      </c>
      <c r="H16" s="86">
        <f t="shared" ref="H16:H26" si="0">SUM(F16*G16/1000)</f>
        <v>48.464981759999993</v>
      </c>
      <c r="I16" s="13">
        <f>F16/12*G16</f>
        <v>4038.7484799999997</v>
      </c>
      <c r="J16" s="8"/>
      <c r="K16" s="8"/>
      <c r="L16" s="8"/>
      <c r="M16" s="8"/>
    </row>
    <row r="17" spans="1:13" ht="15.75" customHeight="1">
      <c r="A17" s="29">
        <v>2</v>
      </c>
      <c r="B17" s="32" t="s">
        <v>85</v>
      </c>
      <c r="C17" s="138" t="s">
        <v>89</v>
      </c>
      <c r="D17" s="32" t="s">
        <v>231</v>
      </c>
      <c r="E17" s="152">
        <v>519.52</v>
      </c>
      <c r="F17" s="139">
        <f>SUM(E17*104/100)</f>
        <v>540.30079999999998</v>
      </c>
      <c r="G17" s="139">
        <v>239.2</v>
      </c>
      <c r="H17" s="86">
        <f t="shared" si="0"/>
        <v>129.23995135999999</v>
      </c>
      <c r="I17" s="13">
        <f>F17/12*G17</f>
        <v>10769.995946666666</v>
      </c>
      <c r="J17" s="22"/>
      <c r="K17" s="8"/>
      <c r="L17" s="8"/>
      <c r="M17" s="8"/>
    </row>
    <row r="18" spans="1:13" ht="15.75" customHeight="1">
      <c r="A18" s="29">
        <v>3</v>
      </c>
      <c r="B18" s="32" t="s">
        <v>86</v>
      </c>
      <c r="C18" s="138" t="s">
        <v>89</v>
      </c>
      <c r="D18" s="32" t="s">
        <v>232</v>
      </c>
      <c r="E18" s="152">
        <f>SUM(E16+E17)</f>
        <v>649.4</v>
      </c>
      <c r="F18" s="139">
        <f>SUM(E18*18/100)</f>
        <v>116.892</v>
      </c>
      <c r="G18" s="139">
        <v>688.14</v>
      </c>
      <c r="H18" s="86">
        <f t="shared" si="0"/>
        <v>80.438060879999995</v>
      </c>
      <c r="I18" s="13">
        <f>F18/12*G18</f>
        <v>6703.1717399999998</v>
      </c>
      <c r="J18" s="22"/>
      <c r="K18" s="8"/>
      <c r="L18" s="8"/>
      <c r="M18" s="8"/>
    </row>
    <row r="19" spans="1:13" ht="19.5" hidden="1" customHeight="1">
      <c r="A19" s="29"/>
      <c r="B19" s="32" t="s">
        <v>90</v>
      </c>
      <c r="C19" s="138" t="s">
        <v>91</v>
      </c>
      <c r="D19" s="32" t="s">
        <v>92</v>
      </c>
      <c r="E19" s="152">
        <v>124.8</v>
      </c>
      <c r="F19" s="139">
        <f>SUM(E19/10)</f>
        <v>12.48</v>
      </c>
      <c r="G19" s="139">
        <v>232.1</v>
      </c>
      <c r="H19" s="86">
        <f t="shared" si="0"/>
        <v>2.8966080000000001</v>
      </c>
      <c r="I19" s="13">
        <v>0</v>
      </c>
      <c r="J19" s="22"/>
      <c r="K19" s="8"/>
      <c r="L19" s="8"/>
      <c r="M19" s="8"/>
    </row>
    <row r="20" spans="1:13" ht="17.25" customHeight="1">
      <c r="A20" s="29">
        <v>4</v>
      </c>
      <c r="B20" s="32" t="s">
        <v>95</v>
      </c>
      <c r="C20" s="138" t="s">
        <v>89</v>
      </c>
      <c r="D20" s="32" t="s">
        <v>233</v>
      </c>
      <c r="E20" s="152">
        <v>57.5</v>
      </c>
      <c r="F20" s="139">
        <f>SUM(E20*12/100)</f>
        <v>6.9</v>
      </c>
      <c r="G20" s="139">
        <v>297.19</v>
      </c>
      <c r="H20" s="86">
        <f t="shared" si="0"/>
        <v>2.050611</v>
      </c>
      <c r="I20" s="13">
        <f>G20*F20/12</f>
        <v>170.88424999999998</v>
      </c>
      <c r="J20" s="22"/>
      <c r="K20" s="8"/>
      <c r="L20" s="8"/>
      <c r="M20" s="8"/>
    </row>
    <row r="21" spans="1:13" ht="15.75" customHeight="1">
      <c r="A21" s="29">
        <v>5</v>
      </c>
      <c r="B21" s="32" t="s">
        <v>96</v>
      </c>
      <c r="C21" s="138" t="s">
        <v>89</v>
      </c>
      <c r="D21" s="32" t="s">
        <v>233</v>
      </c>
      <c r="E21" s="152">
        <v>13.41</v>
      </c>
      <c r="F21" s="139">
        <f>SUM(E21*12/100)</f>
        <v>1.6092000000000002</v>
      </c>
      <c r="G21" s="139">
        <v>294.77999999999997</v>
      </c>
      <c r="H21" s="86">
        <f t="shared" si="0"/>
        <v>0.47435997600000002</v>
      </c>
      <c r="I21" s="13">
        <f>G21*F21/12</f>
        <v>39.529997999999999</v>
      </c>
      <c r="J21" s="22"/>
      <c r="K21" s="8"/>
      <c r="L21" s="8"/>
      <c r="M21" s="8"/>
    </row>
    <row r="22" spans="1:13" ht="22.5" hidden="1" customHeight="1">
      <c r="A22" s="29"/>
      <c r="B22" s="32" t="s">
        <v>97</v>
      </c>
      <c r="C22" s="138" t="s">
        <v>51</v>
      </c>
      <c r="D22" s="32" t="s">
        <v>92</v>
      </c>
      <c r="E22" s="152">
        <v>820.5</v>
      </c>
      <c r="F22" s="139">
        <f>SUM(E22/100)</f>
        <v>8.2050000000000001</v>
      </c>
      <c r="G22" s="139">
        <v>367.27</v>
      </c>
      <c r="H22" s="86">
        <f t="shared" si="0"/>
        <v>3.0134503500000003</v>
      </c>
      <c r="I22" s="13">
        <v>0</v>
      </c>
      <c r="J22" s="22"/>
      <c r="K22" s="8"/>
      <c r="L22" s="8"/>
      <c r="M22" s="8"/>
    </row>
    <row r="23" spans="1:13" ht="22.5" hidden="1" customHeight="1">
      <c r="A23" s="29"/>
      <c r="B23" s="32" t="s">
        <v>98</v>
      </c>
      <c r="C23" s="138" t="s">
        <v>51</v>
      </c>
      <c r="D23" s="32" t="s">
        <v>92</v>
      </c>
      <c r="E23" s="159">
        <v>60.25</v>
      </c>
      <c r="F23" s="139">
        <f>SUM(E23/100)</f>
        <v>0.60250000000000004</v>
      </c>
      <c r="G23" s="139">
        <v>60.41</v>
      </c>
      <c r="H23" s="86">
        <f t="shared" si="0"/>
        <v>3.6397025E-2</v>
      </c>
      <c r="I23" s="13">
        <v>0</v>
      </c>
      <c r="J23" s="22"/>
      <c r="K23" s="8"/>
      <c r="L23" s="8"/>
      <c r="M23" s="8"/>
    </row>
    <row r="24" spans="1:13" ht="21" hidden="1" customHeight="1">
      <c r="A24" s="29"/>
      <c r="B24" s="32" t="s">
        <v>93</v>
      </c>
      <c r="C24" s="138" t="s">
        <v>51</v>
      </c>
      <c r="D24" s="32" t="s">
        <v>94</v>
      </c>
      <c r="E24" s="152">
        <v>19.149999999999999</v>
      </c>
      <c r="F24" s="139">
        <f>E24/100</f>
        <v>0.19149999999999998</v>
      </c>
      <c r="G24" s="139">
        <v>531.55999999999995</v>
      </c>
      <c r="H24" s="86">
        <f t="shared" si="0"/>
        <v>0.10179373999999997</v>
      </c>
      <c r="I24" s="13">
        <v>0</v>
      </c>
      <c r="J24" s="22"/>
      <c r="K24" s="8"/>
      <c r="L24" s="8"/>
      <c r="M24" s="8"/>
    </row>
    <row r="25" spans="1:13" ht="20.25" hidden="1" customHeight="1">
      <c r="A25" s="40">
        <v>6</v>
      </c>
      <c r="B25" s="32" t="s">
        <v>100</v>
      </c>
      <c r="C25" s="138" t="s">
        <v>51</v>
      </c>
      <c r="D25" s="32" t="s">
        <v>52</v>
      </c>
      <c r="E25" s="152">
        <v>31.5</v>
      </c>
      <c r="F25" s="139">
        <v>0.32</v>
      </c>
      <c r="G25" s="139">
        <v>294.77999999999997</v>
      </c>
      <c r="H25" s="86">
        <f t="shared" si="0"/>
        <v>9.43296E-2</v>
      </c>
      <c r="I25" s="13">
        <v>0</v>
      </c>
      <c r="J25" s="22"/>
      <c r="K25" s="8"/>
      <c r="L25" s="8"/>
      <c r="M25" s="8"/>
    </row>
    <row r="26" spans="1:13" ht="16.5" hidden="1" customHeight="1">
      <c r="A26" s="40"/>
      <c r="B26" s="32" t="s">
        <v>99</v>
      </c>
      <c r="C26" s="138" t="s">
        <v>51</v>
      </c>
      <c r="D26" s="32" t="s">
        <v>92</v>
      </c>
      <c r="E26" s="152">
        <v>37.5</v>
      </c>
      <c r="F26" s="139">
        <f>SUM(E26/100)</f>
        <v>0.375</v>
      </c>
      <c r="G26" s="139">
        <v>710.37</v>
      </c>
      <c r="H26" s="86">
        <f t="shared" si="0"/>
        <v>0.26638875000000001</v>
      </c>
      <c r="I26" s="13">
        <v>0</v>
      </c>
      <c r="J26" s="22"/>
      <c r="K26" s="8"/>
      <c r="L26" s="8"/>
      <c r="M26" s="8"/>
    </row>
    <row r="27" spans="1:13" ht="15.75" customHeight="1">
      <c r="A27" s="40">
        <v>6</v>
      </c>
      <c r="B27" s="32" t="s">
        <v>229</v>
      </c>
      <c r="C27" s="138" t="s">
        <v>26</v>
      </c>
      <c r="D27" s="32" t="s">
        <v>234</v>
      </c>
      <c r="E27" s="175">
        <v>4.88</v>
      </c>
      <c r="F27" s="139">
        <f>E27*258</f>
        <v>1259.04</v>
      </c>
      <c r="G27" s="139">
        <v>10.39</v>
      </c>
      <c r="H27" s="86">
        <f t="shared" ref="H27" si="1">SUM(F27*G27/1000)</f>
        <v>13.081425600000001</v>
      </c>
      <c r="I27" s="13">
        <f>F27/12*G27</f>
        <v>1090.1188</v>
      </c>
      <c r="J27" s="22"/>
      <c r="K27" s="8"/>
      <c r="L27" s="8"/>
      <c r="M27" s="8"/>
    </row>
    <row r="28" spans="1:13" ht="15.75" customHeight="1">
      <c r="A28" s="220" t="s">
        <v>81</v>
      </c>
      <c r="B28" s="220"/>
      <c r="C28" s="220"/>
      <c r="D28" s="220"/>
      <c r="E28" s="220"/>
      <c r="F28" s="220"/>
      <c r="G28" s="220"/>
      <c r="H28" s="220"/>
      <c r="I28" s="220"/>
      <c r="J28" s="22"/>
      <c r="K28" s="8"/>
      <c r="L28" s="8"/>
      <c r="M28" s="8"/>
    </row>
    <row r="29" spans="1:13" ht="15.75" hidden="1" customHeight="1">
      <c r="A29" s="40"/>
      <c r="B29" s="50" t="s">
        <v>29</v>
      </c>
      <c r="C29" s="50"/>
      <c r="D29" s="50"/>
      <c r="E29" s="50"/>
      <c r="F29" s="50"/>
      <c r="G29" s="50"/>
      <c r="H29" s="50"/>
      <c r="I29" s="18"/>
      <c r="J29" s="22"/>
      <c r="K29" s="8"/>
      <c r="L29" s="8"/>
      <c r="M29" s="8"/>
    </row>
    <row r="30" spans="1:13" ht="15.75" hidden="1" customHeight="1">
      <c r="A30" s="40">
        <v>2</v>
      </c>
      <c r="B30" s="82" t="s">
        <v>101</v>
      </c>
      <c r="C30" s="83" t="s">
        <v>102</v>
      </c>
      <c r="D30" s="82" t="s">
        <v>103</v>
      </c>
      <c r="E30" s="85">
        <v>1304.45</v>
      </c>
      <c r="F30" s="85">
        <f>SUM(E30*52/1000)</f>
        <v>67.831400000000002</v>
      </c>
      <c r="G30" s="85">
        <v>155.88999999999999</v>
      </c>
      <c r="H30" s="86">
        <f t="shared" ref="H30:H35" si="2">SUM(F30*G30/1000)</f>
        <v>10.574236945999999</v>
      </c>
      <c r="I30" s="13">
        <f>F30/6*G30</f>
        <v>1762.3728243333333</v>
      </c>
      <c r="J30" s="22"/>
      <c r="K30" s="8"/>
      <c r="L30" s="8"/>
      <c r="M30" s="8"/>
    </row>
    <row r="31" spans="1:13" ht="31.5" hidden="1" customHeight="1">
      <c r="A31" s="40">
        <v>3</v>
      </c>
      <c r="B31" s="82" t="s">
        <v>140</v>
      </c>
      <c r="C31" s="83" t="s">
        <v>102</v>
      </c>
      <c r="D31" s="82" t="s">
        <v>104</v>
      </c>
      <c r="E31" s="85">
        <v>287.83999999999997</v>
      </c>
      <c r="F31" s="85">
        <f>SUM(E31*78/1000)</f>
        <v>22.451519999999995</v>
      </c>
      <c r="G31" s="85">
        <v>258.63</v>
      </c>
      <c r="H31" s="86">
        <f t="shared" si="2"/>
        <v>5.8066366175999979</v>
      </c>
      <c r="I31" s="13">
        <f t="shared" ref="I31:I33" si="3">F31/6*G31</f>
        <v>967.77276959999972</v>
      </c>
      <c r="J31" s="22"/>
      <c r="K31" s="8"/>
      <c r="L31" s="8"/>
      <c r="M31" s="8"/>
    </row>
    <row r="32" spans="1:13" ht="15.75" hidden="1" customHeight="1">
      <c r="A32" s="40">
        <v>4</v>
      </c>
      <c r="B32" s="82" t="s">
        <v>28</v>
      </c>
      <c r="C32" s="83" t="s">
        <v>102</v>
      </c>
      <c r="D32" s="82" t="s">
        <v>52</v>
      </c>
      <c r="E32" s="85">
        <v>1304.45</v>
      </c>
      <c r="F32" s="85">
        <f>SUM(E32/1000)</f>
        <v>1.3044500000000001</v>
      </c>
      <c r="G32" s="85">
        <v>3020.33</v>
      </c>
      <c r="H32" s="86">
        <f t="shared" si="2"/>
        <v>3.9398694685</v>
      </c>
      <c r="I32" s="13">
        <f>F32*G32</f>
        <v>3939.8694685</v>
      </c>
      <c r="J32" s="22"/>
      <c r="K32" s="8"/>
      <c r="L32" s="8"/>
      <c r="M32" s="8"/>
    </row>
    <row r="33" spans="1:14" ht="15.75" hidden="1" customHeight="1">
      <c r="A33" s="40">
        <v>5</v>
      </c>
      <c r="B33" s="82" t="s">
        <v>105</v>
      </c>
      <c r="C33" s="83" t="s">
        <v>31</v>
      </c>
      <c r="D33" s="82" t="s">
        <v>61</v>
      </c>
      <c r="E33" s="89">
        <v>0.33333333333333331</v>
      </c>
      <c r="F33" s="85">
        <f>155/3</f>
        <v>51.666666666666664</v>
      </c>
      <c r="G33" s="85">
        <v>56.69</v>
      </c>
      <c r="H33" s="86">
        <f t="shared" si="2"/>
        <v>2.9289833333333331</v>
      </c>
      <c r="I33" s="13">
        <f t="shared" si="3"/>
        <v>488.16388888888883</v>
      </c>
      <c r="J33" s="23"/>
    </row>
    <row r="34" spans="1:14" ht="15.75" hidden="1" customHeight="1">
      <c r="A34" s="40">
        <v>4</v>
      </c>
      <c r="B34" s="82" t="s">
        <v>63</v>
      </c>
      <c r="C34" s="83" t="s">
        <v>33</v>
      </c>
      <c r="D34" s="82" t="s">
        <v>65</v>
      </c>
      <c r="E34" s="84"/>
      <c r="F34" s="85">
        <v>3</v>
      </c>
      <c r="G34" s="85">
        <v>191.32</v>
      </c>
      <c r="H34" s="86">
        <f t="shared" si="2"/>
        <v>0.57396000000000003</v>
      </c>
      <c r="I34" s="13">
        <v>0</v>
      </c>
      <c r="J34" s="23"/>
    </row>
    <row r="35" spans="1:14" ht="15.75" hidden="1" customHeight="1">
      <c r="A35" s="29">
        <v>8</v>
      </c>
      <c r="B35" s="82" t="s">
        <v>64</v>
      </c>
      <c r="C35" s="83" t="s">
        <v>32</v>
      </c>
      <c r="D35" s="82" t="s">
        <v>65</v>
      </c>
      <c r="E35" s="84"/>
      <c r="F35" s="85">
        <v>2</v>
      </c>
      <c r="G35" s="85">
        <v>1136.32</v>
      </c>
      <c r="H35" s="86">
        <f t="shared" si="2"/>
        <v>2.27264</v>
      </c>
      <c r="I35" s="13">
        <v>0</v>
      </c>
      <c r="J35" s="23"/>
    </row>
    <row r="36" spans="1:14" ht="15.75" customHeight="1">
      <c r="A36" s="40"/>
      <c r="B36" s="48" t="s">
        <v>5</v>
      </c>
      <c r="C36" s="48"/>
      <c r="D36" s="48"/>
      <c r="E36" s="13"/>
      <c r="F36" s="13"/>
      <c r="G36" s="14"/>
      <c r="H36" s="14"/>
      <c r="I36" s="18"/>
      <c r="J36" s="23"/>
    </row>
    <row r="37" spans="1:14" ht="15.75" customHeight="1">
      <c r="A37" s="33">
        <v>7</v>
      </c>
      <c r="B37" s="155" t="s">
        <v>27</v>
      </c>
      <c r="C37" s="138" t="s">
        <v>32</v>
      </c>
      <c r="D37" s="183">
        <v>43565</v>
      </c>
      <c r="E37" s="152"/>
      <c r="F37" s="139">
        <v>8</v>
      </c>
      <c r="G37" s="139">
        <v>2083</v>
      </c>
      <c r="H37" s="86">
        <f t="shared" ref="H37:H44" si="4">SUM(F37*G37/1000)</f>
        <v>16.664000000000001</v>
      </c>
      <c r="I37" s="13">
        <f>G37*0.9</f>
        <v>1874.7</v>
      </c>
      <c r="J37" s="23"/>
    </row>
    <row r="38" spans="1:14" ht="15.75" customHeight="1">
      <c r="A38" s="33">
        <v>8</v>
      </c>
      <c r="B38" s="155" t="s">
        <v>123</v>
      </c>
      <c r="C38" s="156" t="s">
        <v>30</v>
      </c>
      <c r="D38" s="155" t="s">
        <v>235</v>
      </c>
      <c r="E38" s="157">
        <v>287.83999999999997</v>
      </c>
      <c r="F38" s="157">
        <f>SUM(E38*30/1000)</f>
        <v>8.6351999999999993</v>
      </c>
      <c r="G38" s="157">
        <v>2868.09</v>
      </c>
      <c r="H38" s="86">
        <f t="shared" si="4"/>
        <v>24.766530767999999</v>
      </c>
      <c r="I38" s="13">
        <f>F38/6*G38</f>
        <v>4127.7551279999998</v>
      </c>
      <c r="J38" s="23"/>
    </row>
    <row r="39" spans="1:14" ht="15.75" customHeight="1">
      <c r="A39" s="33">
        <v>9</v>
      </c>
      <c r="B39" s="155" t="s">
        <v>178</v>
      </c>
      <c r="C39" s="156" t="s">
        <v>30</v>
      </c>
      <c r="D39" s="32" t="s">
        <v>236</v>
      </c>
      <c r="E39" s="152">
        <v>287.83999999999997</v>
      </c>
      <c r="F39" s="157">
        <f>E39*155/1000</f>
        <v>44.615199999999994</v>
      </c>
      <c r="G39" s="139">
        <v>478.42</v>
      </c>
      <c r="H39" s="86">
        <f>G39*F39/1000</f>
        <v>21.344803983999999</v>
      </c>
      <c r="I39" s="13">
        <f>F39/6*G39</f>
        <v>3557.4673306666664</v>
      </c>
      <c r="J39" s="23"/>
    </row>
    <row r="40" spans="1:14" ht="15.75" hidden="1" customHeight="1">
      <c r="A40" s="33">
        <v>7</v>
      </c>
      <c r="B40" s="82" t="s">
        <v>87</v>
      </c>
      <c r="C40" s="83" t="s">
        <v>126</v>
      </c>
      <c r="D40" s="82" t="s">
        <v>65</v>
      </c>
      <c r="E40" s="84"/>
      <c r="F40" s="85">
        <v>80</v>
      </c>
      <c r="G40" s="85">
        <v>199.44</v>
      </c>
      <c r="H40" s="86">
        <f>G40*F40/1000</f>
        <v>15.955200000000001</v>
      </c>
      <c r="I40" s="13">
        <v>0</v>
      </c>
      <c r="J40" s="23"/>
    </row>
    <row r="41" spans="1:14" ht="44.25" customHeight="1">
      <c r="A41" s="33">
        <v>10</v>
      </c>
      <c r="B41" s="32" t="s">
        <v>79</v>
      </c>
      <c r="C41" s="138" t="s">
        <v>102</v>
      </c>
      <c r="D41" s="32" t="s">
        <v>235</v>
      </c>
      <c r="E41" s="139">
        <v>130.6</v>
      </c>
      <c r="F41" s="157">
        <f>SUM(E41*35/1000)</f>
        <v>4.5709999999999997</v>
      </c>
      <c r="G41" s="139">
        <v>7915.6</v>
      </c>
      <c r="H41" s="86">
        <f t="shared" si="4"/>
        <v>36.182207599999998</v>
      </c>
      <c r="I41" s="13">
        <f>F41/6*G41</f>
        <v>6030.367933333333</v>
      </c>
      <c r="J41" s="23"/>
    </row>
    <row r="42" spans="1:14" ht="29.25" customHeight="1">
      <c r="A42" s="33">
        <v>11</v>
      </c>
      <c r="B42" s="32" t="s">
        <v>108</v>
      </c>
      <c r="C42" s="138" t="s">
        <v>102</v>
      </c>
      <c r="D42" s="32" t="s">
        <v>237</v>
      </c>
      <c r="E42" s="139">
        <v>287.83999999999997</v>
      </c>
      <c r="F42" s="157">
        <f>SUM(E42*45/1000)</f>
        <v>12.9528</v>
      </c>
      <c r="G42" s="139">
        <v>584.74</v>
      </c>
      <c r="H42" s="86">
        <f t="shared" si="4"/>
        <v>7.5740202719999994</v>
      </c>
      <c r="I42" s="13">
        <f>F42/7.5*1.5*G42</f>
        <v>1514.8040544</v>
      </c>
      <c r="J42" s="23"/>
      <c r="L42" s="19"/>
      <c r="M42" s="20"/>
      <c r="N42" s="21"/>
    </row>
    <row r="43" spans="1:14" ht="15.75" customHeight="1">
      <c r="A43" s="33">
        <v>12</v>
      </c>
      <c r="B43" s="155" t="s">
        <v>68</v>
      </c>
      <c r="C43" s="156" t="s">
        <v>33</v>
      </c>
      <c r="D43" s="155"/>
      <c r="E43" s="158"/>
      <c r="F43" s="157">
        <v>0.9</v>
      </c>
      <c r="G43" s="157">
        <v>800</v>
      </c>
      <c r="H43" s="86">
        <f t="shared" si="4"/>
        <v>0.72</v>
      </c>
      <c r="I43" s="13">
        <f>F43/7.5*1.5*G43</f>
        <v>144.00000000000003</v>
      </c>
      <c r="J43" s="23"/>
      <c r="L43" s="19"/>
      <c r="M43" s="20"/>
      <c r="N43" s="21"/>
    </row>
    <row r="44" spans="1:14" ht="30" customHeight="1">
      <c r="A44" s="33">
        <v>13</v>
      </c>
      <c r="B44" s="155" t="s">
        <v>179</v>
      </c>
      <c r="C44" s="156" t="s">
        <v>102</v>
      </c>
      <c r="D44" s="155" t="s">
        <v>238</v>
      </c>
      <c r="E44" s="158">
        <v>0.6</v>
      </c>
      <c r="F44" s="157">
        <v>0.01</v>
      </c>
      <c r="G44" s="157">
        <v>18798.34</v>
      </c>
      <c r="H44" s="86">
        <f t="shared" si="4"/>
        <v>0.18798340000000002</v>
      </c>
      <c r="I44" s="13">
        <f>G44*F44/6</f>
        <v>31.33056666666667</v>
      </c>
      <c r="J44" s="23"/>
      <c r="L44" s="19"/>
      <c r="M44" s="20"/>
      <c r="N44" s="21"/>
    </row>
    <row r="45" spans="1:14" ht="15.75" hidden="1" customHeight="1">
      <c r="A45" s="129">
        <v>14</v>
      </c>
      <c r="B45" s="93" t="s">
        <v>40</v>
      </c>
      <c r="C45" s="94" t="s">
        <v>111</v>
      </c>
      <c r="D45" s="93" t="s">
        <v>69</v>
      </c>
      <c r="E45" s="95">
        <v>238</v>
      </c>
      <c r="F45" s="96">
        <f>SUM(E45)*3</f>
        <v>714</v>
      </c>
      <c r="G45" s="119">
        <v>65.67</v>
      </c>
      <c r="H45" s="98">
        <f t="shared" ref="H45" si="5">SUM(F45*G45/1000)</f>
        <v>46.888380000000005</v>
      </c>
      <c r="I45" s="119">
        <f>E45*G45</f>
        <v>15629.460000000001</v>
      </c>
      <c r="J45" s="23"/>
      <c r="L45" s="19"/>
      <c r="M45" s="20"/>
      <c r="N45" s="21"/>
    </row>
    <row r="46" spans="1:14" ht="15.75" hidden="1" customHeight="1">
      <c r="A46" s="224" t="s">
        <v>137</v>
      </c>
      <c r="B46" s="227"/>
      <c r="C46" s="227"/>
      <c r="D46" s="227"/>
      <c r="E46" s="227"/>
      <c r="F46" s="227"/>
      <c r="G46" s="227"/>
      <c r="H46" s="227"/>
      <c r="I46" s="227"/>
      <c r="J46" s="133"/>
      <c r="L46" s="19"/>
      <c r="M46" s="20"/>
      <c r="N46" s="21"/>
    </row>
    <row r="47" spans="1:14" ht="31.5" hidden="1" customHeight="1">
      <c r="A47" s="40">
        <v>13</v>
      </c>
      <c r="B47" s="134" t="s">
        <v>109</v>
      </c>
      <c r="C47" s="135" t="s">
        <v>102</v>
      </c>
      <c r="D47" s="130"/>
      <c r="E47" s="131"/>
      <c r="F47" s="136">
        <v>2.6985999999999999</v>
      </c>
      <c r="G47" s="137">
        <v>1213.55</v>
      </c>
      <c r="H47" s="132"/>
      <c r="I47" s="132">
        <f>F47/2*G47</f>
        <v>1637.4430149999998</v>
      </c>
      <c r="J47" s="23"/>
      <c r="L47" s="19"/>
      <c r="M47" s="20"/>
      <c r="N47" s="21"/>
    </row>
    <row r="48" spans="1:14" ht="32.25" hidden="1" customHeight="1">
      <c r="A48" s="40">
        <v>14</v>
      </c>
      <c r="B48" s="32" t="s">
        <v>110</v>
      </c>
      <c r="C48" s="138" t="s">
        <v>37</v>
      </c>
      <c r="D48" s="99"/>
      <c r="E48" s="18"/>
      <c r="F48" s="139">
        <v>0.8</v>
      </c>
      <c r="G48" s="36">
        <v>2730.49</v>
      </c>
      <c r="H48" s="13"/>
      <c r="I48" s="13">
        <f>F48/2*G48</f>
        <v>1092.1959999999999</v>
      </c>
      <c r="J48" s="23"/>
      <c r="L48" s="19"/>
      <c r="M48" s="20"/>
      <c r="N48" s="21"/>
    </row>
    <row r="49" spans="1:22" ht="15.75" hidden="1" customHeight="1">
      <c r="A49" s="40">
        <v>15</v>
      </c>
      <c r="B49" s="32" t="s">
        <v>38</v>
      </c>
      <c r="C49" s="138" t="s">
        <v>39</v>
      </c>
      <c r="D49" s="99"/>
      <c r="E49" s="18"/>
      <c r="F49" s="139">
        <v>0.02</v>
      </c>
      <c r="G49" s="36">
        <v>5652.13</v>
      </c>
      <c r="H49" s="13"/>
      <c r="I49" s="13">
        <f>F49/2*G49</f>
        <v>56.521300000000004</v>
      </c>
      <c r="J49" s="23"/>
      <c r="L49" s="19"/>
      <c r="M49" s="20"/>
      <c r="N49" s="21"/>
    </row>
    <row r="50" spans="1:22" ht="15.75" customHeight="1">
      <c r="A50" s="224" t="s">
        <v>150</v>
      </c>
      <c r="B50" s="225"/>
      <c r="C50" s="225"/>
      <c r="D50" s="225"/>
      <c r="E50" s="225"/>
      <c r="F50" s="225"/>
      <c r="G50" s="225"/>
      <c r="H50" s="225"/>
      <c r="I50" s="226"/>
      <c r="J50" s="23"/>
      <c r="L50" s="19"/>
      <c r="M50" s="20"/>
      <c r="N50" s="21"/>
    </row>
    <row r="51" spans="1:22" ht="15.75" customHeight="1">
      <c r="A51" s="81"/>
      <c r="B51" s="47" t="s">
        <v>42</v>
      </c>
      <c r="C51" s="16"/>
      <c r="D51" s="15"/>
      <c r="E51" s="15"/>
      <c r="F51" s="15"/>
      <c r="G51" s="29"/>
      <c r="H51" s="29"/>
      <c r="I51" s="18"/>
      <c r="J51" s="23"/>
      <c r="L51" s="19"/>
      <c r="M51" s="20"/>
      <c r="N51" s="21"/>
    </row>
    <row r="52" spans="1:22" ht="31.5" customHeight="1">
      <c r="A52" s="40">
        <v>14</v>
      </c>
      <c r="B52" s="32" t="s">
        <v>112</v>
      </c>
      <c r="C52" s="138" t="s">
        <v>89</v>
      </c>
      <c r="D52" s="183">
        <v>43566</v>
      </c>
      <c r="E52" s="152">
        <v>128.5</v>
      </c>
      <c r="F52" s="139">
        <f>SUM(E52*6/100)</f>
        <v>7.71</v>
      </c>
      <c r="G52" s="36">
        <v>2110.4699999999998</v>
      </c>
      <c r="H52" s="86">
        <f>SUM(F52*G52/1000)</f>
        <v>16.271723699999999</v>
      </c>
      <c r="I52" s="13">
        <f>G52*0.434</f>
        <v>915.9439799999999</v>
      </c>
      <c r="J52" s="23"/>
      <c r="L52" s="19"/>
      <c r="M52" s="20"/>
      <c r="N52" s="21"/>
    </row>
    <row r="53" spans="1:22" ht="15.75" customHeight="1">
      <c r="A53" s="40">
        <v>15</v>
      </c>
      <c r="B53" s="32" t="s">
        <v>180</v>
      </c>
      <c r="C53" s="138" t="s">
        <v>89</v>
      </c>
      <c r="D53" s="32"/>
      <c r="E53" s="153">
        <v>69.5</v>
      </c>
      <c r="F53" s="154">
        <f>E53*6/100</f>
        <v>4.17</v>
      </c>
      <c r="G53" s="139">
        <v>2110.4699999999998</v>
      </c>
      <c r="H53" s="86">
        <f>F53*G53/1000</f>
        <v>8.8006598999999994</v>
      </c>
      <c r="I53" s="13">
        <f>F53/6*G53</f>
        <v>1466.7766499999998</v>
      </c>
      <c r="J53" s="23"/>
      <c r="L53" s="19"/>
      <c r="M53" s="20"/>
      <c r="N53" s="21"/>
    </row>
    <row r="54" spans="1:22" ht="15.75" hidden="1" customHeight="1">
      <c r="A54" s="40"/>
      <c r="B54" s="82" t="s">
        <v>130</v>
      </c>
      <c r="C54" s="83" t="s">
        <v>131</v>
      </c>
      <c r="D54" s="82" t="s">
        <v>41</v>
      </c>
      <c r="E54" s="91">
        <v>8</v>
      </c>
      <c r="F54" s="13">
        <v>16</v>
      </c>
      <c r="G54" s="85">
        <v>180.78</v>
      </c>
      <c r="H54" s="86">
        <f>SUM(F54*G54/1000)</f>
        <v>2.8924799999999999</v>
      </c>
      <c r="I54" s="13">
        <v>0</v>
      </c>
      <c r="J54" s="23"/>
      <c r="L54" s="19"/>
      <c r="M54" s="20"/>
      <c r="N54" s="21"/>
    </row>
    <row r="55" spans="1:22" ht="15.75" customHeight="1">
      <c r="A55" s="40"/>
      <c r="B55" s="76" t="s">
        <v>43</v>
      </c>
      <c r="C55" s="76"/>
      <c r="D55" s="76"/>
      <c r="E55" s="76"/>
      <c r="F55" s="76"/>
      <c r="G55" s="76"/>
      <c r="H55" s="76"/>
      <c r="I55" s="35"/>
      <c r="J55" s="23"/>
      <c r="L55" s="19"/>
      <c r="M55" s="20"/>
      <c r="N55" s="21"/>
    </row>
    <row r="56" spans="1:22" ht="15.75" hidden="1" customHeight="1">
      <c r="A56" s="40">
        <v>27</v>
      </c>
      <c r="B56" s="82" t="s">
        <v>142</v>
      </c>
      <c r="C56" s="83"/>
      <c r="D56" s="82" t="s">
        <v>52</v>
      </c>
      <c r="E56" s="84">
        <v>1349.3</v>
      </c>
      <c r="F56" s="86">
        <v>13.493</v>
      </c>
      <c r="G56" s="13">
        <v>793.61</v>
      </c>
      <c r="H56" s="92">
        <f>F56*G56/1000</f>
        <v>10.708179729999999</v>
      </c>
      <c r="I56" s="13">
        <v>0</v>
      </c>
      <c r="J56" s="23"/>
      <c r="L56" s="19"/>
      <c r="M56" s="20"/>
      <c r="N56" s="21"/>
    </row>
    <row r="57" spans="1:22" ht="15.75" customHeight="1">
      <c r="A57" s="40">
        <v>16</v>
      </c>
      <c r="B57" s="93" t="s">
        <v>88</v>
      </c>
      <c r="C57" s="94" t="s">
        <v>26</v>
      </c>
      <c r="D57" s="93"/>
      <c r="E57" s="95">
        <v>270</v>
      </c>
      <c r="F57" s="96">
        <f>E57*12</f>
        <v>3240</v>
      </c>
      <c r="G57" s="128">
        <v>1.4</v>
      </c>
      <c r="H57" s="98">
        <f>F57*G57</f>
        <v>4536</v>
      </c>
      <c r="I57" s="13">
        <f>2400/12*G57</f>
        <v>280</v>
      </c>
      <c r="J57" s="23"/>
      <c r="L57" s="19"/>
      <c r="M57" s="20"/>
      <c r="N57" s="21"/>
    </row>
    <row r="58" spans="1:22" ht="15.75" hidden="1" customHeight="1">
      <c r="A58" s="29">
        <v>29</v>
      </c>
      <c r="B58" s="99" t="s">
        <v>46</v>
      </c>
      <c r="C58" s="16" t="s">
        <v>111</v>
      </c>
      <c r="D58" s="99" t="s">
        <v>65</v>
      </c>
      <c r="E58" s="18">
        <v>20</v>
      </c>
      <c r="F58" s="85">
        <v>20</v>
      </c>
      <c r="G58" s="13">
        <v>76.25</v>
      </c>
      <c r="H58" s="100">
        <f t="shared" ref="H58:H64" si="6">SUM(F58*G58/1000)</f>
        <v>1.5249999999999999</v>
      </c>
      <c r="I58" s="13">
        <v>0</v>
      </c>
    </row>
    <row r="59" spans="1:22" ht="15.75" hidden="1" customHeight="1">
      <c r="A59" s="29">
        <v>8</v>
      </c>
      <c r="B59" s="99" t="s">
        <v>47</v>
      </c>
      <c r="C59" s="16" t="s">
        <v>114</v>
      </c>
      <c r="D59" s="99" t="s">
        <v>52</v>
      </c>
      <c r="E59" s="84">
        <v>18890</v>
      </c>
      <c r="F59" s="13">
        <f>SUM(E59/100)</f>
        <v>188.9</v>
      </c>
      <c r="G59" s="13">
        <v>212.15</v>
      </c>
      <c r="H59" s="100">
        <f t="shared" si="6"/>
        <v>40.075135000000003</v>
      </c>
      <c r="I59" s="13">
        <v>0</v>
      </c>
    </row>
    <row r="60" spans="1:22" ht="15.75" hidden="1" customHeight="1">
      <c r="A60" s="29">
        <v>9</v>
      </c>
      <c r="B60" s="99" t="s">
        <v>48</v>
      </c>
      <c r="C60" s="16" t="s">
        <v>115</v>
      </c>
      <c r="D60" s="99"/>
      <c r="E60" s="84">
        <v>18890</v>
      </c>
      <c r="F60" s="13">
        <f>SUM(E60/1000)</f>
        <v>18.89</v>
      </c>
      <c r="G60" s="13">
        <v>165.21</v>
      </c>
      <c r="H60" s="100">
        <f t="shared" si="6"/>
        <v>3.1208169000000003</v>
      </c>
      <c r="I60" s="13">
        <v>0</v>
      </c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9"/>
    </row>
    <row r="61" spans="1:22" ht="15.75" hidden="1" customHeight="1">
      <c r="A61" s="29">
        <v>10</v>
      </c>
      <c r="B61" s="99" t="s">
        <v>49</v>
      </c>
      <c r="C61" s="16" t="s">
        <v>75</v>
      </c>
      <c r="D61" s="99" t="s">
        <v>52</v>
      </c>
      <c r="E61" s="84">
        <v>3004</v>
      </c>
      <c r="F61" s="13">
        <f>SUM(E61/100)</f>
        <v>30.04</v>
      </c>
      <c r="G61" s="13">
        <v>2074.63</v>
      </c>
      <c r="H61" s="100">
        <f t="shared" si="6"/>
        <v>62.321885200000004</v>
      </c>
      <c r="I61" s="13">
        <v>0</v>
      </c>
      <c r="J61" s="25"/>
      <c r="K61" s="25"/>
      <c r="L61" s="3"/>
      <c r="M61" s="3"/>
      <c r="N61" s="3"/>
      <c r="O61" s="3"/>
      <c r="P61" s="3"/>
      <c r="Q61" s="3"/>
      <c r="R61" s="3"/>
      <c r="S61" s="3"/>
      <c r="T61" s="3"/>
      <c r="U61" s="3"/>
    </row>
    <row r="62" spans="1:22" ht="15.75" hidden="1" customHeight="1">
      <c r="A62" s="29">
        <v>11</v>
      </c>
      <c r="B62" s="101" t="s">
        <v>116</v>
      </c>
      <c r="C62" s="16" t="s">
        <v>33</v>
      </c>
      <c r="D62" s="99"/>
      <c r="E62" s="84">
        <v>15.8</v>
      </c>
      <c r="F62" s="13">
        <f>SUM(E62)</f>
        <v>15.8</v>
      </c>
      <c r="G62" s="13">
        <v>42.67</v>
      </c>
      <c r="H62" s="100">
        <f t="shared" si="6"/>
        <v>0.67418600000000006</v>
      </c>
      <c r="I62" s="13">
        <v>0</v>
      </c>
      <c r="J62" s="3"/>
      <c r="K62" s="3"/>
      <c r="L62" s="3"/>
      <c r="M62" s="3"/>
      <c r="N62" s="3"/>
      <c r="O62" s="3"/>
      <c r="P62" s="3"/>
      <c r="Q62" s="3"/>
      <c r="S62" s="3"/>
      <c r="T62" s="3"/>
      <c r="U62" s="3"/>
    </row>
    <row r="63" spans="1:22" ht="15" hidden="1" customHeight="1">
      <c r="A63" s="29">
        <v>12</v>
      </c>
      <c r="B63" s="101" t="s">
        <v>117</v>
      </c>
      <c r="C63" s="16" t="s">
        <v>33</v>
      </c>
      <c r="D63" s="99"/>
      <c r="E63" s="84">
        <v>15.8</v>
      </c>
      <c r="F63" s="13">
        <f>SUM(E63)</f>
        <v>15.8</v>
      </c>
      <c r="G63" s="13">
        <v>39.81</v>
      </c>
      <c r="H63" s="100">
        <f t="shared" si="6"/>
        <v>0.62899800000000006</v>
      </c>
      <c r="I63" s="13">
        <v>0</v>
      </c>
      <c r="J63" s="5"/>
      <c r="K63" s="5"/>
      <c r="L63" s="5"/>
      <c r="M63" s="5"/>
      <c r="N63" s="5"/>
      <c r="O63" s="5"/>
      <c r="P63" s="5"/>
      <c r="Q63" s="5"/>
      <c r="R63" s="199"/>
      <c r="S63" s="199"/>
      <c r="T63" s="199"/>
      <c r="U63" s="199"/>
    </row>
    <row r="64" spans="1:22" ht="15.75" hidden="1" customHeight="1">
      <c r="A64" s="29">
        <v>13</v>
      </c>
      <c r="B64" s="99" t="s">
        <v>55</v>
      </c>
      <c r="C64" s="16" t="s">
        <v>56</v>
      </c>
      <c r="D64" s="99" t="s">
        <v>52</v>
      </c>
      <c r="E64" s="18">
        <v>15</v>
      </c>
      <c r="F64" s="85">
        <v>15</v>
      </c>
      <c r="G64" s="13">
        <v>49.88</v>
      </c>
      <c r="H64" s="100">
        <f t="shared" si="6"/>
        <v>0.74820000000000009</v>
      </c>
      <c r="I64" s="13">
        <v>0</v>
      </c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</row>
    <row r="65" spans="1:21" ht="15.75" customHeight="1">
      <c r="A65" s="29"/>
      <c r="B65" s="162" t="s">
        <v>181</v>
      </c>
      <c r="C65" s="38"/>
      <c r="D65" s="37"/>
      <c r="E65" s="17"/>
      <c r="F65" s="117"/>
      <c r="G65" s="36"/>
      <c r="H65" s="100"/>
      <c r="I65" s="13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</row>
    <row r="66" spans="1:21" ht="29.25" customHeight="1">
      <c r="A66" s="29">
        <v>17</v>
      </c>
      <c r="B66" s="37" t="s">
        <v>182</v>
      </c>
      <c r="C66" s="40" t="s">
        <v>183</v>
      </c>
      <c r="D66" s="37"/>
      <c r="E66" s="17">
        <v>5162.6000000000004</v>
      </c>
      <c r="F66" s="36">
        <f>E66*12</f>
        <v>61951.200000000004</v>
      </c>
      <c r="G66" s="36">
        <v>2.37</v>
      </c>
      <c r="H66" s="100"/>
      <c r="I66" s="13">
        <f>G66*F66/12</f>
        <v>12235.362000000001</v>
      </c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</row>
    <row r="67" spans="1:21" ht="16.5" hidden="1" customHeight="1">
      <c r="A67" s="81"/>
      <c r="B67" s="76" t="s">
        <v>118</v>
      </c>
      <c r="C67" s="76"/>
      <c r="D67" s="76"/>
      <c r="E67" s="76"/>
      <c r="F67" s="76"/>
      <c r="G67" s="76"/>
      <c r="H67" s="76"/>
      <c r="I67" s="18"/>
    </row>
    <row r="68" spans="1:21" ht="13.5" hidden="1" customHeight="1">
      <c r="A68" s="29">
        <v>19</v>
      </c>
      <c r="B68" s="82" t="s">
        <v>119</v>
      </c>
      <c r="C68" s="16"/>
      <c r="D68" s="99"/>
      <c r="E68" s="77"/>
      <c r="F68" s="13">
        <v>1</v>
      </c>
      <c r="G68" s="13">
        <v>27865.200000000001</v>
      </c>
      <c r="H68" s="100">
        <f>G68*F68/1000</f>
        <v>27.865200000000002</v>
      </c>
      <c r="I68" s="13">
        <v>0</v>
      </c>
    </row>
    <row r="69" spans="1:21" ht="16.5" hidden="1" customHeight="1">
      <c r="A69" s="29"/>
      <c r="B69" s="48" t="s">
        <v>70</v>
      </c>
      <c r="C69" s="48"/>
      <c r="D69" s="48"/>
      <c r="E69" s="18"/>
      <c r="F69" s="18"/>
      <c r="G69" s="29"/>
      <c r="H69" s="29"/>
      <c r="I69" s="18"/>
    </row>
    <row r="70" spans="1:21" ht="16.5" hidden="1" customHeight="1">
      <c r="A70" s="29">
        <v>18</v>
      </c>
      <c r="B70" s="99" t="s">
        <v>71</v>
      </c>
      <c r="C70" s="16" t="s">
        <v>73</v>
      </c>
      <c r="D70" s="99"/>
      <c r="E70" s="18">
        <v>10</v>
      </c>
      <c r="F70" s="13">
        <v>1</v>
      </c>
      <c r="G70" s="13">
        <v>501.62</v>
      </c>
      <c r="H70" s="100">
        <f t="shared" ref="H70:H74" si="7">SUM(F70*G70/1000)</f>
        <v>0.50161999999999995</v>
      </c>
      <c r="I70" s="13">
        <f>G70*0.1</f>
        <v>50.162000000000006</v>
      </c>
    </row>
    <row r="71" spans="1:21" ht="27.75" hidden="1" customHeight="1">
      <c r="A71" s="29"/>
      <c r="B71" s="99" t="s">
        <v>132</v>
      </c>
      <c r="C71" s="16" t="s">
        <v>31</v>
      </c>
      <c r="D71" s="99"/>
      <c r="E71" s="18">
        <v>1</v>
      </c>
      <c r="F71" s="13">
        <v>1</v>
      </c>
      <c r="G71" s="13">
        <v>99.85</v>
      </c>
      <c r="H71" s="100">
        <f>F71*G71/1000</f>
        <v>9.9849999999999994E-2</v>
      </c>
      <c r="I71" s="13">
        <v>0</v>
      </c>
    </row>
    <row r="72" spans="1:21" ht="20.25" hidden="1" customHeight="1">
      <c r="A72" s="29"/>
      <c r="B72" s="99" t="s">
        <v>133</v>
      </c>
      <c r="C72" s="16" t="s">
        <v>31</v>
      </c>
      <c r="D72" s="99"/>
      <c r="E72" s="18">
        <v>1</v>
      </c>
      <c r="F72" s="13">
        <v>1</v>
      </c>
      <c r="G72" s="13">
        <v>120.26</v>
      </c>
      <c r="H72" s="100">
        <f>F72*G72/1000</f>
        <v>0.12026000000000001</v>
      </c>
      <c r="I72" s="13">
        <v>0</v>
      </c>
    </row>
    <row r="73" spans="1:21" ht="24.75" hidden="1" customHeight="1">
      <c r="A73" s="29">
        <v>19</v>
      </c>
      <c r="B73" s="99" t="s">
        <v>72</v>
      </c>
      <c r="C73" s="16" t="s">
        <v>31</v>
      </c>
      <c r="D73" s="99"/>
      <c r="E73" s="18">
        <v>2</v>
      </c>
      <c r="F73" s="97">
        <v>2</v>
      </c>
      <c r="G73" s="13">
        <v>852.99</v>
      </c>
      <c r="H73" s="100">
        <f>F73*G73/1000</f>
        <v>1.7059800000000001</v>
      </c>
      <c r="I73" s="13">
        <f>G73</f>
        <v>852.99</v>
      </c>
    </row>
    <row r="74" spans="1:21" ht="25.5" hidden="1" customHeight="1">
      <c r="A74" s="29">
        <v>17</v>
      </c>
      <c r="B74" s="99" t="s">
        <v>83</v>
      </c>
      <c r="C74" s="16" t="s">
        <v>111</v>
      </c>
      <c r="D74" s="99"/>
      <c r="E74" s="18">
        <v>1</v>
      </c>
      <c r="F74" s="85">
        <f>SUM(E74)</f>
        <v>1</v>
      </c>
      <c r="G74" s="13">
        <v>358.51</v>
      </c>
      <c r="H74" s="100">
        <f t="shared" si="7"/>
        <v>0.35851</v>
      </c>
      <c r="I74" s="13">
        <v>0</v>
      </c>
    </row>
    <row r="75" spans="1:21" ht="20.25" hidden="1" customHeight="1">
      <c r="A75" s="29"/>
      <c r="B75" s="49" t="s">
        <v>74</v>
      </c>
      <c r="C75" s="38"/>
      <c r="D75" s="29"/>
      <c r="E75" s="18"/>
      <c r="F75" s="18"/>
      <c r="G75" s="36"/>
      <c r="H75" s="36"/>
      <c r="I75" s="18"/>
    </row>
    <row r="76" spans="1:21" ht="20.25" hidden="1" customHeight="1">
      <c r="A76" s="29">
        <v>39</v>
      </c>
      <c r="B76" s="51" t="s">
        <v>120</v>
      </c>
      <c r="C76" s="16" t="s">
        <v>75</v>
      </c>
      <c r="D76" s="99"/>
      <c r="E76" s="18"/>
      <c r="F76" s="13">
        <v>1.35</v>
      </c>
      <c r="G76" s="13">
        <v>2759.44</v>
      </c>
      <c r="H76" s="100">
        <f t="shared" ref="H76" si="8">SUM(F76*G76/1000)</f>
        <v>3.725244</v>
      </c>
      <c r="I76" s="13">
        <v>0</v>
      </c>
    </row>
    <row r="77" spans="1:21" ht="16.5" customHeight="1">
      <c r="A77" s="127"/>
      <c r="B77" s="124" t="s">
        <v>70</v>
      </c>
      <c r="C77" s="120"/>
      <c r="D77" s="121"/>
      <c r="E77" s="121"/>
      <c r="F77" s="121"/>
      <c r="G77" s="122"/>
      <c r="H77" s="122"/>
      <c r="I77" s="123"/>
    </row>
    <row r="78" spans="1:21" ht="18" hidden="1" customHeight="1">
      <c r="A78" s="127">
        <v>19</v>
      </c>
      <c r="B78" s="37" t="s">
        <v>71</v>
      </c>
      <c r="C78" s="125" t="s">
        <v>73</v>
      </c>
      <c r="D78" s="15"/>
      <c r="E78" s="15"/>
      <c r="F78" s="15"/>
      <c r="G78" s="126">
        <v>501.62</v>
      </c>
      <c r="H78" s="18"/>
      <c r="I78" s="18">
        <f>G78*0.2</f>
        <v>100.32400000000001</v>
      </c>
    </row>
    <row r="79" spans="1:21" ht="30" customHeight="1">
      <c r="A79" s="127">
        <v>18</v>
      </c>
      <c r="B79" s="37" t="s">
        <v>184</v>
      </c>
      <c r="C79" s="38" t="s">
        <v>111</v>
      </c>
      <c r="D79" s="37" t="s">
        <v>233</v>
      </c>
      <c r="E79" s="17">
        <v>1</v>
      </c>
      <c r="F79" s="36">
        <f>E79*12</f>
        <v>12</v>
      </c>
      <c r="G79" s="36">
        <v>55.55</v>
      </c>
      <c r="H79" s="13"/>
      <c r="I79" s="13">
        <f>G79*1</f>
        <v>55.55</v>
      </c>
    </row>
    <row r="80" spans="1:21" ht="15.75" customHeight="1">
      <c r="A80" s="208" t="s">
        <v>151</v>
      </c>
      <c r="B80" s="209"/>
      <c r="C80" s="209"/>
      <c r="D80" s="209"/>
      <c r="E80" s="209"/>
      <c r="F80" s="209"/>
      <c r="G80" s="209"/>
      <c r="H80" s="209"/>
      <c r="I80" s="210"/>
    </row>
    <row r="81" spans="1:9" ht="15.75" customHeight="1">
      <c r="A81" s="29">
        <v>19</v>
      </c>
      <c r="B81" s="32" t="s">
        <v>121</v>
      </c>
      <c r="C81" s="38" t="s">
        <v>53</v>
      </c>
      <c r="D81" s="63"/>
      <c r="E81" s="36">
        <v>5162.6000000000004</v>
      </c>
      <c r="F81" s="36">
        <f>SUM(E81*12)</f>
        <v>61951.200000000004</v>
      </c>
      <c r="G81" s="36">
        <v>3.22</v>
      </c>
      <c r="H81" s="102">
        <f>SUM(F81*G81/1000)</f>
        <v>199.48286400000003</v>
      </c>
      <c r="I81" s="13">
        <f>F81/12*G81</f>
        <v>16623.572000000004</v>
      </c>
    </row>
    <row r="82" spans="1:9" ht="31.5" customHeight="1">
      <c r="A82" s="29">
        <v>20</v>
      </c>
      <c r="B82" s="37" t="s">
        <v>185</v>
      </c>
      <c r="C82" s="114" t="s">
        <v>186</v>
      </c>
      <c r="D82" s="37"/>
      <c r="E82" s="17">
        <v>5162.6000000000004</v>
      </c>
      <c r="F82" s="36">
        <f>E82*12</f>
        <v>61951.200000000004</v>
      </c>
      <c r="G82" s="36">
        <v>3.64</v>
      </c>
      <c r="H82" s="100">
        <f>F82*G82/1000</f>
        <v>225.50236800000002</v>
      </c>
      <c r="I82" s="13">
        <f>F82/12*G82</f>
        <v>18791.864000000001</v>
      </c>
    </row>
    <row r="83" spans="1:9" ht="15.75" customHeight="1">
      <c r="A83" s="81"/>
      <c r="B83" s="39" t="s">
        <v>78</v>
      </c>
      <c r="C83" s="40"/>
      <c r="D83" s="15"/>
      <c r="E83" s="15"/>
      <c r="F83" s="15"/>
      <c r="G83" s="18"/>
      <c r="H83" s="18"/>
      <c r="I83" s="31">
        <f>I82+I81+I79+I66+I57+I53+I52+I44+I43+I42+I41+I39+I38+I37+I27+I21+I20+I18+I17+I16</f>
        <v>90461.942857733331</v>
      </c>
    </row>
    <row r="84" spans="1:9" ht="15.75" customHeight="1">
      <c r="A84" s="211" t="s">
        <v>58</v>
      </c>
      <c r="B84" s="212"/>
      <c r="C84" s="212"/>
      <c r="D84" s="212"/>
      <c r="E84" s="212"/>
      <c r="F84" s="212"/>
      <c r="G84" s="212"/>
      <c r="H84" s="212"/>
      <c r="I84" s="213"/>
    </row>
    <row r="85" spans="1:9" ht="18" customHeight="1">
      <c r="A85" s="29">
        <v>21</v>
      </c>
      <c r="B85" s="66" t="s">
        <v>167</v>
      </c>
      <c r="C85" s="67" t="s">
        <v>30</v>
      </c>
      <c r="D85" s="64"/>
      <c r="E85" s="13"/>
      <c r="F85" s="13">
        <v>35</v>
      </c>
      <c r="G85" s="36">
        <v>1217.79</v>
      </c>
      <c r="H85" s="100">
        <f t="shared" ref="H85:H88" si="9">G85*F85/1000</f>
        <v>42.62265</v>
      </c>
      <c r="I85" s="13">
        <f>G85*0.171</f>
        <v>208.24209000000002</v>
      </c>
    </row>
    <row r="86" spans="1:9" ht="31.5" customHeight="1">
      <c r="A86" s="29">
        <v>22</v>
      </c>
      <c r="B86" s="66" t="s">
        <v>134</v>
      </c>
      <c r="C86" s="67" t="s">
        <v>37</v>
      </c>
      <c r="D86" s="51"/>
      <c r="E86" s="13"/>
      <c r="F86" s="13">
        <v>1</v>
      </c>
      <c r="G86" s="36">
        <v>3914.31</v>
      </c>
      <c r="H86" s="100">
        <f t="shared" si="9"/>
        <v>3.91431</v>
      </c>
      <c r="I86" s="13">
        <f>G86*0.01</f>
        <v>39.143099999999997</v>
      </c>
    </row>
    <row r="87" spans="1:9" ht="33.75" customHeight="1">
      <c r="A87" s="29">
        <v>23</v>
      </c>
      <c r="B87" s="66" t="s">
        <v>209</v>
      </c>
      <c r="C87" s="67" t="s">
        <v>111</v>
      </c>
      <c r="D87" s="51"/>
      <c r="E87" s="13"/>
      <c r="F87" s="13">
        <f>160/3</f>
        <v>53.333333333333336</v>
      </c>
      <c r="G87" s="36">
        <v>909</v>
      </c>
      <c r="H87" s="100">
        <f t="shared" si="9"/>
        <v>48.48</v>
      </c>
      <c r="I87" s="13">
        <f>G87*2</f>
        <v>1818</v>
      </c>
    </row>
    <row r="88" spans="1:9" ht="32.25" customHeight="1">
      <c r="A88" s="29">
        <v>24</v>
      </c>
      <c r="B88" s="66" t="s">
        <v>210</v>
      </c>
      <c r="C88" s="67" t="s">
        <v>146</v>
      </c>
      <c r="D88" s="51"/>
      <c r="E88" s="13"/>
      <c r="F88" s="13">
        <v>2</v>
      </c>
      <c r="G88" s="36">
        <v>897.29</v>
      </c>
      <c r="H88" s="100">
        <f t="shared" si="9"/>
        <v>1.7945799999999998</v>
      </c>
      <c r="I88" s="13">
        <f>G88*1</f>
        <v>897.29</v>
      </c>
    </row>
    <row r="89" spans="1:9" ht="15.75" customHeight="1">
      <c r="A89" s="29">
        <v>25</v>
      </c>
      <c r="B89" s="66" t="s">
        <v>211</v>
      </c>
      <c r="C89" s="67" t="s">
        <v>111</v>
      </c>
      <c r="D89" s="51"/>
      <c r="E89" s="13"/>
      <c r="F89" s="13">
        <v>1</v>
      </c>
      <c r="G89" s="36">
        <v>98</v>
      </c>
      <c r="H89" s="100">
        <f>G89*F89/1000</f>
        <v>9.8000000000000004E-2</v>
      </c>
      <c r="I89" s="13">
        <f>G89*2</f>
        <v>196</v>
      </c>
    </row>
    <row r="90" spans="1:9" ht="16.5" customHeight="1">
      <c r="A90" s="29">
        <v>26</v>
      </c>
      <c r="B90" s="66" t="s">
        <v>212</v>
      </c>
      <c r="C90" s="67" t="s">
        <v>111</v>
      </c>
      <c r="D90" s="51"/>
      <c r="E90" s="13"/>
      <c r="F90" s="13">
        <v>9</v>
      </c>
      <c r="G90" s="36">
        <v>235</v>
      </c>
      <c r="H90" s="100">
        <f>G90*F90/1000</f>
        <v>2.1150000000000002</v>
      </c>
      <c r="I90" s="13">
        <f>G90*2</f>
        <v>470</v>
      </c>
    </row>
    <row r="91" spans="1:9" ht="15.75" customHeight="1">
      <c r="A91" s="29">
        <v>27</v>
      </c>
      <c r="B91" s="66" t="s">
        <v>213</v>
      </c>
      <c r="C91" s="67" t="s">
        <v>111</v>
      </c>
      <c r="D91" s="51"/>
      <c r="E91" s="13"/>
      <c r="F91" s="13">
        <v>1</v>
      </c>
      <c r="G91" s="36">
        <v>110</v>
      </c>
      <c r="H91" s="100">
        <f>G91*F91/1000</f>
        <v>0.11</v>
      </c>
      <c r="I91" s="13">
        <f t="shared" ref="I91:I96" si="10">G91*1</f>
        <v>110</v>
      </c>
    </row>
    <row r="92" spans="1:9" ht="15.75" customHeight="1">
      <c r="A92" s="29">
        <v>28</v>
      </c>
      <c r="B92" s="66" t="s">
        <v>214</v>
      </c>
      <c r="C92" s="67" t="s">
        <v>111</v>
      </c>
      <c r="D92" s="51"/>
      <c r="E92" s="13"/>
      <c r="F92" s="13"/>
      <c r="G92" s="36">
        <v>67</v>
      </c>
      <c r="H92" s="100"/>
      <c r="I92" s="13">
        <f t="shared" si="10"/>
        <v>67</v>
      </c>
    </row>
    <row r="93" spans="1:9" ht="15.75" customHeight="1">
      <c r="A93" s="29">
        <v>29</v>
      </c>
      <c r="B93" s="66" t="s">
        <v>215</v>
      </c>
      <c r="C93" s="67" t="s">
        <v>111</v>
      </c>
      <c r="D93" s="51"/>
      <c r="E93" s="13"/>
      <c r="F93" s="13"/>
      <c r="G93" s="36">
        <v>62</v>
      </c>
      <c r="H93" s="100"/>
      <c r="I93" s="13">
        <f t="shared" si="10"/>
        <v>62</v>
      </c>
    </row>
    <row r="94" spans="1:9" ht="15.75" customHeight="1">
      <c r="A94" s="29">
        <v>30</v>
      </c>
      <c r="B94" s="66" t="s">
        <v>216</v>
      </c>
      <c r="C94" s="67" t="s">
        <v>217</v>
      </c>
      <c r="D94" s="51"/>
      <c r="E94" s="13"/>
      <c r="F94" s="13"/>
      <c r="G94" s="36">
        <v>725.1</v>
      </c>
      <c r="H94" s="100"/>
      <c r="I94" s="13">
        <f t="shared" si="10"/>
        <v>725.1</v>
      </c>
    </row>
    <row r="95" spans="1:9" ht="30.75" customHeight="1">
      <c r="A95" s="29">
        <v>31</v>
      </c>
      <c r="B95" s="140" t="s">
        <v>218</v>
      </c>
      <c r="C95" s="40" t="s">
        <v>219</v>
      </c>
      <c r="D95" s="51"/>
      <c r="E95" s="13"/>
      <c r="F95" s="13"/>
      <c r="G95" s="36">
        <v>2114.96</v>
      </c>
      <c r="H95" s="100"/>
      <c r="I95" s="13">
        <f t="shared" si="10"/>
        <v>2114.96</v>
      </c>
    </row>
    <row r="96" spans="1:9" ht="16.5" customHeight="1">
      <c r="A96" s="29">
        <v>32</v>
      </c>
      <c r="B96" s="66" t="s">
        <v>220</v>
      </c>
      <c r="C96" s="105" t="s">
        <v>111</v>
      </c>
      <c r="D96" s="16"/>
      <c r="E96" s="13"/>
      <c r="F96" s="13">
        <f>0.5/100</f>
        <v>5.0000000000000001E-3</v>
      </c>
      <c r="G96" s="36">
        <v>934.6</v>
      </c>
      <c r="H96" s="100">
        <f>G96*F96/1000</f>
        <v>4.6730000000000001E-3</v>
      </c>
      <c r="I96" s="13">
        <f t="shared" si="10"/>
        <v>934.6</v>
      </c>
    </row>
    <row r="97" spans="1:9" ht="17.25" customHeight="1">
      <c r="A97" s="29">
        <v>33</v>
      </c>
      <c r="B97" s="66" t="s">
        <v>194</v>
      </c>
      <c r="C97" s="67" t="s">
        <v>171</v>
      </c>
      <c r="D97" s="51"/>
      <c r="E97" s="13"/>
      <c r="F97" s="13"/>
      <c r="G97" s="36">
        <v>273</v>
      </c>
      <c r="H97" s="100"/>
      <c r="I97" s="13">
        <f>G97*8</f>
        <v>2184</v>
      </c>
    </row>
    <row r="98" spans="1:9" ht="15.75" customHeight="1">
      <c r="A98" s="29"/>
      <c r="B98" s="45" t="s">
        <v>50</v>
      </c>
      <c r="C98" s="41"/>
      <c r="D98" s="53"/>
      <c r="E98" s="41">
        <v>1</v>
      </c>
      <c r="F98" s="41"/>
      <c r="G98" s="41"/>
      <c r="H98" s="41"/>
      <c r="I98" s="31">
        <f>SUM(I85:I97)</f>
        <v>9826.3351900000016</v>
      </c>
    </row>
    <row r="99" spans="1:9" ht="15.75" customHeight="1">
      <c r="A99" s="29"/>
      <c r="B99" s="51" t="s">
        <v>76</v>
      </c>
      <c r="C99" s="15"/>
      <c r="D99" s="15"/>
      <c r="E99" s="42"/>
      <c r="F99" s="42"/>
      <c r="G99" s="43"/>
      <c r="H99" s="43"/>
      <c r="I99" s="17">
        <v>0</v>
      </c>
    </row>
    <row r="100" spans="1:9" ht="15.75" customHeight="1">
      <c r="A100" s="54"/>
      <c r="B100" s="46" t="s">
        <v>144</v>
      </c>
      <c r="C100" s="34"/>
      <c r="D100" s="34"/>
      <c r="E100" s="34"/>
      <c r="F100" s="34"/>
      <c r="G100" s="34"/>
      <c r="H100" s="34"/>
      <c r="I100" s="44">
        <f>I83+I98</f>
        <v>100288.27804773333</v>
      </c>
    </row>
    <row r="101" spans="1:9" ht="15.75">
      <c r="A101" s="205" t="s">
        <v>248</v>
      </c>
      <c r="B101" s="205"/>
      <c r="C101" s="205"/>
      <c r="D101" s="205"/>
      <c r="E101" s="205"/>
      <c r="F101" s="205"/>
      <c r="G101" s="205"/>
      <c r="H101" s="205"/>
      <c r="I101" s="205"/>
    </row>
    <row r="102" spans="1:9" ht="15.75">
      <c r="A102" s="61"/>
      <c r="B102" s="206" t="s">
        <v>249</v>
      </c>
      <c r="C102" s="206"/>
      <c r="D102" s="206"/>
      <c r="E102" s="206"/>
      <c r="F102" s="206"/>
      <c r="G102" s="206"/>
      <c r="H102" s="80"/>
      <c r="I102" s="3"/>
    </row>
    <row r="103" spans="1:9">
      <c r="A103" s="74"/>
      <c r="B103" s="204" t="s">
        <v>6</v>
      </c>
      <c r="C103" s="204"/>
      <c r="D103" s="204"/>
      <c r="E103" s="204"/>
      <c r="F103" s="204"/>
      <c r="G103" s="204"/>
      <c r="H103" s="24"/>
      <c r="I103" s="5"/>
    </row>
    <row r="104" spans="1:9">
      <c r="A104" s="10"/>
      <c r="B104" s="10"/>
      <c r="C104" s="10"/>
      <c r="D104" s="10"/>
      <c r="E104" s="10"/>
      <c r="F104" s="10"/>
      <c r="G104" s="10"/>
      <c r="H104" s="10"/>
      <c r="I104" s="10"/>
    </row>
    <row r="105" spans="1:9" ht="15.75">
      <c r="A105" s="207" t="s">
        <v>7</v>
      </c>
      <c r="B105" s="207"/>
      <c r="C105" s="207"/>
      <c r="D105" s="207"/>
      <c r="E105" s="207"/>
      <c r="F105" s="207"/>
      <c r="G105" s="207"/>
      <c r="H105" s="207"/>
      <c r="I105" s="207"/>
    </row>
    <row r="106" spans="1:9" ht="15.75">
      <c r="A106" s="207" t="s">
        <v>8</v>
      </c>
      <c r="B106" s="207"/>
      <c r="C106" s="207"/>
      <c r="D106" s="207"/>
      <c r="E106" s="207"/>
      <c r="F106" s="207"/>
      <c r="G106" s="207"/>
      <c r="H106" s="207"/>
      <c r="I106" s="207"/>
    </row>
    <row r="107" spans="1:9" ht="15.75">
      <c r="A107" s="201" t="s">
        <v>59</v>
      </c>
      <c r="B107" s="201"/>
      <c r="C107" s="201"/>
      <c r="D107" s="201"/>
      <c r="E107" s="201"/>
      <c r="F107" s="201"/>
      <c r="G107" s="201"/>
      <c r="H107" s="201"/>
      <c r="I107" s="201"/>
    </row>
    <row r="108" spans="1:9" ht="15.75">
      <c r="A108" s="11"/>
    </row>
    <row r="109" spans="1:9" ht="15.75">
      <c r="A109" s="202" t="s">
        <v>9</v>
      </c>
      <c r="B109" s="202"/>
      <c r="C109" s="202"/>
      <c r="D109" s="202"/>
      <c r="E109" s="202"/>
      <c r="F109" s="202"/>
      <c r="G109" s="202"/>
      <c r="H109" s="202"/>
      <c r="I109" s="202"/>
    </row>
    <row r="110" spans="1:9" ht="15.75">
      <c r="A110" s="4"/>
    </row>
    <row r="111" spans="1:9" ht="15.75">
      <c r="B111" s="72" t="s">
        <v>10</v>
      </c>
      <c r="C111" s="203" t="s">
        <v>84</v>
      </c>
      <c r="D111" s="203"/>
      <c r="E111" s="203"/>
      <c r="F111" s="78"/>
      <c r="I111" s="73"/>
    </row>
    <row r="112" spans="1:9">
      <c r="A112" s="74"/>
      <c r="C112" s="204" t="s">
        <v>11</v>
      </c>
      <c r="D112" s="204"/>
      <c r="E112" s="204"/>
      <c r="F112" s="24"/>
      <c r="I112" s="71" t="s">
        <v>12</v>
      </c>
    </row>
    <row r="113" spans="1:9" ht="15.75">
      <c r="A113" s="25"/>
      <c r="C113" s="12"/>
      <c r="D113" s="12"/>
      <c r="G113" s="12"/>
      <c r="H113" s="12"/>
    </row>
    <row r="114" spans="1:9" ht="15.75">
      <c r="B114" s="72" t="s">
        <v>13</v>
      </c>
      <c r="C114" s="198"/>
      <c r="D114" s="198"/>
      <c r="E114" s="198"/>
      <c r="F114" s="79"/>
      <c r="I114" s="73"/>
    </row>
    <row r="115" spans="1:9">
      <c r="A115" s="74"/>
      <c r="C115" s="199" t="s">
        <v>11</v>
      </c>
      <c r="D115" s="199"/>
      <c r="E115" s="199"/>
      <c r="F115" s="74"/>
      <c r="I115" s="71" t="s">
        <v>12</v>
      </c>
    </row>
    <row r="116" spans="1:9" ht="15.75">
      <c r="A116" s="4" t="s">
        <v>14</v>
      </c>
    </row>
    <row r="117" spans="1:9">
      <c r="A117" s="200" t="s">
        <v>15</v>
      </c>
      <c r="B117" s="200"/>
      <c r="C117" s="200"/>
      <c r="D117" s="200"/>
      <c r="E117" s="200"/>
      <c r="F117" s="200"/>
      <c r="G117" s="200"/>
      <c r="H117" s="200"/>
      <c r="I117" s="200"/>
    </row>
    <row r="118" spans="1:9" ht="45" customHeight="1">
      <c r="A118" s="197" t="s">
        <v>16</v>
      </c>
      <c r="B118" s="197"/>
      <c r="C118" s="197"/>
      <c r="D118" s="197"/>
      <c r="E118" s="197"/>
      <c r="F118" s="197"/>
      <c r="G118" s="197"/>
      <c r="H118" s="197"/>
      <c r="I118" s="197"/>
    </row>
    <row r="119" spans="1:9" ht="30" customHeight="1">
      <c r="A119" s="197" t="s">
        <v>17</v>
      </c>
      <c r="B119" s="197"/>
      <c r="C119" s="197"/>
      <c r="D119" s="197"/>
      <c r="E119" s="197"/>
      <c r="F119" s="197"/>
      <c r="G119" s="197"/>
      <c r="H119" s="197"/>
      <c r="I119" s="197"/>
    </row>
    <row r="120" spans="1:9" ht="30" customHeight="1">
      <c r="A120" s="197" t="s">
        <v>21</v>
      </c>
      <c r="B120" s="197"/>
      <c r="C120" s="197"/>
      <c r="D120" s="197"/>
      <c r="E120" s="197"/>
      <c r="F120" s="197"/>
      <c r="G120" s="197"/>
      <c r="H120" s="197"/>
      <c r="I120" s="197"/>
    </row>
    <row r="121" spans="1:9" ht="15" customHeight="1">
      <c r="A121" s="197" t="s">
        <v>20</v>
      </c>
      <c r="B121" s="197"/>
      <c r="C121" s="197"/>
      <c r="D121" s="197"/>
      <c r="E121" s="197"/>
      <c r="F121" s="197"/>
      <c r="G121" s="197"/>
      <c r="H121" s="197"/>
      <c r="I121" s="197"/>
    </row>
  </sheetData>
  <autoFilter ref="I12:I58"/>
  <mergeCells count="29">
    <mergeCell ref="A14:I14"/>
    <mergeCell ref="A15:I15"/>
    <mergeCell ref="A28:I28"/>
    <mergeCell ref="A50:I50"/>
    <mergeCell ref="A3:I3"/>
    <mergeCell ref="A4:I4"/>
    <mergeCell ref="A5:I5"/>
    <mergeCell ref="A8:I8"/>
    <mergeCell ref="A10:I10"/>
    <mergeCell ref="A46:I46"/>
    <mergeCell ref="R63:U63"/>
    <mergeCell ref="C115:E115"/>
    <mergeCell ref="A84:I84"/>
    <mergeCell ref="A101:I101"/>
    <mergeCell ref="B102:G102"/>
    <mergeCell ref="B103:G103"/>
    <mergeCell ref="A105:I105"/>
    <mergeCell ref="A106:I106"/>
    <mergeCell ref="A107:I107"/>
    <mergeCell ref="A109:I109"/>
    <mergeCell ref="C111:E111"/>
    <mergeCell ref="C112:E112"/>
    <mergeCell ref="C114:E114"/>
    <mergeCell ref="A80:I80"/>
    <mergeCell ref="A117:I117"/>
    <mergeCell ref="A118:I118"/>
    <mergeCell ref="A119:I119"/>
    <mergeCell ref="A120:I120"/>
    <mergeCell ref="A121:I121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V119"/>
  <sheetViews>
    <sheetView topLeftCell="A23" workbookViewId="0">
      <selection activeCell="B20" sqref="B20:I21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170</v>
      </c>
      <c r="I1" s="26"/>
      <c r="J1" s="1"/>
      <c r="K1" s="1"/>
      <c r="L1" s="1"/>
      <c r="M1" s="1"/>
    </row>
    <row r="2" spans="1:13" ht="15.75" customHeight="1">
      <c r="A2" s="28" t="s">
        <v>60</v>
      </c>
      <c r="J2" s="2"/>
      <c r="K2" s="2"/>
      <c r="L2" s="2"/>
      <c r="M2" s="2"/>
    </row>
    <row r="3" spans="1:13" ht="15.75" customHeight="1">
      <c r="A3" s="214" t="s">
        <v>155</v>
      </c>
      <c r="B3" s="214"/>
      <c r="C3" s="214"/>
      <c r="D3" s="214"/>
      <c r="E3" s="214"/>
      <c r="F3" s="214"/>
      <c r="G3" s="214"/>
      <c r="H3" s="214"/>
      <c r="I3" s="214"/>
      <c r="J3" s="3"/>
      <c r="K3" s="3"/>
      <c r="L3" s="3"/>
    </row>
    <row r="4" spans="1:13" ht="31.5" customHeight="1">
      <c r="A4" s="215" t="s">
        <v>122</v>
      </c>
      <c r="B4" s="215"/>
      <c r="C4" s="215"/>
      <c r="D4" s="215"/>
      <c r="E4" s="215"/>
      <c r="F4" s="215"/>
      <c r="G4" s="215"/>
      <c r="H4" s="215"/>
      <c r="I4" s="215"/>
    </row>
    <row r="5" spans="1:13" ht="15.75" customHeight="1">
      <c r="A5" s="214" t="s">
        <v>221</v>
      </c>
      <c r="B5" s="218"/>
      <c r="C5" s="218"/>
      <c r="D5" s="218"/>
      <c r="E5" s="218"/>
      <c r="F5" s="218"/>
      <c r="G5" s="218"/>
      <c r="H5" s="218"/>
      <c r="I5" s="218"/>
      <c r="J5" s="2"/>
      <c r="K5" s="2"/>
      <c r="L5" s="2"/>
      <c r="M5" s="2"/>
    </row>
    <row r="6" spans="1:13" ht="15.75" customHeight="1">
      <c r="A6" s="2"/>
      <c r="B6" s="75"/>
      <c r="C6" s="75"/>
      <c r="D6" s="75"/>
      <c r="E6" s="75"/>
      <c r="F6" s="75"/>
      <c r="G6" s="75"/>
      <c r="H6" s="75"/>
      <c r="I6" s="30">
        <v>43616</v>
      </c>
      <c r="J6" s="2"/>
      <c r="K6" s="2"/>
      <c r="L6" s="2"/>
      <c r="M6" s="2"/>
    </row>
    <row r="7" spans="1:13" ht="15.75" customHeight="1">
      <c r="B7" s="72"/>
      <c r="C7" s="72"/>
      <c r="D7" s="72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16" t="s">
        <v>196</v>
      </c>
      <c r="B8" s="216"/>
      <c r="C8" s="216"/>
      <c r="D8" s="216"/>
      <c r="E8" s="216"/>
      <c r="F8" s="216"/>
      <c r="G8" s="216"/>
      <c r="H8" s="216"/>
      <c r="I8" s="216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17" t="s">
        <v>136</v>
      </c>
      <c r="B10" s="217"/>
      <c r="C10" s="217"/>
      <c r="D10" s="217"/>
      <c r="E10" s="217"/>
      <c r="F10" s="217"/>
      <c r="G10" s="217"/>
      <c r="H10" s="217"/>
      <c r="I10" s="217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219" t="s">
        <v>57</v>
      </c>
      <c r="B14" s="219"/>
      <c r="C14" s="219"/>
      <c r="D14" s="219"/>
      <c r="E14" s="219"/>
      <c r="F14" s="219"/>
      <c r="G14" s="219"/>
      <c r="H14" s="219"/>
      <c r="I14" s="219"/>
      <c r="J14" s="8"/>
      <c r="K14" s="8"/>
      <c r="L14" s="8"/>
      <c r="M14" s="8"/>
    </row>
    <row r="15" spans="1:13" ht="15.75" customHeight="1">
      <c r="A15" s="220" t="s">
        <v>4</v>
      </c>
      <c r="B15" s="220"/>
      <c r="C15" s="220"/>
      <c r="D15" s="220"/>
      <c r="E15" s="220"/>
      <c r="F15" s="220"/>
      <c r="G15" s="220"/>
      <c r="H15" s="220"/>
      <c r="I15" s="220"/>
      <c r="J15" s="8"/>
      <c r="K15" s="8"/>
      <c r="L15" s="8"/>
      <c r="M15" s="8"/>
    </row>
    <row r="16" spans="1:13" ht="15.75" customHeight="1">
      <c r="A16" s="29">
        <v>1</v>
      </c>
      <c r="B16" s="32" t="s">
        <v>82</v>
      </c>
      <c r="C16" s="138" t="s">
        <v>89</v>
      </c>
      <c r="D16" s="32" t="s">
        <v>230</v>
      </c>
      <c r="E16" s="152">
        <v>129.88</v>
      </c>
      <c r="F16" s="139">
        <f>SUM(E16*156/100)</f>
        <v>202.61279999999999</v>
      </c>
      <c r="G16" s="139">
        <v>239.2</v>
      </c>
      <c r="H16" s="86">
        <f t="shared" ref="H16:H26" si="0">SUM(F16*G16/1000)</f>
        <v>48.464981759999993</v>
      </c>
      <c r="I16" s="13">
        <f>F16/12*G16</f>
        <v>4038.7484799999997</v>
      </c>
      <c r="J16" s="8"/>
      <c r="K16" s="8"/>
      <c r="L16" s="8"/>
      <c r="M16" s="8"/>
    </row>
    <row r="17" spans="1:13" ht="15.75" customHeight="1">
      <c r="A17" s="29">
        <v>2</v>
      </c>
      <c r="B17" s="32" t="s">
        <v>85</v>
      </c>
      <c r="C17" s="138" t="s">
        <v>89</v>
      </c>
      <c r="D17" s="32" t="s">
        <v>231</v>
      </c>
      <c r="E17" s="152">
        <v>519.52</v>
      </c>
      <c r="F17" s="139">
        <f>SUM(E17*104/100)</f>
        <v>540.30079999999998</v>
      </c>
      <c r="G17" s="139">
        <v>239.2</v>
      </c>
      <c r="H17" s="86">
        <f t="shared" si="0"/>
        <v>129.23995135999999</v>
      </c>
      <c r="I17" s="13">
        <f>F17/12*G17</f>
        <v>10769.995946666666</v>
      </c>
      <c r="J17" s="22"/>
      <c r="K17" s="8"/>
      <c r="L17" s="8"/>
      <c r="M17" s="8"/>
    </row>
    <row r="18" spans="1:13" ht="15.75" customHeight="1">
      <c r="A18" s="29">
        <v>3</v>
      </c>
      <c r="B18" s="32" t="s">
        <v>86</v>
      </c>
      <c r="C18" s="138" t="s">
        <v>89</v>
      </c>
      <c r="D18" s="32" t="s">
        <v>232</v>
      </c>
      <c r="E18" s="152">
        <f>SUM(E16+E17)</f>
        <v>649.4</v>
      </c>
      <c r="F18" s="139">
        <f>SUM(E18*18/100)</f>
        <v>116.892</v>
      </c>
      <c r="G18" s="139">
        <v>688.14</v>
      </c>
      <c r="H18" s="86">
        <f t="shared" si="0"/>
        <v>80.438060879999995</v>
      </c>
      <c r="I18" s="13">
        <f>F18/12*G18</f>
        <v>6703.1717399999998</v>
      </c>
      <c r="J18" s="22"/>
      <c r="K18" s="8"/>
      <c r="L18" s="8"/>
      <c r="M18" s="8"/>
    </row>
    <row r="19" spans="1:13" ht="15.75" customHeight="1">
      <c r="A19" s="29">
        <v>4</v>
      </c>
      <c r="B19" s="32" t="s">
        <v>90</v>
      </c>
      <c r="C19" s="138" t="s">
        <v>91</v>
      </c>
      <c r="D19" s="32" t="s">
        <v>243</v>
      </c>
      <c r="E19" s="152">
        <v>124.8</v>
      </c>
      <c r="F19" s="139">
        <f>SUM(E19/10)</f>
        <v>12.48</v>
      </c>
      <c r="G19" s="139">
        <v>232.1</v>
      </c>
      <c r="H19" s="86">
        <f t="shared" si="0"/>
        <v>2.8966080000000001</v>
      </c>
      <c r="I19" s="13">
        <f>F19*G19</f>
        <v>2896.6080000000002</v>
      </c>
      <c r="J19" s="22"/>
      <c r="K19" s="8"/>
      <c r="L19" s="8"/>
      <c r="M19" s="8"/>
    </row>
    <row r="20" spans="1:13" ht="15.75" customHeight="1">
      <c r="A20" s="29">
        <v>5</v>
      </c>
      <c r="B20" s="32" t="s">
        <v>95</v>
      </c>
      <c r="C20" s="138" t="s">
        <v>89</v>
      </c>
      <c r="D20" s="32" t="s">
        <v>243</v>
      </c>
      <c r="E20" s="152">
        <v>57.5</v>
      </c>
      <c r="F20" s="139">
        <f>SUM(E20*12/100)</f>
        <v>6.9</v>
      </c>
      <c r="G20" s="139">
        <v>297.19</v>
      </c>
      <c r="H20" s="86">
        <f t="shared" si="0"/>
        <v>2.050611</v>
      </c>
      <c r="I20" s="13">
        <f>F20*G20/12</f>
        <v>170.88424999999998</v>
      </c>
      <c r="J20" s="22"/>
      <c r="K20" s="8"/>
      <c r="L20" s="8"/>
      <c r="M20" s="8"/>
    </row>
    <row r="21" spans="1:13" ht="15.75" customHeight="1">
      <c r="A21" s="29">
        <v>6</v>
      </c>
      <c r="B21" s="32" t="s">
        <v>96</v>
      </c>
      <c r="C21" s="138" t="s">
        <v>89</v>
      </c>
      <c r="D21" s="32" t="s">
        <v>243</v>
      </c>
      <c r="E21" s="152">
        <v>13.41</v>
      </c>
      <c r="F21" s="139">
        <f>SUM(E21*12/100)</f>
        <v>1.6092000000000002</v>
      </c>
      <c r="G21" s="139">
        <v>294.77999999999997</v>
      </c>
      <c r="H21" s="86">
        <f t="shared" si="0"/>
        <v>0.47435997600000002</v>
      </c>
      <c r="I21" s="13">
        <f>F21*G21/12</f>
        <v>39.529997999999999</v>
      </c>
      <c r="J21" s="22"/>
      <c r="K21" s="8"/>
      <c r="L21" s="8"/>
      <c r="M21" s="8"/>
    </row>
    <row r="22" spans="1:13" ht="15.75" customHeight="1">
      <c r="A22" s="29">
        <v>7</v>
      </c>
      <c r="B22" s="32" t="s">
        <v>97</v>
      </c>
      <c r="C22" s="138" t="s">
        <v>51</v>
      </c>
      <c r="D22" s="32" t="s">
        <v>243</v>
      </c>
      <c r="E22" s="152">
        <v>820.5</v>
      </c>
      <c r="F22" s="139">
        <f>SUM(E22/100)</f>
        <v>8.2050000000000001</v>
      </c>
      <c r="G22" s="139">
        <v>367.27</v>
      </c>
      <c r="H22" s="86">
        <f t="shared" si="0"/>
        <v>3.0134503500000003</v>
      </c>
      <c r="I22" s="13">
        <f t="shared" ref="I22:I26" si="1">F22*G22</f>
        <v>3013.4503500000001</v>
      </c>
      <c r="J22" s="22"/>
      <c r="K22" s="8"/>
      <c r="L22" s="8"/>
      <c r="M22" s="8"/>
    </row>
    <row r="23" spans="1:13" ht="15.75" customHeight="1">
      <c r="A23" s="29">
        <v>8</v>
      </c>
      <c r="B23" s="32" t="s">
        <v>98</v>
      </c>
      <c r="C23" s="138" t="s">
        <v>51</v>
      </c>
      <c r="D23" s="32" t="s">
        <v>243</v>
      </c>
      <c r="E23" s="159">
        <v>60.25</v>
      </c>
      <c r="F23" s="139">
        <f>SUM(E23/100)</f>
        <v>0.60250000000000004</v>
      </c>
      <c r="G23" s="139">
        <v>60.41</v>
      </c>
      <c r="H23" s="86">
        <f t="shared" si="0"/>
        <v>3.6397025E-2</v>
      </c>
      <c r="I23" s="13">
        <f t="shared" si="1"/>
        <v>36.397024999999999</v>
      </c>
      <c r="J23" s="22"/>
      <c r="K23" s="8"/>
      <c r="L23" s="8"/>
      <c r="M23" s="8"/>
    </row>
    <row r="24" spans="1:13" ht="15.75" customHeight="1">
      <c r="A24" s="29">
        <v>9</v>
      </c>
      <c r="B24" s="32" t="s">
        <v>93</v>
      </c>
      <c r="C24" s="138" t="s">
        <v>51</v>
      </c>
      <c r="D24" s="32" t="s">
        <v>243</v>
      </c>
      <c r="E24" s="152">
        <v>19.149999999999999</v>
      </c>
      <c r="F24" s="139">
        <f>E24/100</f>
        <v>0.19149999999999998</v>
      </c>
      <c r="G24" s="139">
        <v>531.55999999999995</v>
      </c>
      <c r="H24" s="86">
        <f t="shared" si="0"/>
        <v>0.10179373999999997</v>
      </c>
      <c r="I24" s="13">
        <f t="shared" si="1"/>
        <v>101.79373999999997</v>
      </c>
      <c r="J24" s="22"/>
      <c r="K24" s="8"/>
      <c r="L24" s="8"/>
      <c r="M24" s="8"/>
    </row>
    <row r="25" spans="1:13" ht="15.75" customHeight="1">
      <c r="A25" s="29">
        <v>10</v>
      </c>
      <c r="B25" s="32" t="s">
        <v>100</v>
      </c>
      <c r="C25" s="138" t="s">
        <v>51</v>
      </c>
      <c r="D25" s="32" t="s">
        <v>243</v>
      </c>
      <c r="E25" s="152">
        <v>31.5</v>
      </c>
      <c r="F25" s="139">
        <v>0.32</v>
      </c>
      <c r="G25" s="139">
        <v>294.77999999999997</v>
      </c>
      <c r="H25" s="86">
        <f t="shared" si="0"/>
        <v>9.43296E-2</v>
      </c>
      <c r="I25" s="13">
        <f t="shared" si="1"/>
        <v>94.329599999999999</v>
      </c>
      <c r="J25" s="22"/>
      <c r="K25" s="8"/>
      <c r="L25" s="8"/>
      <c r="M25" s="8"/>
    </row>
    <row r="26" spans="1:13" ht="15.75" customHeight="1">
      <c r="A26" s="29">
        <v>11</v>
      </c>
      <c r="B26" s="32" t="s">
        <v>99</v>
      </c>
      <c r="C26" s="138" t="s">
        <v>51</v>
      </c>
      <c r="D26" s="32" t="s">
        <v>243</v>
      </c>
      <c r="E26" s="152">
        <v>37.5</v>
      </c>
      <c r="F26" s="139">
        <f>SUM(E26/100)</f>
        <v>0.375</v>
      </c>
      <c r="G26" s="139">
        <v>710.37</v>
      </c>
      <c r="H26" s="86">
        <f t="shared" si="0"/>
        <v>0.26638875000000001</v>
      </c>
      <c r="I26" s="13">
        <f t="shared" si="1"/>
        <v>266.38875000000002</v>
      </c>
      <c r="J26" s="22"/>
      <c r="K26" s="8"/>
      <c r="L26" s="8"/>
      <c r="M26" s="8"/>
    </row>
    <row r="27" spans="1:13" ht="15.75" customHeight="1">
      <c r="A27" s="29">
        <v>12</v>
      </c>
      <c r="B27" s="32" t="s">
        <v>229</v>
      </c>
      <c r="C27" s="138" t="s">
        <v>26</v>
      </c>
      <c r="D27" s="32" t="s">
        <v>234</v>
      </c>
      <c r="E27" s="175">
        <v>4.88</v>
      </c>
      <c r="F27" s="139">
        <f>E27*258</f>
        <v>1259.04</v>
      </c>
      <c r="G27" s="139">
        <v>10.39</v>
      </c>
      <c r="H27" s="86">
        <f t="shared" ref="H27" si="2">SUM(F27*G27/1000)</f>
        <v>13.081425600000001</v>
      </c>
      <c r="I27" s="13">
        <f>F27/12*G27</f>
        <v>1090.1188</v>
      </c>
      <c r="J27" s="22"/>
      <c r="K27" s="8"/>
      <c r="L27" s="8"/>
      <c r="M27" s="8"/>
    </row>
    <row r="28" spans="1:13" ht="15.75" customHeight="1">
      <c r="A28" s="220" t="s">
        <v>81</v>
      </c>
      <c r="B28" s="220"/>
      <c r="C28" s="220"/>
      <c r="D28" s="220"/>
      <c r="E28" s="220"/>
      <c r="F28" s="220"/>
      <c r="G28" s="220"/>
      <c r="H28" s="220"/>
      <c r="I28" s="220"/>
      <c r="J28" s="22"/>
      <c r="K28" s="8"/>
      <c r="L28" s="8"/>
      <c r="M28" s="8"/>
    </row>
    <row r="29" spans="1:13" ht="15.75" customHeight="1">
      <c r="A29" s="40"/>
      <c r="B29" s="50" t="s">
        <v>29</v>
      </c>
      <c r="C29" s="50"/>
      <c r="D29" s="50"/>
      <c r="E29" s="50"/>
      <c r="F29" s="50"/>
      <c r="G29" s="50"/>
      <c r="H29" s="50"/>
      <c r="I29" s="18"/>
      <c r="J29" s="22"/>
      <c r="K29" s="8"/>
      <c r="L29" s="8"/>
      <c r="M29" s="8"/>
    </row>
    <row r="30" spans="1:13" ht="15.75" customHeight="1">
      <c r="A30" s="40">
        <v>13</v>
      </c>
      <c r="B30" s="32" t="s">
        <v>101</v>
      </c>
      <c r="C30" s="138" t="s">
        <v>102</v>
      </c>
      <c r="D30" s="32" t="s">
        <v>231</v>
      </c>
      <c r="E30" s="139">
        <v>1304.45</v>
      </c>
      <c r="F30" s="139">
        <f>SUM(E30*52/1000)</f>
        <v>67.831400000000002</v>
      </c>
      <c r="G30" s="139">
        <v>212.62</v>
      </c>
      <c r="H30" s="86">
        <f t="shared" ref="H30:H34" si="3">SUM(F30*G30/1000)</f>
        <v>14.422312268000001</v>
      </c>
      <c r="I30" s="13">
        <f>F30/6*G30</f>
        <v>2403.7187113333334</v>
      </c>
      <c r="J30" s="22"/>
      <c r="K30" s="8"/>
      <c r="L30" s="8"/>
      <c r="M30" s="8"/>
    </row>
    <row r="31" spans="1:13" ht="31.5" customHeight="1">
      <c r="A31" s="40">
        <v>14</v>
      </c>
      <c r="B31" s="32" t="s">
        <v>140</v>
      </c>
      <c r="C31" s="138" t="s">
        <v>102</v>
      </c>
      <c r="D31" s="32" t="s">
        <v>231</v>
      </c>
      <c r="E31" s="139">
        <v>287.83999999999997</v>
      </c>
      <c r="F31" s="139">
        <f>SUM(E31*52/1000)</f>
        <v>14.967679999999998</v>
      </c>
      <c r="G31" s="139">
        <v>352.77</v>
      </c>
      <c r="H31" s="86">
        <f t="shared" si="3"/>
        <v>5.2801484735999997</v>
      </c>
      <c r="I31" s="13">
        <f t="shared" ref="I31" si="4">F31/6*G31</f>
        <v>880.02474559999985</v>
      </c>
      <c r="J31" s="22"/>
      <c r="K31" s="8"/>
      <c r="L31" s="8"/>
      <c r="M31" s="8"/>
    </row>
    <row r="32" spans="1:13" ht="15.75" customHeight="1">
      <c r="A32" s="40">
        <v>15</v>
      </c>
      <c r="B32" s="32" t="s">
        <v>28</v>
      </c>
      <c r="C32" s="138" t="s">
        <v>102</v>
      </c>
      <c r="D32" s="32" t="s">
        <v>233</v>
      </c>
      <c r="E32" s="139">
        <v>1304.45</v>
      </c>
      <c r="F32" s="139">
        <f>SUM(E32/1000)</f>
        <v>1.3044500000000001</v>
      </c>
      <c r="G32" s="139">
        <v>4119.68</v>
      </c>
      <c r="H32" s="86">
        <f t="shared" si="3"/>
        <v>5.3739165760000009</v>
      </c>
      <c r="I32" s="13">
        <f>F32*G32</f>
        <v>5373.9165760000005</v>
      </c>
      <c r="J32" s="22"/>
      <c r="K32" s="8"/>
      <c r="L32" s="8"/>
      <c r="M32" s="8"/>
    </row>
    <row r="33" spans="1:14" ht="15.75" hidden="1" customHeight="1">
      <c r="A33" s="40">
        <v>4</v>
      </c>
      <c r="B33" s="82" t="s">
        <v>63</v>
      </c>
      <c r="C33" s="83" t="s">
        <v>33</v>
      </c>
      <c r="D33" s="82" t="s">
        <v>65</v>
      </c>
      <c r="E33" s="84"/>
      <c r="F33" s="85">
        <v>3</v>
      </c>
      <c r="G33" s="85">
        <v>191.32</v>
      </c>
      <c r="H33" s="86">
        <f t="shared" si="3"/>
        <v>0.57396000000000003</v>
      </c>
      <c r="I33" s="13">
        <v>0</v>
      </c>
      <c r="J33" s="23"/>
    </row>
    <row r="34" spans="1:14" ht="15.75" hidden="1" customHeight="1">
      <c r="A34" s="29">
        <v>8</v>
      </c>
      <c r="B34" s="82" t="s">
        <v>64</v>
      </c>
      <c r="C34" s="83" t="s">
        <v>32</v>
      </c>
      <c r="D34" s="82" t="s">
        <v>65</v>
      </c>
      <c r="E34" s="84"/>
      <c r="F34" s="85">
        <v>2</v>
      </c>
      <c r="G34" s="85">
        <v>1136.32</v>
      </c>
      <c r="H34" s="86">
        <f t="shared" si="3"/>
        <v>2.27264</v>
      </c>
      <c r="I34" s="13">
        <v>0</v>
      </c>
      <c r="J34" s="23"/>
    </row>
    <row r="35" spans="1:14" ht="15.75" hidden="1" customHeight="1">
      <c r="A35" s="40"/>
      <c r="B35" s="48" t="s">
        <v>5</v>
      </c>
      <c r="C35" s="48"/>
      <c r="D35" s="48"/>
      <c r="E35" s="13"/>
      <c r="F35" s="13"/>
      <c r="G35" s="14"/>
      <c r="H35" s="14"/>
      <c r="I35" s="18"/>
      <c r="J35" s="23"/>
    </row>
    <row r="36" spans="1:14" ht="15.75" hidden="1" customHeight="1">
      <c r="A36" s="33">
        <v>6</v>
      </c>
      <c r="B36" s="82" t="s">
        <v>27</v>
      </c>
      <c r="C36" s="83" t="s">
        <v>32</v>
      </c>
      <c r="D36" s="82"/>
      <c r="E36" s="84"/>
      <c r="F36" s="85">
        <v>10</v>
      </c>
      <c r="G36" s="85">
        <v>1527.22</v>
      </c>
      <c r="H36" s="86">
        <f t="shared" ref="H36:H43" si="5">SUM(F36*G36/1000)</f>
        <v>15.272200000000002</v>
      </c>
      <c r="I36" s="13">
        <f>F36/6*G36</f>
        <v>2545.3666666666668</v>
      </c>
      <c r="J36" s="23"/>
    </row>
    <row r="37" spans="1:14" ht="15.75" hidden="1" customHeight="1">
      <c r="A37" s="33">
        <v>7</v>
      </c>
      <c r="B37" s="82" t="s">
        <v>123</v>
      </c>
      <c r="C37" s="83" t="s">
        <v>30</v>
      </c>
      <c r="D37" s="82" t="s">
        <v>124</v>
      </c>
      <c r="E37" s="85">
        <v>495</v>
      </c>
      <c r="F37" s="85">
        <f>SUM(E37*12/1000)</f>
        <v>5.94</v>
      </c>
      <c r="G37" s="85">
        <v>2102.71</v>
      </c>
      <c r="H37" s="86">
        <f t="shared" si="5"/>
        <v>12.4900974</v>
      </c>
      <c r="I37" s="13">
        <f>F37/6*G37</f>
        <v>2081.6829000000002</v>
      </c>
      <c r="J37" s="23"/>
    </row>
    <row r="38" spans="1:14" ht="15.75" hidden="1" customHeight="1">
      <c r="A38" s="33">
        <v>8</v>
      </c>
      <c r="B38" s="82" t="s">
        <v>125</v>
      </c>
      <c r="C38" s="83" t="s">
        <v>30</v>
      </c>
      <c r="D38" s="82" t="s">
        <v>106</v>
      </c>
      <c r="E38" s="84">
        <v>287.83999999999997</v>
      </c>
      <c r="F38" s="85">
        <v>8.64</v>
      </c>
      <c r="G38" s="85">
        <v>2102.71</v>
      </c>
      <c r="H38" s="86">
        <f>G38*F38/1000</f>
        <v>18.167414400000002</v>
      </c>
      <c r="I38" s="13">
        <f>F38/6*G38</f>
        <v>3027.9024000000004</v>
      </c>
      <c r="J38" s="23"/>
    </row>
    <row r="39" spans="1:14" ht="15.75" hidden="1" customHeight="1">
      <c r="A39" s="33">
        <v>7</v>
      </c>
      <c r="B39" s="82" t="s">
        <v>87</v>
      </c>
      <c r="C39" s="83" t="s">
        <v>126</v>
      </c>
      <c r="D39" s="82" t="s">
        <v>65</v>
      </c>
      <c r="E39" s="84"/>
      <c r="F39" s="85">
        <v>80</v>
      </c>
      <c r="G39" s="85">
        <v>199.44</v>
      </c>
      <c r="H39" s="86">
        <f>G39*F39/1000</f>
        <v>15.955200000000001</v>
      </c>
      <c r="I39" s="13">
        <v>0</v>
      </c>
      <c r="J39" s="23"/>
    </row>
    <row r="40" spans="1:14" ht="15.75" hidden="1" customHeight="1">
      <c r="A40" s="33">
        <v>9</v>
      </c>
      <c r="B40" s="82" t="s">
        <v>66</v>
      </c>
      <c r="C40" s="83" t="s">
        <v>30</v>
      </c>
      <c r="D40" s="82" t="s">
        <v>107</v>
      </c>
      <c r="E40" s="85">
        <v>287.83999999999997</v>
      </c>
      <c r="F40" s="85">
        <f>SUM(E40*155/1000)</f>
        <v>44.615199999999994</v>
      </c>
      <c r="G40" s="85">
        <v>350.75</v>
      </c>
      <c r="H40" s="86">
        <f t="shared" si="5"/>
        <v>15.648781399999997</v>
      </c>
      <c r="I40" s="13">
        <f>F40/6*G40</f>
        <v>2608.1302333333329</v>
      </c>
      <c r="J40" s="23"/>
    </row>
    <row r="41" spans="1:14" ht="47.25" hidden="1" customHeight="1">
      <c r="A41" s="33">
        <v>10</v>
      </c>
      <c r="B41" s="82" t="s">
        <v>79</v>
      </c>
      <c r="C41" s="83" t="s">
        <v>102</v>
      </c>
      <c r="D41" s="82" t="s">
        <v>127</v>
      </c>
      <c r="E41" s="85">
        <v>89.43</v>
      </c>
      <c r="F41" s="85">
        <f>SUM(E41*24/1000)</f>
        <v>2.1463200000000002</v>
      </c>
      <c r="G41" s="85">
        <v>5803.28</v>
      </c>
      <c r="H41" s="86">
        <f t="shared" si="5"/>
        <v>12.455695929600001</v>
      </c>
      <c r="I41" s="13">
        <f>F41/6*G41</f>
        <v>2075.9493216000001</v>
      </c>
      <c r="J41" s="23"/>
      <c r="L41" s="19"/>
      <c r="M41" s="20"/>
      <c r="N41" s="21"/>
    </row>
    <row r="42" spans="1:14" ht="15.75" hidden="1" customHeight="1">
      <c r="A42" s="33">
        <v>11</v>
      </c>
      <c r="B42" s="82" t="s">
        <v>108</v>
      </c>
      <c r="C42" s="83" t="s">
        <v>102</v>
      </c>
      <c r="D42" s="82" t="s">
        <v>67</v>
      </c>
      <c r="E42" s="85">
        <v>130.08000000000001</v>
      </c>
      <c r="F42" s="85">
        <f>SUM(E42*45/1000)</f>
        <v>5.8536000000000001</v>
      </c>
      <c r="G42" s="85">
        <v>428.7</v>
      </c>
      <c r="H42" s="86">
        <f t="shared" si="5"/>
        <v>2.5094383200000001</v>
      </c>
      <c r="I42" s="13">
        <f>F42/6*G42</f>
        <v>418.23971999999998</v>
      </c>
      <c r="J42" s="23"/>
      <c r="L42" s="19"/>
      <c r="M42" s="20"/>
      <c r="N42" s="21"/>
    </row>
    <row r="43" spans="1:14" ht="15.75" hidden="1" customHeight="1">
      <c r="A43" s="33">
        <v>12</v>
      </c>
      <c r="B43" s="82" t="s">
        <v>68</v>
      </c>
      <c r="C43" s="83" t="s">
        <v>33</v>
      </c>
      <c r="D43" s="82"/>
      <c r="E43" s="84"/>
      <c r="F43" s="85">
        <v>0.9</v>
      </c>
      <c r="G43" s="85">
        <v>798</v>
      </c>
      <c r="H43" s="86">
        <f t="shared" si="5"/>
        <v>0.71820000000000006</v>
      </c>
      <c r="I43" s="13">
        <f>F43/6*G43</f>
        <v>119.69999999999999</v>
      </c>
      <c r="J43" s="23"/>
      <c r="L43" s="19"/>
      <c r="M43" s="20"/>
      <c r="N43" s="21"/>
    </row>
    <row r="44" spans="1:14" ht="15.75" customHeight="1">
      <c r="A44" s="224" t="s">
        <v>137</v>
      </c>
      <c r="B44" s="225"/>
      <c r="C44" s="225"/>
      <c r="D44" s="225"/>
      <c r="E44" s="225"/>
      <c r="F44" s="225"/>
      <c r="G44" s="225"/>
      <c r="H44" s="225"/>
      <c r="I44" s="226"/>
      <c r="J44" s="23"/>
      <c r="L44" s="19"/>
      <c r="M44" s="20"/>
      <c r="N44" s="21"/>
    </row>
    <row r="45" spans="1:14" ht="15.75" customHeight="1">
      <c r="A45" s="40">
        <v>16</v>
      </c>
      <c r="B45" s="32" t="s">
        <v>128</v>
      </c>
      <c r="C45" s="138" t="s">
        <v>102</v>
      </c>
      <c r="D45" s="32" t="s">
        <v>243</v>
      </c>
      <c r="E45" s="152">
        <v>1369</v>
      </c>
      <c r="F45" s="139">
        <f>SUM(E45*2/1000)</f>
        <v>2.738</v>
      </c>
      <c r="G45" s="36">
        <v>1158.7</v>
      </c>
      <c r="H45" s="86">
        <f t="shared" ref="H45:H53" si="6">SUM(F45*G45/1000)</f>
        <v>3.1725206000000004</v>
      </c>
      <c r="I45" s="13">
        <f t="shared" ref="I45:I47" si="7">F45/2*G45</f>
        <v>1586.2603000000001</v>
      </c>
      <c r="J45" s="23"/>
      <c r="L45" s="19"/>
      <c r="M45" s="20"/>
      <c r="N45" s="21"/>
    </row>
    <row r="46" spans="1:14" ht="15.75" customHeight="1">
      <c r="A46" s="40">
        <v>17</v>
      </c>
      <c r="B46" s="32" t="s">
        <v>222</v>
      </c>
      <c r="C46" s="138" t="s">
        <v>102</v>
      </c>
      <c r="D46" s="32" t="s">
        <v>243</v>
      </c>
      <c r="E46" s="152">
        <v>185.3</v>
      </c>
      <c r="F46" s="139">
        <f>SUM(E46*2/1000)</f>
        <v>0.37060000000000004</v>
      </c>
      <c r="G46" s="36">
        <v>790.38</v>
      </c>
      <c r="H46" s="86">
        <f t="shared" si="6"/>
        <v>0.29291482800000007</v>
      </c>
      <c r="I46" s="13">
        <f t="shared" si="7"/>
        <v>146.45741400000003</v>
      </c>
      <c r="J46" s="23"/>
      <c r="L46" s="19"/>
      <c r="M46" s="20"/>
      <c r="N46" s="21"/>
    </row>
    <row r="47" spans="1:14" ht="15.75" customHeight="1">
      <c r="A47" s="40">
        <v>18</v>
      </c>
      <c r="B47" s="32" t="s">
        <v>35</v>
      </c>
      <c r="C47" s="138" t="s">
        <v>102</v>
      </c>
      <c r="D47" s="32" t="s">
        <v>243</v>
      </c>
      <c r="E47" s="152">
        <v>4985.21</v>
      </c>
      <c r="F47" s="139">
        <f>SUM(E47*2/1000)</f>
        <v>9.9704200000000007</v>
      </c>
      <c r="G47" s="36">
        <v>790.38</v>
      </c>
      <c r="H47" s="86">
        <f t="shared" si="6"/>
        <v>7.8804205596000001</v>
      </c>
      <c r="I47" s="13">
        <f t="shared" si="7"/>
        <v>3940.2102798000001</v>
      </c>
      <c r="J47" s="23"/>
      <c r="L47" s="19"/>
      <c r="M47" s="20"/>
      <c r="N47" s="21"/>
    </row>
    <row r="48" spans="1:14" ht="15.75" customHeight="1">
      <c r="A48" s="40">
        <v>19</v>
      </c>
      <c r="B48" s="32" t="s">
        <v>36</v>
      </c>
      <c r="C48" s="138" t="s">
        <v>102</v>
      </c>
      <c r="D48" s="32" t="s">
        <v>243</v>
      </c>
      <c r="E48" s="152">
        <v>2474</v>
      </c>
      <c r="F48" s="139">
        <f>SUM(E48*2/1000)</f>
        <v>4.9480000000000004</v>
      </c>
      <c r="G48" s="36">
        <v>827.65</v>
      </c>
      <c r="H48" s="86">
        <f t="shared" si="6"/>
        <v>4.0952122000000006</v>
      </c>
      <c r="I48" s="13">
        <f>F48/2*G48</f>
        <v>2047.6061000000002</v>
      </c>
      <c r="J48" s="23"/>
      <c r="L48" s="19"/>
      <c r="M48" s="20"/>
      <c r="N48" s="21"/>
    </row>
    <row r="49" spans="1:14" ht="15.75" customHeight="1">
      <c r="A49" s="40">
        <v>20</v>
      </c>
      <c r="B49" s="32" t="s">
        <v>54</v>
      </c>
      <c r="C49" s="138" t="s">
        <v>102</v>
      </c>
      <c r="D49" s="32" t="s">
        <v>243</v>
      </c>
      <c r="E49" s="152">
        <v>5162.6000000000004</v>
      </c>
      <c r="F49" s="139">
        <f>SUM(E49*5/1000)</f>
        <v>25.812999999999999</v>
      </c>
      <c r="G49" s="36">
        <v>1655.27</v>
      </c>
      <c r="H49" s="86">
        <f t="shared" si="6"/>
        <v>42.727484509999996</v>
      </c>
      <c r="I49" s="13">
        <f>F49/5*G49</f>
        <v>8545.496901999999</v>
      </c>
      <c r="J49" s="23"/>
      <c r="L49" s="19"/>
      <c r="M49" s="20"/>
      <c r="N49" s="21"/>
    </row>
    <row r="50" spans="1:14" ht="33" customHeight="1">
      <c r="A50" s="40">
        <v>21</v>
      </c>
      <c r="B50" s="32" t="s">
        <v>109</v>
      </c>
      <c r="C50" s="138" t="s">
        <v>102</v>
      </c>
      <c r="D50" s="32" t="s">
        <v>243</v>
      </c>
      <c r="E50" s="152">
        <v>5162.6000000000004</v>
      </c>
      <c r="F50" s="139">
        <f>SUM(E50*2/1000)</f>
        <v>10.325200000000001</v>
      </c>
      <c r="G50" s="36">
        <v>1655.27</v>
      </c>
      <c r="H50" s="86">
        <f t="shared" si="6"/>
        <v>17.090993804</v>
      </c>
      <c r="I50" s="13">
        <f>F50/2*G50</f>
        <v>8545.4969020000008</v>
      </c>
      <c r="J50" s="23"/>
      <c r="L50" s="19"/>
      <c r="M50" s="20"/>
      <c r="N50" s="21"/>
    </row>
    <row r="51" spans="1:14" ht="30.75" customHeight="1">
      <c r="A51" s="40">
        <v>22</v>
      </c>
      <c r="B51" s="32" t="s">
        <v>110</v>
      </c>
      <c r="C51" s="138" t="s">
        <v>37</v>
      </c>
      <c r="D51" s="32" t="s">
        <v>243</v>
      </c>
      <c r="E51" s="152">
        <v>40</v>
      </c>
      <c r="F51" s="139">
        <f>SUM(E51*2/100)</f>
        <v>0.8</v>
      </c>
      <c r="G51" s="36">
        <v>3724.37</v>
      </c>
      <c r="H51" s="86">
        <f t="shared" si="6"/>
        <v>2.9794960000000001</v>
      </c>
      <c r="I51" s="13">
        <f t="shared" ref="I51:I52" si="8">F51/2*G51</f>
        <v>1489.748</v>
      </c>
      <c r="J51" s="23"/>
      <c r="L51" s="19"/>
      <c r="M51" s="20"/>
      <c r="N51" s="21"/>
    </row>
    <row r="52" spans="1:14" ht="21" customHeight="1">
      <c r="A52" s="40">
        <v>23</v>
      </c>
      <c r="B52" s="32" t="s">
        <v>38</v>
      </c>
      <c r="C52" s="138" t="s">
        <v>39</v>
      </c>
      <c r="D52" s="32" t="s">
        <v>243</v>
      </c>
      <c r="E52" s="152">
        <v>1</v>
      </c>
      <c r="F52" s="139">
        <v>0.02</v>
      </c>
      <c r="G52" s="36">
        <v>7709.44</v>
      </c>
      <c r="H52" s="86">
        <f t="shared" si="6"/>
        <v>0.15418879999999999</v>
      </c>
      <c r="I52" s="13">
        <f t="shared" si="8"/>
        <v>77.094399999999993</v>
      </c>
      <c r="J52" s="23"/>
      <c r="L52" s="19"/>
      <c r="M52" s="20"/>
      <c r="N52" s="21"/>
    </row>
    <row r="53" spans="1:14" ht="21.75" customHeight="1">
      <c r="A53" s="40">
        <v>24</v>
      </c>
      <c r="B53" s="32" t="s">
        <v>40</v>
      </c>
      <c r="C53" s="138" t="s">
        <v>111</v>
      </c>
      <c r="D53" s="183">
        <v>43616</v>
      </c>
      <c r="E53" s="152">
        <v>238</v>
      </c>
      <c r="F53" s="139">
        <f>SUM(E53)*3</f>
        <v>714</v>
      </c>
      <c r="G53" s="172">
        <v>89.59</v>
      </c>
      <c r="H53" s="86">
        <f t="shared" si="6"/>
        <v>63.967260000000003</v>
      </c>
      <c r="I53" s="13">
        <f>E53*G53</f>
        <v>21322.420000000002</v>
      </c>
      <c r="J53" s="23"/>
      <c r="L53" s="19"/>
      <c r="M53" s="20"/>
      <c r="N53" s="21"/>
    </row>
    <row r="54" spans="1:14" ht="15.75" customHeight="1">
      <c r="A54" s="224" t="s">
        <v>138</v>
      </c>
      <c r="B54" s="225"/>
      <c r="C54" s="225"/>
      <c r="D54" s="225"/>
      <c r="E54" s="225"/>
      <c r="F54" s="225"/>
      <c r="G54" s="225"/>
      <c r="H54" s="225"/>
      <c r="I54" s="226"/>
      <c r="J54" s="23"/>
      <c r="L54" s="19"/>
      <c r="M54" s="20"/>
      <c r="N54" s="21"/>
    </row>
    <row r="55" spans="1:14" ht="15.75" hidden="1" customHeight="1">
      <c r="A55" s="174"/>
      <c r="B55" s="47" t="s">
        <v>42</v>
      </c>
      <c r="C55" s="16"/>
      <c r="D55" s="15"/>
      <c r="E55" s="15"/>
      <c r="F55" s="15"/>
      <c r="G55" s="29"/>
      <c r="H55" s="29"/>
      <c r="I55" s="18"/>
      <c r="J55" s="23"/>
      <c r="L55" s="19"/>
      <c r="M55" s="20"/>
      <c r="N55" s="21"/>
    </row>
    <row r="56" spans="1:14" ht="31.5" hidden="1" customHeight="1">
      <c r="A56" s="40">
        <v>16</v>
      </c>
      <c r="B56" s="82" t="s">
        <v>112</v>
      </c>
      <c r="C56" s="83" t="s">
        <v>89</v>
      </c>
      <c r="D56" s="82" t="s">
        <v>113</v>
      </c>
      <c r="E56" s="84">
        <v>176.9</v>
      </c>
      <c r="F56" s="85">
        <f>SUM(E56*6/100)</f>
        <v>10.614000000000001</v>
      </c>
      <c r="G56" s="13">
        <v>1547.28</v>
      </c>
      <c r="H56" s="86">
        <f>SUM(F56*G56/1000)</f>
        <v>16.422829920000002</v>
      </c>
      <c r="I56" s="13">
        <f>F56/6*G56</f>
        <v>2737.13832</v>
      </c>
      <c r="J56" s="23"/>
      <c r="L56" s="19"/>
      <c r="M56" s="20"/>
      <c r="N56" s="21"/>
    </row>
    <row r="57" spans="1:14" ht="15.75" hidden="1" customHeight="1">
      <c r="A57" s="40">
        <v>17</v>
      </c>
      <c r="B57" s="82" t="s">
        <v>129</v>
      </c>
      <c r="C57" s="83" t="s">
        <v>89</v>
      </c>
      <c r="D57" s="82" t="s">
        <v>113</v>
      </c>
      <c r="E57" s="77">
        <v>56</v>
      </c>
      <c r="F57" s="90">
        <v>3.36</v>
      </c>
      <c r="G57" s="85">
        <v>1547.28</v>
      </c>
      <c r="H57" s="86">
        <f>F57*G57/1000</f>
        <v>5.1988607999999994</v>
      </c>
      <c r="I57" s="13">
        <f>F57/6*G57</f>
        <v>866.47679999999991</v>
      </c>
      <c r="J57" s="23"/>
      <c r="L57" s="19"/>
      <c r="M57" s="20"/>
      <c r="N57" s="21"/>
    </row>
    <row r="58" spans="1:14" ht="15.75" hidden="1" customHeight="1">
      <c r="A58" s="40"/>
      <c r="B58" s="82" t="s">
        <v>130</v>
      </c>
      <c r="C58" s="83" t="s">
        <v>131</v>
      </c>
      <c r="D58" s="82" t="s">
        <v>41</v>
      </c>
      <c r="E58" s="91">
        <v>8</v>
      </c>
      <c r="F58" s="13">
        <v>16</v>
      </c>
      <c r="G58" s="85">
        <v>180.78</v>
      </c>
      <c r="H58" s="86">
        <f>SUM(F58*G58/1000)</f>
        <v>2.8924799999999999</v>
      </c>
      <c r="I58" s="13">
        <v>0</v>
      </c>
      <c r="J58" s="23"/>
      <c r="L58" s="19"/>
      <c r="M58" s="20"/>
      <c r="N58" s="21"/>
    </row>
    <row r="59" spans="1:14" ht="15.75" customHeight="1">
      <c r="A59" s="40"/>
      <c r="B59" s="173" t="s">
        <v>43</v>
      </c>
      <c r="C59" s="173"/>
      <c r="D59" s="173"/>
      <c r="E59" s="173"/>
      <c r="F59" s="173"/>
      <c r="G59" s="173"/>
      <c r="H59" s="173"/>
      <c r="I59" s="35"/>
      <c r="J59" s="23"/>
      <c r="L59" s="19"/>
      <c r="M59" s="20"/>
      <c r="N59" s="21"/>
    </row>
    <row r="60" spans="1:14" ht="15.75" hidden="1" customHeight="1">
      <c r="A60" s="40">
        <v>27</v>
      </c>
      <c r="B60" s="82" t="s">
        <v>142</v>
      </c>
      <c r="C60" s="83"/>
      <c r="D60" s="82" t="s">
        <v>52</v>
      </c>
      <c r="E60" s="84">
        <v>1349.3</v>
      </c>
      <c r="F60" s="86">
        <v>13.493</v>
      </c>
      <c r="G60" s="13">
        <v>793.61</v>
      </c>
      <c r="H60" s="92">
        <f>F60*G60/1000</f>
        <v>10.708179729999999</v>
      </c>
      <c r="I60" s="13">
        <v>0</v>
      </c>
      <c r="J60" s="23"/>
      <c r="L60" s="19"/>
      <c r="M60" s="20"/>
      <c r="N60" s="21"/>
    </row>
    <row r="61" spans="1:14" ht="15.75" customHeight="1">
      <c r="A61" s="40">
        <v>25</v>
      </c>
      <c r="B61" s="93" t="s">
        <v>88</v>
      </c>
      <c r="C61" s="94" t="s">
        <v>26</v>
      </c>
      <c r="D61" s="93"/>
      <c r="E61" s="95">
        <v>270</v>
      </c>
      <c r="F61" s="96">
        <f>E61*12</f>
        <v>3240</v>
      </c>
      <c r="G61" s="97">
        <v>1.4</v>
      </c>
      <c r="H61" s="98">
        <f>F61*G61</f>
        <v>4536</v>
      </c>
      <c r="I61" s="13">
        <f>2400/12*G61</f>
        <v>280</v>
      </c>
      <c r="J61" s="23"/>
      <c r="L61" s="19"/>
      <c r="M61" s="20"/>
      <c r="N61" s="21"/>
    </row>
    <row r="62" spans="1:14" ht="15.75" hidden="1" customHeight="1">
      <c r="A62" s="40"/>
      <c r="B62" s="173" t="s">
        <v>44</v>
      </c>
      <c r="C62" s="16"/>
      <c r="D62" s="37"/>
      <c r="E62" s="15"/>
      <c r="F62" s="15"/>
      <c r="G62" s="29"/>
      <c r="H62" s="29"/>
      <c r="I62" s="18"/>
      <c r="J62" s="23"/>
      <c r="L62" s="19"/>
    </row>
    <row r="63" spans="1:14" ht="15.75" hidden="1" customHeight="1">
      <c r="A63" s="40">
        <v>24</v>
      </c>
      <c r="B63" s="99" t="s">
        <v>45</v>
      </c>
      <c r="C63" s="16" t="s">
        <v>111</v>
      </c>
      <c r="D63" s="99" t="s">
        <v>65</v>
      </c>
      <c r="E63" s="18">
        <v>40</v>
      </c>
      <c r="F63" s="85">
        <v>40</v>
      </c>
      <c r="G63" s="13">
        <v>222.4</v>
      </c>
      <c r="H63" s="100">
        <f t="shared" ref="H63:H70" si="9">SUM(F63*G63/1000)</f>
        <v>8.8960000000000008</v>
      </c>
      <c r="I63" s="13">
        <f>G63</f>
        <v>222.4</v>
      </c>
    </row>
    <row r="64" spans="1:14" ht="15.75" hidden="1" customHeight="1">
      <c r="A64" s="29">
        <v>29</v>
      </c>
      <c r="B64" s="99" t="s">
        <v>46</v>
      </c>
      <c r="C64" s="16" t="s">
        <v>111</v>
      </c>
      <c r="D64" s="99" t="s">
        <v>65</v>
      </c>
      <c r="E64" s="18">
        <v>20</v>
      </c>
      <c r="F64" s="85">
        <v>20</v>
      </c>
      <c r="G64" s="13">
        <v>76.25</v>
      </c>
      <c r="H64" s="100">
        <f t="shared" si="9"/>
        <v>1.5249999999999999</v>
      </c>
      <c r="I64" s="13">
        <v>0</v>
      </c>
    </row>
    <row r="65" spans="1:22" ht="15.75" hidden="1" customHeight="1">
      <c r="A65" s="29">
        <v>27</v>
      </c>
      <c r="B65" s="151" t="s">
        <v>47</v>
      </c>
      <c r="C65" s="176" t="s">
        <v>114</v>
      </c>
      <c r="D65" s="37" t="s">
        <v>52</v>
      </c>
      <c r="E65" s="152">
        <v>18890</v>
      </c>
      <c r="F65" s="172">
        <f>SUM(E65/100)</f>
        <v>188.9</v>
      </c>
      <c r="G65" s="36">
        <v>289.37</v>
      </c>
      <c r="H65" s="100">
        <f t="shared" si="9"/>
        <v>54.661993000000002</v>
      </c>
      <c r="I65" s="13">
        <f>F65*G65</f>
        <v>54661.993000000002</v>
      </c>
    </row>
    <row r="66" spans="1:22" ht="15.75" hidden="1" customHeight="1">
      <c r="A66" s="29">
        <v>28</v>
      </c>
      <c r="B66" s="151" t="s">
        <v>48</v>
      </c>
      <c r="C66" s="38" t="s">
        <v>115</v>
      </c>
      <c r="D66" s="37"/>
      <c r="E66" s="152">
        <v>18890</v>
      </c>
      <c r="F66" s="36">
        <f>SUM(E66/1000)</f>
        <v>18.89</v>
      </c>
      <c r="G66" s="36">
        <v>225.35</v>
      </c>
      <c r="H66" s="100">
        <f t="shared" si="9"/>
        <v>4.2568615000000003</v>
      </c>
      <c r="I66" s="13">
        <f t="shared" ref="I66:I69" si="10">F66*G66</f>
        <v>4256.8615</v>
      </c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9"/>
    </row>
    <row r="67" spans="1:22" ht="15.75" hidden="1" customHeight="1">
      <c r="A67" s="29">
        <v>29</v>
      </c>
      <c r="B67" s="151" t="s">
        <v>49</v>
      </c>
      <c r="C67" s="38" t="s">
        <v>75</v>
      </c>
      <c r="D67" s="37" t="s">
        <v>52</v>
      </c>
      <c r="E67" s="152">
        <v>3004</v>
      </c>
      <c r="F67" s="36">
        <f>SUM(E67/100)</f>
        <v>30.04</v>
      </c>
      <c r="G67" s="36">
        <v>2829.78</v>
      </c>
      <c r="H67" s="100">
        <f t="shared" si="9"/>
        <v>85.006591200000017</v>
      </c>
      <c r="I67" s="13">
        <f t="shared" si="10"/>
        <v>85006.59120000001</v>
      </c>
      <c r="J67" s="25"/>
      <c r="K67" s="25"/>
      <c r="L67" s="3"/>
      <c r="M67" s="3"/>
      <c r="N67" s="3"/>
      <c r="O67" s="3"/>
      <c r="P67" s="3"/>
      <c r="Q67" s="3"/>
      <c r="R67" s="3"/>
      <c r="S67" s="3"/>
      <c r="T67" s="3"/>
      <c r="U67" s="3"/>
    </row>
    <row r="68" spans="1:22" ht="15.75" hidden="1" customHeight="1">
      <c r="A68" s="29">
        <v>30</v>
      </c>
      <c r="B68" s="177" t="s">
        <v>116</v>
      </c>
      <c r="C68" s="38" t="s">
        <v>33</v>
      </c>
      <c r="D68" s="37"/>
      <c r="E68" s="152">
        <v>16.2</v>
      </c>
      <c r="F68" s="36">
        <f>SUM(E68)</f>
        <v>16.2</v>
      </c>
      <c r="G68" s="36">
        <v>46.08</v>
      </c>
      <c r="H68" s="100">
        <f t="shared" si="9"/>
        <v>0.74649599999999994</v>
      </c>
      <c r="I68" s="13">
        <f t="shared" si="10"/>
        <v>746.49599999999998</v>
      </c>
      <c r="J68" s="3"/>
      <c r="K68" s="3"/>
      <c r="L68" s="3"/>
      <c r="M68" s="3"/>
      <c r="N68" s="3"/>
      <c r="O68" s="3"/>
      <c r="P68" s="3"/>
      <c r="Q68" s="3"/>
      <c r="S68" s="3"/>
      <c r="T68" s="3"/>
      <c r="U68" s="3"/>
    </row>
    <row r="69" spans="1:22" ht="15.75" hidden="1" customHeight="1">
      <c r="A69" s="29">
        <v>31</v>
      </c>
      <c r="B69" s="177" t="s">
        <v>117</v>
      </c>
      <c r="C69" s="38" t="s">
        <v>33</v>
      </c>
      <c r="D69" s="37"/>
      <c r="E69" s="152">
        <v>16.2</v>
      </c>
      <c r="F69" s="36">
        <f>SUM(E69)</f>
        <v>16.2</v>
      </c>
      <c r="G69" s="36">
        <v>49.7</v>
      </c>
      <c r="H69" s="100">
        <f t="shared" si="9"/>
        <v>0.80513999999999997</v>
      </c>
      <c r="I69" s="13">
        <f t="shared" si="10"/>
        <v>805.14</v>
      </c>
      <c r="J69" s="5"/>
      <c r="K69" s="5"/>
      <c r="L69" s="5"/>
      <c r="M69" s="5"/>
      <c r="N69" s="5"/>
      <c r="O69" s="5"/>
      <c r="P69" s="5"/>
      <c r="Q69" s="5"/>
      <c r="R69" s="199"/>
      <c r="S69" s="199"/>
      <c r="T69" s="199"/>
      <c r="U69" s="199"/>
    </row>
    <row r="70" spans="1:22" ht="10.5" hidden="1" customHeight="1">
      <c r="A70" s="29">
        <v>13</v>
      </c>
      <c r="B70" s="99" t="s">
        <v>55</v>
      </c>
      <c r="C70" s="16" t="s">
        <v>56</v>
      </c>
      <c r="D70" s="99" t="s">
        <v>52</v>
      </c>
      <c r="E70" s="18">
        <v>15</v>
      </c>
      <c r="F70" s="85">
        <v>15</v>
      </c>
      <c r="G70" s="13">
        <v>49.88</v>
      </c>
      <c r="H70" s="100">
        <f t="shared" si="9"/>
        <v>0.74820000000000009</v>
      </c>
      <c r="I70" s="13">
        <v>0</v>
      </c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1" spans="1:22" ht="17.25" customHeight="1">
      <c r="A71" s="29"/>
      <c r="B71" s="162" t="s">
        <v>181</v>
      </c>
      <c r="C71" s="38"/>
      <c r="D71" s="37"/>
      <c r="E71" s="17"/>
      <c r="F71" s="117"/>
      <c r="G71" s="36"/>
      <c r="H71" s="100"/>
      <c r="I71" s="13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2" ht="37.5" customHeight="1">
      <c r="A72" s="29">
        <v>26</v>
      </c>
      <c r="B72" s="37" t="s">
        <v>182</v>
      </c>
      <c r="C72" s="40" t="s">
        <v>183</v>
      </c>
      <c r="D72" s="37"/>
      <c r="E72" s="17">
        <v>5162.6000000000004</v>
      </c>
      <c r="F72" s="36">
        <f>E72*12</f>
        <v>61951.200000000004</v>
      </c>
      <c r="G72" s="36">
        <v>2.37</v>
      </c>
      <c r="H72" s="100"/>
      <c r="I72" s="13">
        <f>G72*F72/12</f>
        <v>12235.362000000001</v>
      </c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3" spans="1:22" ht="32.25" hidden="1" customHeight="1">
      <c r="A73" s="174"/>
      <c r="B73" s="173" t="s">
        <v>118</v>
      </c>
      <c r="C73" s="173"/>
      <c r="D73" s="173"/>
      <c r="E73" s="173"/>
      <c r="F73" s="173"/>
      <c r="G73" s="173"/>
      <c r="H73" s="173"/>
      <c r="I73" s="18"/>
    </row>
    <row r="74" spans="1:22" ht="17.25" hidden="1" customHeight="1">
      <c r="A74" s="29">
        <v>19</v>
      </c>
      <c r="B74" s="82" t="s">
        <v>119</v>
      </c>
      <c r="C74" s="16"/>
      <c r="D74" s="99"/>
      <c r="E74" s="77"/>
      <c r="F74" s="13">
        <v>1</v>
      </c>
      <c r="G74" s="13">
        <v>27865.200000000001</v>
      </c>
      <c r="H74" s="100">
        <f>G74*F74/1000</f>
        <v>27.865200000000002</v>
      </c>
      <c r="I74" s="13">
        <v>0</v>
      </c>
    </row>
    <row r="75" spans="1:22" ht="15" customHeight="1">
      <c r="A75" s="29"/>
      <c r="B75" s="48" t="s">
        <v>70</v>
      </c>
      <c r="C75" s="48"/>
      <c r="D75" s="48"/>
      <c r="E75" s="18"/>
      <c r="F75" s="18"/>
      <c r="G75" s="29"/>
      <c r="H75" s="29"/>
      <c r="I75" s="18"/>
    </row>
    <row r="76" spans="1:22" ht="29.25" hidden="1" customHeight="1">
      <c r="A76" s="29">
        <v>18</v>
      </c>
      <c r="B76" s="99" t="s">
        <v>71</v>
      </c>
      <c r="C76" s="16" t="s">
        <v>73</v>
      </c>
      <c r="D76" s="99"/>
      <c r="E76" s="18">
        <v>10</v>
      </c>
      <c r="F76" s="13">
        <v>1</v>
      </c>
      <c r="G76" s="13">
        <v>501.62</v>
      </c>
      <c r="H76" s="100">
        <f t="shared" ref="H76:H80" si="11">SUM(F76*G76/1000)</f>
        <v>0.50161999999999995</v>
      </c>
      <c r="I76" s="13">
        <f>G76*0.1</f>
        <v>50.162000000000006</v>
      </c>
    </row>
    <row r="77" spans="1:22" ht="24" hidden="1" customHeight="1">
      <c r="A77" s="29"/>
      <c r="B77" s="99" t="s">
        <v>132</v>
      </c>
      <c r="C77" s="16" t="s">
        <v>31</v>
      </c>
      <c r="D77" s="99"/>
      <c r="E77" s="18">
        <v>1</v>
      </c>
      <c r="F77" s="13">
        <v>1</v>
      </c>
      <c r="G77" s="13">
        <v>99.85</v>
      </c>
      <c r="H77" s="100">
        <f>F77*G77/1000</f>
        <v>9.9849999999999994E-2</v>
      </c>
      <c r="I77" s="13">
        <v>0</v>
      </c>
    </row>
    <row r="78" spans="1:22" ht="16.5" hidden="1" customHeight="1">
      <c r="A78" s="29"/>
      <c r="B78" s="99" t="s">
        <v>133</v>
      </c>
      <c r="C78" s="16" t="s">
        <v>31</v>
      </c>
      <c r="D78" s="99"/>
      <c r="E78" s="18">
        <v>1</v>
      </c>
      <c r="F78" s="13">
        <v>1</v>
      </c>
      <c r="G78" s="13">
        <v>120.26</v>
      </c>
      <c r="H78" s="100">
        <f>F78*G78/1000</f>
        <v>0.12026000000000001</v>
      </c>
      <c r="I78" s="13">
        <v>0</v>
      </c>
    </row>
    <row r="79" spans="1:22" ht="29.25" hidden="1" customHeight="1">
      <c r="A79" s="29">
        <v>19</v>
      </c>
      <c r="B79" s="99" t="s">
        <v>72</v>
      </c>
      <c r="C79" s="16" t="s">
        <v>31</v>
      </c>
      <c r="D79" s="99"/>
      <c r="E79" s="18">
        <v>2</v>
      </c>
      <c r="F79" s="97">
        <v>2</v>
      </c>
      <c r="G79" s="13">
        <v>852.99</v>
      </c>
      <c r="H79" s="100">
        <f>F79*G79/1000</f>
        <v>1.7059800000000001</v>
      </c>
      <c r="I79" s="13">
        <f>G79</f>
        <v>852.99</v>
      </c>
    </row>
    <row r="80" spans="1:22" ht="15.75" hidden="1" customHeight="1">
      <c r="A80" s="29">
        <v>17</v>
      </c>
      <c r="B80" s="99" t="s">
        <v>83</v>
      </c>
      <c r="C80" s="16" t="s">
        <v>111</v>
      </c>
      <c r="D80" s="99"/>
      <c r="E80" s="18">
        <v>1</v>
      </c>
      <c r="F80" s="85">
        <f>SUM(E80)</f>
        <v>1</v>
      </c>
      <c r="G80" s="13">
        <v>358.51</v>
      </c>
      <c r="H80" s="100">
        <f t="shared" si="11"/>
        <v>0.35851</v>
      </c>
      <c r="I80" s="13">
        <v>0</v>
      </c>
    </row>
    <row r="81" spans="1:9" ht="15.75" customHeight="1">
      <c r="A81" s="29">
        <v>27</v>
      </c>
      <c r="B81" s="37" t="s">
        <v>184</v>
      </c>
      <c r="C81" s="38" t="s">
        <v>111</v>
      </c>
      <c r="D81" s="37" t="s">
        <v>233</v>
      </c>
      <c r="E81" s="17">
        <v>1</v>
      </c>
      <c r="F81" s="36">
        <f>E81*12</f>
        <v>12</v>
      </c>
      <c r="G81" s="36">
        <v>55.55</v>
      </c>
      <c r="H81" s="13"/>
      <c r="I81" s="13">
        <f>G81*1</f>
        <v>55.55</v>
      </c>
    </row>
    <row r="82" spans="1:9" ht="12" hidden="1" customHeight="1">
      <c r="A82" s="29"/>
      <c r="B82" s="49" t="s">
        <v>74</v>
      </c>
      <c r="C82" s="38"/>
      <c r="D82" s="29"/>
      <c r="E82" s="18"/>
      <c r="F82" s="18"/>
      <c r="G82" s="36"/>
      <c r="H82" s="36"/>
      <c r="I82" s="18"/>
    </row>
    <row r="83" spans="1:9" ht="15.75" hidden="1" customHeight="1">
      <c r="A83" s="29">
        <v>29</v>
      </c>
      <c r="B83" s="51" t="s">
        <v>120</v>
      </c>
      <c r="C83" s="16" t="s">
        <v>75</v>
      </c>
      <c r="D83" s="99"/>
      <c r="E83" s="18"/>
      <c r="F83" s="13">
        <v>1.35</v>
      </c>
      <c r="G83" s="13">
        <v>2759.44</v>
      </c>
      <c r="H83" s="100">
        <f t="shared" ref="H83" si="12">SUM(F83*G83/1000)</f>
        <v>3.725244</v>
      </c>
      <c r="I83" s="13">
        <v>0</v>
      </c>
    </row>
    <row r="84" spans="1:9" ht="15.75" customHeight="1">
      <c r="A84" s="208" t="s">
        <v>139</v>
      </c>
      <c r="B84" s="209"/>
      <c r="C84" s="209"/>
      <c r="D84" s="209"/>
      <c r="E84" s="209"/>
      <c r="F84" s="209"/>
      <c r="G84" s="209"/>
      <c r="H84" s="209"/>
      <c r="I84" s="210"/>
    </row>
    <row r="85" spans="1:9" ht="15.75" customHeight="1">
      <c r="A85" s="29">
        <v>28</v>
      </c>
      <c r="B85" s="32" t="s">
        <v>121</v>
      </c>
      <c r="C85" s="38" t="s">
        <v>53</v>
      </c>
      <c r="D85" s="63"/>
      <c r="E85" s="36">
        <v>5162.6000000000004</v>
      </c>
      <c r="F85" s="36">
        <f>SUM(E85*12)</f>
        <v>61951.200000000004</v>
      </c>
      <c r="G85" s="36">
        <v>3.22</v>
      </c>
      <c r="H85" s="102">
        <f>SUM(F85*G85/1000)</f>
        <v>199.48286400000003</v>
      </c>
      <c r="I85" s="13">
        <f>F85/12*G85</f>
        <v>16623.572000000004</v>
      </c>
    </row>
    <row r="86" spans="1:9" ht="31.5" customHeight="1">
      <c r="A86" s="29">
        <v>29</v>
      </c>
      <c r="B86" s="37" t="s">
        <v>185</v>
      </c>
      <c r="C86" s="114" t="s">
        <v>186</v>
      </c>
      <c r="D86" s="37"/>
      <c r="E86" s="17">
        <v>5162.6000000000004</v>
      </c>
      <c r="F86" s="36">
        <f>E86*12</f>
        <v>61951.200000000004</v>
      </c>
      <c r="G86" s="36">
        <v>3.64</v>
      </c>
      <c r="H86" s="100">
        <f>F86*G86/1000</f>
        <v>225.50236800000002</v>
      </c>
      <c r="I86" s="13">
        <f>F86/12*G86</f>
        <v>18791.864000000001</v>
      </c>
    </row>
    <row r="87" spans="1:9" ht="15.75" customHeight="1">
      <c r="A87" s="174"/>
      <c r="B87" s="39" t="s">
        <v>78</v>
      </c>
      <c r="C87" s="40"/>
      <c r="D87" s="15"/>
      <c r="E87" s="15"/>
      <c r="F87" s="15"/>
      <c r="G87" s="18"/>
      <c r="H87" s="18"/>
      <c r="I87" s="31">
        <f>I86+I85+I81+I72+I61+I53+I52+I51+I50+I49+I48+I47+I46+I45+I32+I31+I30+I27+I26+I25+I24+I23+I22+I21+I20+I19+I18+I17+I16</f>
        <v>133566.21501040002</v>
      </c>
    </row>
    <row r="88" spans="1:9" ht="15.75" customHeight="1">
      <c r="A88" s="211" t="s">
        <v>250</v>
      </c>
      <c r="B88" s="212"/>
      <c r="C88" s="212"/>
      <c r="D88" s="212"/>
      <c r="E88" s="212"/>
      <c r="F88" s="212"/>
      <c r="G88" s="212"/>
      <c r="H88" s="212"/>
      <c r="I88" s="213"/>
    </row>
    <row r="89" spans="1:9" ht="30.75" customHeight="1">
      <c r="A89" s="29">
        <v>30</v>
      </c>
      <c r="B89" s="66" t="s">
        <v>190</v>
      </c>
      <c r="C89" s="67" t="s">
        <v>171</v>
      </c>
      <c r="D89" s="64"/>
      <c r="E89" s="36"/>
      <c r="F89" s="36">
        <f>160/3</f>
        <v>53.333333333333336</v>
      </c>
      <c r="G89" s="36">
        <v>1367</v>
      </c>
      <c r="H89" s="102">
        <f t="shared" ref="H89" si="13">G89*F89/1000</f>
        <v>72.906666666666666</v>
      </c>
      <c r="I89" s="13">
        <f>G89*5</f>
        <v>6835</v>
      </c>
    </row>
    <row r="90" spans="1:9" ht="30.75" customHeight="1">
      <c r="A90" s="29">
        <v>31</v>
      </c>
      <c r="B90" s="66" t="s">
        <v>223</v>
      </c>
      <c r="C90" s="67" t="s">
        <v>171</v>
      </c>
      <c r="D90" s="64"/>
      <c r="E90" s="36"/>
      <c r="F90" s="36"/>
      <c r="G90" s="36">
        <v>1320</v>
      </c>
      <c r="H90" s="102"/>
      <c r="I90" s="13">
        <f>G90*3</f>
        <v>3960</v>
      </c>
    </row>
    <row r="91" spans="1:9" ht="30" customHeight="1">
      <c r="A91" s="29">
        <v>32</v>
      </c>
      <c r="B91" s="66" t="s">
        <v>153</v>
      </c>
      <c r="C91" s="67" t="s">
        <v>154</v>
      </c>
      <c r="D91" s="64"/>
      <c r="E91" s="36"/>
      <c r="F91" s="36"/>
      <c r="G91" s="36">
        <v>644.72</v>
      </c>
      <c r="H91" s="102"/>
      <c r="I91" s="13">
        <f>G91*1</f>
        <v>644.72</v>
      </c>
    </row>
    <row r="92" spans="1:9" ht="17.25" customHeight="1">
      <c r="A92" s="29">
        <v>33</v>
      </c>
      <c r="B92" s="66" t="s">
        <v>143</v>
      </c>
      <c r="C92" s="67" t="s">
        <v>80</v>
      </c>
      <c r="D92" s="64"/>
      <c r="E92" s="36"/>
      <c r="F92" s="36"/>
      <c r="G92" s="36">
        <v>214.07</v>
      </c>
      <c r="H92" s="102"/>
      <c r="I92" s="13">
        <f>G92*1</f>
        <v>214.07</v>
      </c>
    </row>
    <row r="93" spans="1:9" ht="28.5" customHeight="1">
      <c r="A93" s="29">
        <v>34</v>
      </c>
      <c r="B93" s="66" t="s">
        <v>134</v>
      </c>
      <c r="C93" s="67" t="s">
        <v>37</v>
      </c>
      <c r="D93" s="64"/>
      <c r="E93" s="36"/>
      <c r="F93" s="36"/>
      <c r="G93" s="36">
        <v>3914.31</v>
      </c>
      <c r="H93" s="102"/>
      <c r="I93" s="13">
        <f>G93*0.01</f>
        <v>39.143099999999997</v>
      </c>
    </row>
    <row r="94" spans="1:9" ht="28.5" customHeight="1">
      <c r="A94" s="29">
        <v>35</v>
      </c>
      <c r="B94" s="66" t="s">
        <v>168</v>
      </c>
      <c r="C94" s="67" t="s">
        <v>169</v>
      </c>
      <c r="D94" s="64"/>
      <c r="E94" s="36"/>
      <c r="F94" s="36"/>
      <c r="G94" s="126">
        <v>26095.37</v>
      </c>
      <c r="H94" s="102"/>
      <c r="I94" s="13">
        <f>G94*0.02</f>
        <v>521.90739999999994</v>
      </c>
    </row>
    <row r="95" spans="1:9" ht="18" customHeight="1">
      <c r="A95" s="29">
        <v>36</v>
      </c>
      <c r="B95" s="66" t="s">
        <v>194</v>
      </c>
      <c r="C95" s="67" t="s">
        <v>171</v>
      </c>
      <c r="D95" s="64"/>
      <c r="E95" s="36"/>
      <c r="F95" s="36"/>
      <c r="G95" s="36">
        <v>273</v>
      </c>
      <c r="H95" s="102"/>
      <c r="I95" s="13">
        <f>G95*10</f>
        <v>2730</v>
      </c>
    </row>
    <row r="96" spans="1:9" ht="15.75" customHeight="1">
      <c r="A96" s="29"/>
      <c r="B96" s="45" t="s">
        <v>50</v>
      </c>
      <c r="C96" s="41"/>
      <c r="D96" s="53"/>
      <c r="E96" s="41">
        <v>1</v>
      </c>
      <c r="F96" s="41"/>
      <c r="G96" s="41"/>
      <c r="H96" s="41"/>
      <c r="I96" s="31">
        <f>SUM(I89:I95)</f>
        <v>14944.840499999998</v>
      </c>
    </row>
    <row r="97" spans="1:9" ht="15.75" customHeight="1">
      <c r="A97" s="29"/>
      <c r="B97" s="51" t="s">
        <v>76</v>
      </c>
      <c r="C97" s="15"/>
      <c r="D97" s="15"/>
      <c r="E97" s="42"/>
      <c r="F97" s="42"/>
      <c r="G97" s="43"/>
      <c r="H97" s="43"/>
      <c r="I97" s="17">
        <v>0</v>
      </c>
    </row>
    <row r="98" spans="1:9" ht="15.75" customHeight="1">
      <c r="A98" s="54"/>
      <c r="B98" s="46" t="s">
        <v>144</v>
      </c>
      <c r="C98" s="34"/>
      <c r="D98" s="34"/>
      <c r="E98" s="34"/>
      <c r="F98" s="34"/>
      <c r="G98" s="34"/>
      <c r="H98" s="34"/>
      <c r="I98" s="44">
        <f>I87+I96</f>
        <v>148511.05551040001</v>
      </c>
    </row>
    <row r="99" spans="1:9" ht="15.75">
      <c r="A99" s="205" t="s">
        <v>251</v>
      </c>
      <c r="B99" s="205"/>
      <c r="C99" s="205"/>
      <c r="D99" s="205"/>
      <c r="E99" s="205"/>
      <c r="F99" s="205"/>
      <c r="G99" s="205"/>
      <c r="H99" s="205"/>
      <c r="I99" s="205"/>
    </row>
    <row r="100" spans="1:9" ht="15.75">
      <c r="A100" s="61"/>
      <c r="B100" s="206" t="s">
        <v>252</v>
      </c>
      <c r="C100" s="206"/>
      <c r="D100" s="206"/>
      <c r="E100" s="206"/>
      <c r="F100" s="206"/>
      <c r="G100" s="206"/>
      <c r="H100" s="80"/>
      <c r="I100" s="3"/>
    </row>
    <row r="101" spans="1:9">
      <c r="A101" s="74"/>
      <c r="B101" s="204" t="s">
        <v>6</v>
      </c>
      <c r="C101" s="204"/>
      <c r="D101" s="204"/>
      <c r="E101" s="204"/>
      <c r="F101" s="204"/>
      <c r="G101" s="204"/>
      <c r="H101" s="24"/>
      <c r="I101" s="5"/>
    </row>
    <row r="102" spans="1:9">
      <c r="A102" s="10"/>
      <c r="B102" s="10"/>
      <c r="C102" s="10"/>
      <c r="D102" s="10"/>
      <c r="E102" s="10"/>
      <c r="F102" s="10"/>
      <c r="G102" s="10"/>
      <c r="H102" s="10"/>
      <c r="I102" s="10"/>
    </row>
    <row r="103" spans="1:9" ht="15.75">
      <c r="A103" s="207" t="s">
        <v>7</v>
      </c>
      <c r="B103" s="207"/>
      <c r="C103" s="207"/>
      <c r="D103" s="207"/>
      <c r="E103" s="207"/>
      <c r="F103" s="207"/>
      <c r="G103" s="207"/>
      <c r="H103" s="207"/>
      <c r="I103" s="207"/>
    </row>
    <row r="104" spans="1:9" ht="15.75">
      <c r="A104" s="207" t="s">
        <v>8</v>
      </c>
      <c r="B104" s="207"/>
      <c r="C104" s="207"/>
      <c r="D104" s="207"/>
      <c r="E104" s="207"/>
      <c r="F104" s="207"/>
      <c r="G104" s="207"/>
      <c r="H104" s="207"/>
      <c r="I104" s="207"/>
    </row>
    <row r="105" spans="1:9" ht="15.75">
      <c r="A105" s="201" t="s">
        <v>59</v>
      </c>
      <c r="B105" s="201"/>
      <c r="C105" s="201"/>
      <c r="D105" s="201"/>
      <c r="E105" s="201"/>
      <c r="F105" s="201"/>
      <c r="G105" s="201"/>
      <c r="H105" s="201"/>
      <c r="I105" s="201"/>
    </row>
    <row r="106" spans="1:9" ht="15.75">
      <c r="A106" s="11"/>
    </row>
    <row r="107" spans="1:9" ht="15.75">
      <c r="A107" s="202" t="s">
        <v>9</v>
      </c>
      <c r="B107" s="202"/>
      <c r="C107" s="202"/>
      <c r="D107" s="202"/>
      <c r="E107" s="202"/>
      <c r="F107" s="202"/>
      <c r="G107" s="202"/>
      <c r="H107" s="202"/>
      <c r="I107" s="202"/>
    </row>
    <row r="108" spans="1:9" ht="15.75">
      <c r="A108" s="4"/>
    </row>
    <row r="109" spans="1:9" ht="15.75">
      <c r="B109" s="72" t="s">
        <v>10</v>
      </c>
      <c r="C109" s="203" t="s">
        <v>84</v>
      </c>
      <c r="D109" s="203"/>
      <c r="E109" s="203"/>
      <c r="F109" s="78"/>
      <c r="I109" s="73"/>
    </row>
    <row r="110" spans="1:9">
      <c r="A110" s="74"/>
      <c r="C110" s="204" t="s">
        <v>11</v>
      </c>
      <c r="D110" s="204"/>
      <c r="E110" s="204"/>
      <c r="F110" s="24"/>
      <c r="I110" s="71" t="s">
        <v>12</v>
      </c>
    </row>
    <row r="111" spans="1:9" ht="15.75">
      <c r="A111" s="25"/>
      <c r="C111" s="12"/>
      <c r="D111" s="12"/>
      <c r="G111" s="12"/>
      <c r="H111" s="12"/>
    </row>
    <row r="112" spans="1:9" ht="15.75">
      <c r="B112" s="72" t="s">
        <v>13</v>
      </c>
      <c r="C112" s="198"/>
      <c r="D112" s="198"/>
      <c r="E112" s="198"/>
      <c r="F112" s="79"/>
      <c r="I112" s="73"/>
    </row>
    <row r="113" spans="1:9">
      <c r="A113" s="74"/>
      <c r="C113" s="199" t="s">
        <v>11</v>
      </c>
      <c r="D113" s="199"/>
      <c r="E113" s="199"/>
      <c r="F113" s="74"/>
      <c r="I113" s="71" t="s">
        <v>12</v>
      </c>
    </row>
    <row r="114" spans="1:9" ht="15.75">
      <c r="A114" s="4" t="s">
        <v>14</v>
      </c>
    </row>
    <row r="115" spans="1:9">
      <c r="A115" s="200" t="s">
        <v>15</v>
      </c>
      <c r="B115" s="200"/>
      <c r="C115" s="200"/>
      <c r="D115" s="200"/>
      <c r="E115" s="200"/>
      <c r="F115" s="200"/>
      <c r="G115" s="200"/>
      <c r="H115" s="200"/>
      <c r="I115" s="200"/>
    </row>
    <row r="116" spans="1:9" ht="45" customHeight="1">
      <c r="A116" s="197" t="s">
        <v>16</v>
      </c>
      <c r="B116" s="197"/>
      <c r="C116" s="197"/>
      <c r="D116" s="197"/>
      <c r="E116" s="197"/>
      <c r="F116" s="197"/>
      <c r="G116" s="197"/>
      <c r="H116" s="197"/>
      <c r="I116" s="197"/>
    </row>
    <row r="117" spans="1:9" ht="30" customHeight="1">
      <c r="A117" s="197" t="s">
        <v>17</v>
      </c>
      <c r="B117" s="197"/>
      <c r="C117" s="197"/>
      <c r="D117" s="197"/>
      <c r="E117" s="197"/>
      <c r="F117" s="197"/>
      <c r="G117" s="197"/>
      <c r="H117" s="197"/>
      <c r="I117" s="197"/>
    </row>
    <row r="118" spans="1:9" ht="30" customHeight="1">
      <c r="A118" s="197" t="s">
        <v>21</v>
      </c>
      <c r="B118" s="197"/>
      <c r="C118" s="197"/>
      <c r="D118" s="197"/>
      <c r="E118" s="197"/>
      <c r="F118" s="197"/>
      <c r="G118" s="197"/>
      <c r="H118" s="197"/>
      <c r="I118" s="197"/>
    </row>
    <row r="119" spans="1:9" ht="15" customHeight="1">
      <c r="A119" s="197" t="s">
        <v>20</v>
      </c>
      <c r="B119" s="197"/>
      <c r="C119" s="197"/>
      <c r="D119" s="197"/>
      <c r="E119" s="197"/>
      <c r="F119" s="197"/>
      <c r="G119" s="197"/>
      <c r="H119" s="197"/>
      <c r="I119" s="197"/>
    </row>
  </sheetData>
  <autoFilter ref="I12:I64"/>
  <mergeCells count="29">
    <mergeCell ref="A14:I14"/>
    <mergeCell ref="A15:I15"/>
    <mergeCell ref="A28:I28"/>
    <mergeCell ref="A44:I44"/>
    <mergeCell ref="A54:I54"/>
    <mergeCell ref="A3:I3"/>
    <mergeCell ref="A4:I4"/>
    <mergeCell ref="A5:I5"/>
    <mergeCell ref="A8:I8"/>
    <mergeCell ref="A10:I10"/>
    <mergeCell ref="R69:U69"/>
    <mergeCell ref="C113:E113"/>
    <mergeCell ref="A88:I88"/>
    <mergeCell ref="A99:I99"/>
    <mergeCell ref="B100:G100"/>
    <mergeCell ref="B101:G101"/>
    <mergeCell ref="A103:I103"/>
    <mergeCell ref="A104:I104"/>
    <mergeCell ref="A105:I105"/>
    <mergeCell ref="A107:I107"/>
    <mergeCell ref="C109:E109"/>
    <mergeCell ref="C110:E110"/>
    <mergeCell ref="C112:E112"/>
    <mergeCell ref="A84:I84"/>
    <mergeCell ref="A115:I115"/>
    <mergeCell ref="A116:I116"/>
    <mergeCell ref="A117:I117"/>
    <mergeCell ref="A118:I118"/>
    <mergeCell ref="A119:I119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V120"/>
  <sheetViews>
    <sheetView topLeftCell="A84" workbookViewId="0">
      <selection activeCell="A93" sqref="A9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4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170</v>
      </c>
      <c r="I1" s="26"/>
      <c r="J1" s="1"/>
      <c r="K1" s="1"/>
      <c r="L1" s="1"/>
      <c r="M1" s="1"/>
    </row>
    <row r="2" spans="1:13" ht="15.75" customHeight="1">
      <c r="A2" s="28" t="s">
        <v>60</v>
      </c>
      <c r="J2" s="2"/>
      <c r="K2" s="2"/>
      <c r="L2" s="2"/>
      <c r="M2" s="2"/>
    </row>
    <row r="3" spans="1:13" ht="15.75" customHeight="1">
      <c r="A3" s="214" t="s">
        <v>156</v>
      </c>
      <c r="B3" s="214"/>
      <c r="C3" s="214"/>
      <c r="D3" s="214"/>
      <c r="E3" s="214"/>
      <c r="F3" s="214"/>
      <c r="G3" s="214"/>
      <c r="H3" s="214"/>
      <c r="I3" s="214"/>
      <c r="J3" s="3"/>
      <c r="K3" s="3"/>
      <c r="L3" s="3"/>
    </row>
    <row r="4" spans="1:13" ht="31.5" customHeight="1">
      <c r="A4" s="215" t="s">
        <v>122</v>
      </c>
      <c r="B4" s="215"/>
      <c r="C4" s="215"/>
      <c r="D4" s="215"/>
      <c r="E4" s="215"/>
      <c r="F4" s="215"/>
      <c r="G4" s="215"/>
      <c r="H4" s="215"/>
      <c r="I4" s="215"/>
    </row>
    <row r="5" spans="1:13" ht="15.75" customHeight="1">
      <c r="A5" s="214" t="s">
        <v>224</v>
      </c>
      <c r="B5" s="218"/>
      <c r="C5" s="218"/>
      <c r="D5" s="218"/>
      <c r="E5" s="218"/>
      <c r="F5" s="218"/>
      <c r="G5" s="218"/>
      <c r="H5" s="218"/>
      <c r="I5" s="218"/>
      <c r="J5" s="2"/>
      <c r="K5" s="2"/>
      <c r="L5" s="2"/>
      <c r="M5" s="2"/>
    </row>
    <row r="6" spans="1:13" ht="15.75" customHeight="1">
      <c r="A6" s="2"/>
      <c r="B6" s="75"/>
      <c r="C6" s="75"/>
      <c r="D6" s="75"/>
      <c r="E6" s="75"/>
      <c r="F6" s="75"/>
      <c r="G6" s="75"/>
      <c r="H6" s="75"/>
      <c r="I6" s="30">
        <v>43646</v>
      </c>
      <c r="J6" s="2"/>
      <c r="K6" s="2"/>
      <c r="L6" s="2"/>
      <c r="M6" s="2"/>
    </row>
    <row r="7" spans="1:13" ht="15.75" customHeight="1">
      <c r="B7" s="72"/>
      <c r="C7" s="72"/>
      <c r="D7" s="72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16" t="s">
        <v>196</v>
      </c>
      <c r="B8" s="216"/>
      <c r="C8" s="216"/>
      <c r="D8" s="216"/>
      <c r="E8" s="216"/>
      <c r="F8" s="216"/>
      <c r="G8" s="216"/>
      <c r="H8" s="216"/>
      <c r="I8" s="216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17" t="s">
        <v>136</v>
      </c>
      <c r="B10" s="217"/>
      <c r="C10" s="217"/>
      <c r="D10" s="217"/>
      <c r="E10" s="217"/>
      <c r="F10" s="217"/>
      <c r="G10" s="217"/>
      <c r="H10" s="217"/>
      <c r="I10" s="217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219" t="s">
        <v>57</v>
      </c>
      <c r="B14" s="219"/>
      <c r="C14" s="219"/>
      <c r="D14" s="219"/>
      <c r="E14" s="219"/>
      <c r="F14" s="219"/>
      <c r="G14" s="219"/>
      <c r="H14" s="219"/>
      <c r="I14" s="219"/>
      <c r="J14" s="8"/>
      <c r="K14" s="8"/>
      <c r="L14" s="8"/>
      <c r="M14" s="8"/>
    </row>
    <row r="15" spans="1:13" ht="15.75" customHeight="1">
      <c r="A15" s="220" t="s">
        <v>4</v>
      </c>
      <c r="B15" s="220"/>
      <c r="C15" s="220"/>
      <c r="D15" s="220"/>
      <c r="E15" s="220"/>
      <c r="F15" s="220"/>
      <c r="G15" s="220"/>
      <c r="H15" s="220"/>
      <c r="I15" s="220"/>
      <c r="J15" s="8"/>
      <c r="K15" s="8"/>
      <c r="L15" s="8"/>
      <c r="M15" s="8"/>
    </row>
    <row r="16" spans="1:13" ht="15.75" customHeight="1">
      <c r="A16" s="29">
        <v>1</v>
      </c>
      <c r="B16" s="32" t="s">
        <v>82</v>
      </c>
      <c r="C16" s="138" t="s">
        <v>89</v>
      </c>
      <c r="D16" s="32" t="s">
        <v>230</v>
      </c>
      <c r="E16" s="152">
        <v>129.88</v>
      </c>
      <c r="F16" s="139">
        <f>SUM(E16*156/100)</f>
        <v>202.61279999999999</v>
      </c>
      <c r="G16" s="139">
        <v>239.2</v>
      </c>
      <c r="H16" s="86">
        <f t="shared" ref="H16:H26" si="0">SUM(F16*G16/1000)</f>
        <v>48.464981759999993</v>
      </c>
      <c r="I16" s="13">
        <f>F16/12*G16</f>
        <v>4038.7484799999997</v>
      </c>
      <c r="J16" s="8"/>
      <c r="K16" s="8"/>
      <c r="L16" s="8"/>
      <c r="M16" s="8"/>
    </row>
    <row r="17" spans="1:13" ht="15.75" customHeight="1">
      <c r="A17" s="29">
        <v>2</v>
      </c>
      <c r="B17" s="32" t="s">
        <v>85</v>
      </c>
      <c r="C17" s="138" t="s">
        <v>89</v>
      </c>
      <c r="D17" s="32" t="s">
        <v>231</v>
      </c>
      <c r="E17" s="152">
        <v>519.52</v>
      </c>
      <c r="F17" s="139">
        <f>SUM(E17*104/100)</f>
        <v>540.30079999999998</v>
      </c>
      <c r="G17" s="139">
        <v>239.2</v>
      </c>
      <c r="H17" s="86">
        <f t="shared" si="0"/>
        <v>129.23995135999999</v>
      </c>
      <c r="I17" s="13">
        <f>F17/12*G17</f>
        <v>10769.995946666666</v>
      </c>
      <c r="J17" s="22"/>
      <c r="K17" s="8"/>
      <c r="L17" s="8"/>
      <c r="M17" s="8"/>
    </row>
    <row r="18" spans="1:13" ht="15.75" customHeight="1">
      <c r="A18" s="29">
        <v>3</v>
      </c>
      <c r="B18" s="32" t="s">
        <v>86</v>
      </c>
      <c r="C18" s="138" t="s">
        <v>89</v>
      </c>
      <c r="D18" s="32" t="s">
        <v>232</v>
      </c>
      <c r="E18" s="152">
        <f>SUM(E16+E17)</f>
        <v>649.4</v>
      </c>
      <c r="F18" s="139">
        <f>SUM(E18*18/100)</f>
        <v>116.892</v>
      </c>
      <c r="G18" s="139">
        <v>688.14</v>
      </c>
      <c r="H18" s="86">
        <f t="shared" si="0"/>
        <v>80.438060879999995</v>
      </c>
      <c r="I18" s="13">
        <f>F18/12*G18</f>
        <v>6703.1717399999998</v>
      </c>
      <c r="J18" s="22"/>
      <c r="K18" s="8"/>
      <c r="L18" s="8"/>
      <c r="M18" s="8"/>
    </row>
    <row r="19" spans="1:13" ht="15.75" hidden="1" customHeight="1">
      <c r="A19" s="29">
        <v>4</v>
      </c>
      <c r="B19" s="82" t="s">
        <v>90</v>
      </c>
      <c r="C19" s="83" t="s">
        <v>91</v>
      </c>
      <c r="D19" s="82" t="s">
        <v>92</v>
      </c>
      <c r="E19" s="84">
        <v>124.8</v>
      </c>
      <c r="F19" s="85">
        <f>SUM(E19/10)</f>
        <v>12.48</v>
      </c>
      <c r="G19" s="85">
        <v>170.16</v>
      </c>
      <c r="H19" s="86">
        <f t="shared" si="0"/>
        <v>2.1235967999999996</v>
      </c>
      <c r="I19" s="13">
        <f>F19/2*G19</f>
        <v>1061.7983999999999</v>
      </c>
      <c r="J19" s="22"/>
      <c r="K19" s="8"/>
      <c r="L19" s="8"/>
      <c r="M19" s="8"/>
    </row>
    <row r="20" spans="1:13" ht="18" customHeight="1">
      <c r="A20" s="29">
        <v>4</v>
      </c>
      <c r="B20" s="32" t="s">
        <v>95</v>
      </c>
      <c r="C20" s="138" t="s">
        <v>89</v>
      </c>
      <c r="D20" s="32" t="s">
        <v>243</v>
      </c>
      <c r="E20" s="152">
        <v>57.5</v>
      </c>
      <c r="F20" s="139">
        <f>SUM(E20*12/100)</f>
        <v>6.9</v>
      </c>
      <c r="G20" s="139">
        <v>297.19</v>
      </c>
      <c r="H20" s="86">
        <f t="shared" si="0"/>
        <v>2.050611</v>
      </c>
      <c r="I20" s="13">
        <f>F20*G20/12</f>
        <v>170.88424999999998</v>
      </c>
      <c r="J20" s="22"/>
      <c r="K20" s="8"/>
      <c r="L20" s="8"/>
      <c r="M20" s="8"/>
    </row>
    <row r="21" spans="1:13" ht="17.25" customHeight="1">
      <c r="A21" s="29">
        <v>5</v>
      </c>
      <c r="B21" s="32" t="s">
        <v>96</v>
      </c>
      <c r="C21" s="138" t="s">
        <v>89</v>
      </c>
      <c r="D21" s="32" t="s">
        <v>243</v>
      </c>
      <c r="E21" s="152">
        <v>13.41</v>
      </c>
      <c r="F21" s="139">
        <f>SUM(E21*12/100)</f>
        <v>1.6092000000000002</v>
      </c>
      <c r="G21" s="139">
        <v>294.77999999999997</v>
      </c>
      <c r="H21" s="86">
        <f t="shared" si="0"/>
        <v>0.47435997600000002</v>
      </c>
      <c r="I21" s="13">
        <f>F21*G21/12</f>
        <v>39.529997999999999</v>
      </c>
      <c r="J21" s="22"/>
      <c r="K21" s="8"/>
      <c r="L21" s="8"/>
      <c r="M21" s="8"/>
    </row>
    <row r="22" spans="1:13" ht="17.25" hidden="1" customHeight="1">
      <c r="A22" s="29">
        <v>7</v>
      </c>
      <c r="B22" s="82" t="s">
        <v>97</v>
      </c>
      <c r="C22" s="83" t="s">
        <v>51</v>
      </c>
      <c r="D22" s="82" t="s">
        <v>92</v>
      </c>
      <c r="E22" s="84">
        <v>820.5</v>
      </c>
      <c r="F22" s="85">
        <f>SUM(E22/100)</f>
        <v>8.2050000000000001</v>
      </c>
      <c r="G22" s="85">
        <v>269.26</v>
      </c>
      <c r="H22" s="86">
        <f t="shared" si="0"/>
        <v>2.2092782999999998</v>
      </c>
      <c r="I22" s="13">
        <f t="shared" ref="I22:I26" si="1">F22*G22</f>
        <v>2209.2782999999999</v>
      </c>
      <c r="J22" s="22"/>
      <c r="K22" s="8"/>
      <c r="L22" s="8"/>
      <c r="M22" s="8"/>
    </row>
    <row r="23" spans="1:13" ht="17.25" hidden="1" customHeight="1">
      <c r="A23" s="29">
        <v>8</v>
      </c>
      <c r="B23" s="82" t="s">
        <v>98</v>
      </c>
      <c r="C23" s="83" t="s">
        <v>51</v>
      </c>
      <c r="D23" s="82" t="s">
        <v>92</v>
      </c>
      <c r="E23" s="87">
        <v>60.25</v>
      </c>
      <c r="F23" s="85">
        <f>SUM(E23/100)</f>
        <v>0.60250000000000004</v>
      </c>
      <c r="G23" s="85">
        <v>44.29</v>
      </c>
      <c r="H23" s="86">
        <f t="shared" si="0"/>
        <v>2.6684724999999999E-2</v>
      </c>
      <c r="I23" s="13">
        <f t="shared" si="1"/>
        <v>26.684725</v>
      </c>
      <c r="J23" s="22"/>
      <c r="K23" s="8"/>
      <c r="L23" s="8"/>
      <c r="M23" s="8"/>
    </row>
    <row r="24" spans="1:13" ht="15.75" hidden="1" customHeight="1">
      <c r="A24" s="29">
        <v>9</v>
      </c>
      <c r="B24" s="82" t="s">
        <v>93</v>
      </c>
      <c r="C24" s="83" t="s">
        <v>51</v>
      </c>
      <c r="D24" s="82" t="s">
        <v>94</v>
      </c>
      <c r="E24" s="84">
        <v>19.149999999999999</v>
      </c>
      <c r="F24" s="85">
        <f>E24/100</f>
        <v>0.19149999999999998</v>
      </c>
      <c r="G24" s="85">
        <v>389.72</v>
      </c>
      <c r="H24" s="86">
        <f t="shared" si="0"/>
        <v>7.4631379999999997E-2</v>
      </c>
      <c r="I24" s="13">
        <f t="shared" si="1"/>
        <v>74.631379999999993</v>
      </c>
      <c r="J24" s="22"/>
      <c r="K24" s="8"/>
      <c r="L24" s="8"/>
      <c r="M24" s="8"/>
    </row>
    <row r="25" spans="1:13" ht="14.25" hidden="1" customHeight="1">
      <c r="A25" s="29">
        <v>10</v>
      </c>
      <c r="B25" s="82" t="s">
        <v>100</v>
      </c>
      <c r="C25" s="83" t="s">
        <v>51</v>
      </c>
      <c r="D25" s="82" t="s">
        <v>52</v>
      </c>
      <c r="E25" s="84">
        <v>31.5</v>
      </c>
      <c r="F25" s="85">
        <v>0.32</v>
      </c>
      <c r="G25" s="85">
        <v>216.12</v>
      </c>
      <c r="H25" s="86">
        <f t="shared" si="0"/>
        <v>6.9158399999999995E-2</v>
      </c>
      <c r="I25" s="13">
        <f t="shared" si="1"/>
        <v>69.1584</v>
      </c>
      <c r="J25" s="22"/>
      <c r="K25" s="8"/>
      <c r="L25" s="8"/>
      <c r="M25" s="8"/>
    </row>
    <row r="26" spans="1:13" ht="16.5" hidden="1" customHeight="1">
      <c r="A26" s="29">
        <v>11</v>
      </c>
      <c r="B26" s="82" t="s">
        <v>99</v>
      </c>
      <c r="C26" s="83" t="s">
        <v>51</v>
      </c>
      <c r="D26" s="82" t="s">
        <v>92</v>
      </c>
      <c r="E26" s="84">
        <v>37.5</v>
      </c>
      <c r="F26" s="85">
        <f>SUM(E26/100)</f>
        <v>0.375</v>
      </c>
      <c r="G26" s="85">
        <v>520.79999999999995</v>
      </c>
      <c r="H26" s="86">
        <f t="shared" si="0"/>
        <v>0.19529999999999997</v>
      </c>
      <c r="I26" s="13">
        <f t="shared" si="1"/>
        <v>195.29999999999998</v>
      </c>
      <c r="J26" s="22"/>
      <c r="K26" s="8"/>
      <c r="L26" s="8"/>
      <c r="M26" s="8"/>
    </row>
    <row r="27" spans="1:13" ht="15.75" customHeight="1">
      <c r="A27" s="29">
        <v>6</v>
      </c>
      <c r="B27" s="32" t="s">
        <v>229</v>
      </c>
      <c r="C27" s="138" t="s">
        <v>26</v>
      </c>
      <c r="D27" s="32" t="s">
        <v>234</v>
      </c>
      <c r="E27" s="175">
        <v>4.88</v>
      </c>
      <c r="F27" s="139">
        <f>E27*258</f>
        <v>1259.04</v>
      </c>
      <c r="G27" s="139">
        <v>10.39</v>
      </c>
      <c r="H27" s="86">
        <f t="shared" ref="H27" si="2">SUM(F27*G27/1000)</f>
        <v>13.081425600000001</v>
      </c>
      <c r="I27" s="13">
        <f>F27/12*G27</f>
        <v>1090.1188</v>
      </c>
      <c r="J27" s="22"/>
      <c r="K27" s="8"/>
      <c r="L27" s="8"/>
      <c r="M27" s="8"/>
    </row>
    <row r="28" spans="1:13" ht="15.75" customHeight="1">
      <c r="A28" s="220" t="s">
        <v>81</v>
      </c>
      <c r="B28" s="220"/>
      <c r="C28" s="220"/>
      <c r="D28" s="220"/>
      <c r="E28" s="220"/>
      <c r="F28" s="220"/>
      <c r="G28" s="220"/>
      <c r="H28" s="220"/>
      <c r="I28" s="220"/>
      <c r="J28" s="22"/>
      <c r="K28" s="8"/>
      <c r="L28" s="8"/>
      <c r="M28" s="8"/>
    </row>
    <row r="29" spans="1:13" ht="15.75" customHeight="1">
      <c r="A29" s="40"/>
      <c r="B29" s="50" t="s">
        <v>29</v>
      </c>
      <c r="C29" s="50"/>
      <c r="D29" s="50"/>
      <c r="E29" s="50"/>
      <c r="F29" s="50"/>
      <c r="G29" s="50"/>
      <c r="H29" s="50"/>
      <c r="I29" s="18"/>
      <c r="J29" s="22"/>
      <c r="K29" s="8"/>
      <c r="L29" s="8"/>
      <c r="M29" s="8"/>
    </row>
    <row r="30" spans="1:13" ht="15.75" customHeight="1">
      <c r="A30" s="40">
        <v>7</v>
      </c>
      <c r="B30" s="32" t="s">
        <v>101</v>
      </c>
      <c r="C30" s="138" t="s">
        <v>102</v>
      </c>
      <c r="D30" s="32" t="s">
        <v>231</v>
      </c>
      <c r="E30" s="139">
        <v>1304.45</v>
      </c>
      <c r="F30" s="139">
        <f>SUM(E30*52/1000)</f>
        <v>67.831400000000002</v>
      </c>
      <c r="G30" s="139">
        <v>212.62</v>
      </c>
      <c r="H30" s="86">
        <f t="shared" ref="H30:H34" si="3">SUM(F30*G30/1000)</f>
        <v>14.422312268000001</v>
      </c>
      <c r="I30" s="13">
        <f>F30/6*G30</f>
        <v>2403.7187113333334</v>
      </c>
      <c r="J30" s="22"/>
      <c r="K30" s="8"/>
      <c r="L30" s="8"/>
      <c r="M30" s="8"/>
    </row>
    <row r="31" spans="1:13" ht="31.5" customHeight="1">
      <c r="A31" s="40">
        <v>8</v>
      </c>
      <c r="B31" s="32" t="s">
        <v>140</v>
      </c>
      <c r="C31" s="138" t="s">
        <v>102</v>
      </c>
      <c r="D31" s="32" t="s">
        <v>231</v>
      </c>
      <c r="E31" s="139">
        <v>287.83999999999997</v>
      </c>
      <c r="F31" s="139">
        <f>SUM(E31*52/1000)</f>
        <v>14.967679999999998</v>
      </c>
      <c r="G31" s="139">
        <v>352.77</v>
      </c>
      <c r="H31" s="86">
        <f t="shared" si="3"/>
        <v>5.2801484735999997</v>
      </c>
      <c r="I31" s="13">
        <f t="shared" ref="I31" si="4">F31/6*G31</f>
        <v>880.02474559999985</v>
      </c>
      <c r="J31" s="22"/>
      <c r="K31" s="8"/>
      <c r="L31" s="8"/>
      <c r="M31" s="8"/>
    </row>
    <row r="32" spans="1:13" ht="15.75" hidden="1" customHeight="1">
      <c r="A32" s="40">
        <v>16</v>
      </c>
      <c r="B32" s="32" t="s">
        <v>28</v>
      </c>
      <c r="C32" s="138" t="s">
        <v>102</v>
      </c>
      <c r="D32" s="32" t="s">
        <v>52</v>
      </c>
      <c r="E32" s="139">
        <v>1304.45</v>
      </c>
      <c r="F32" s="139">
        <f>SUM(E32/1000)</f>
        <v>1.3044500000000001</v>
      </c>
      <c r="G32" s="139">
        <v>4119.68</v>
      </c>
      <c r="H32" s="86">
        <f t="shared" si="3"/>
        <v>5.3739165760000009</v>
      </c>
      <c r="I32" s="13">
        <f>F32*G32</f>
        <v>5373.9165760000005</v>
      </c>
      <c r="J32" s="22"/>
      <c r="K32" s="8"/>
      <c r="L32" s="8"/>
      <c r="M32" s="8"/>
    </row>
    <row r="33" spans="1:14" ht="15.75" hidden="1" customHeight="1">
      <c r="A33" s="40">
        <v>4</v>
      </c>
      <c r="B33" s="82" t="s">
        <v>63</v>
      </c>
      <c r="C33" s="83" t="s">
        <v>33</v>
      </c>
      <c r="D33" s="82" t="s">
        <v>65</v>
      </c>
      <c r="E33" s="84"/>
      <c r="F33" s="85">
        <v>3</v>
      </c>
      <c r="G33" s="85">
        <v>191.32</v>
      </c>
      <c r="H33" s="86">
        <f t="shared" si="3"/>
        <v>0.57396000000000003</v>
      </c>
      <c r="I33" s="13">
        <v>0</v>
      </c>
      <c r="J33" s="23"/>
    </row>
    <row r="34" spans="1:14" ht="15.75" customHeight="1">
      <c r="A34" s="29">
        <v>9</v>
      </c>
      <c r="B34" s="82" t="s">
        <v>64</v>
      </c>
      <c r="C34" s="83" t="s">
        <v>32</v>
      </c>
      <c r="D34" s="82" t="s">
        <v>254</v>
      </c>
      <c r="E34" s="84"/>
      <c r="F34" s="85">
        <v>2</v>
      </c>
      <c r="G34" s="144">
        <v>1549.92</v>
      </c>
      <c r="H34" s="86">
        <f t="shared" si="3"/>
        <v>3.0998399999999999</v>
      </c>
      <c r="I34" s="13">
        <f>G34*1</f>
        <v>1549.92</v>
      </c>
      <c r="J34" s="23"/>
    </row>
    <row r="35" spans="1:14" ht="15.75" hidden="1" customHeight="1">
      <c r="A35" s="40"/>
      <c r="B35" s="48" t="s">
        <v>5</v>
      </c>
      <c r="C35" s="48"/>
      <c r="D35" s="48"/>
      <c r="E35" s="13"/>
      <c r="F35" s="13"/>
      <c r="G35" s="14"/>
      <c r="H35" s="14"/>
      <c r="I35" s="18"/>
      <c r="J35" s="23"/>
    </row>
    <row r="36" spans="1:14" ht="15.75" hidden="1" customHeight="1">
      <c r="A36" s="33">
        <v>6</v>
      </c>
      <c r="B36" s="82" t="s">
        <v>27</v>
      </c>
      <c r="C36" s="83" t="s">
        <v>32</v>
      </c>
      <c r="D36" s="82"/>
      <c r="E36" s="84"/>
      <c r="F36" s="85">
        <v>10</v>
      </c>
      <c r="G36" s="85">
        <v>1527.22</v>
      </c>
      <c r="H36" s="86">
        <f t="shared" ref="H36:H43" si="5">SUM(F36*G36/1000)</f>
        <v>15.272200000000002</v>
      </c>
      <c r="I36" s="13">
        <f>F36/6*G36</f>
        <v>2545.3666666666668</v>
      </c>
      <c r="J36" s="23"/>
    </row>
    <row r="37" spans="1:14" ht="15.75" hidden="1" customHeight="1">
      <c r="A37" s="33">
        <v>7</v>
      </c>
      <c r="B37" s="82" t="s">
        <v>123</v>
      </c>
      <c r="C37" s="83" t="s">
        <v>30</v>
      </c>
      <c r="D37" s="82" t="s">
        <v>124</v>
      </c>
      <c r="E37" s="85">
        <v>495</v>
      </c>
      <c r="F37" s="85">
        <f>SUM(E37*12/1000)</f>
        <v>5.94</v>
      </c>
      <c r="G37" s="85">
        <v>2102.71</v>
      </c>
      <c r="H37" s="86">
        <f t="shared" si="5"/>
        <v>12.4900974</v>
      </c>
      <c r="I37" s="13">
        <f>F37/6*G37</f>
        <v>2081.6829000000002</v>
      </c>
      <c r="J37" s="23"/>
    </row>
    <row r="38" spans="1:14" ht="15.75" hidden="1" customHeight="1">
      <c r="A38" s="33">
        <v>8</v>
      </c>
      <c r="B38" s="82" t="s">
        <v>125</v>
      </c>
      <c r="C38" s="83" t="s">
        <v>30</v>
      </c>
      <c r="D38" s="82" t="s">
        <v>106</v>
      </c>
      <c r="E38" s="84">
        <v>287.83999999999997</v>
      </c>
      <c r="F38" s="85">
        <v>8.64</v>
      </c>
      <c r="G38" s="85">
        <v>2102.71</v>
      </c>
      <c r="H38" s="86">
        <f>G38*F38/1000</f>
        <v>18.167414400000002</v>
      </c>
      <c r="I38" s="13">
        <f>F38/6*G38</f>
        <v>3027.9024000000004</v>
      </c>
      <c r="J38" s="23"/>
    </row>
    <row r="39" spans="1:14" ht="15.75" hidden="1" customHeight="1">
      <c r="A39" s="33">
        <v>7</v>
      </c>
      <c r="B39" s="82" t="s">
        <v>87</v>
      </c>
      <c r="C39" s="83" t="s">
        <v>126</v>
      </c>
      <c r="D39" s="82" t="s">
        <v>65</v>
      </c>
      <c r="E39" s="84"/>
      <c r="F39" s="85">
        <v>80</v>
      </c>
      <c r="G39" s="85">
        <v>199.44</v>
      </c>
      <c r="H39" s="86">
        <f>G39*F39/1000</f>
        <v>15.955200000000001</v>
      </c>
      <c r="I39" s="13">
        <v>0</v>
      </c>
      <c r="J39" s="23"/>
    </row>
    <row r="40" spans="1:14" ht="15.75" hidden="1" customHeight="1">
      <c r="A40" s="33">
        <v>9</v>
      </c>
      <c r="B40" s="82" t="s">
        <v>66</v>
      </c>
      <c r="C40" s="83" t="s">
        <v>30</v>
      </c>
      <c r="D40" s="82" t="s">
        <v>107</v>
      </c>
      <c r="E40" s="85">
        <v>287.83999999999997</v>
      </c>
      <c r="F40" s="85">
        <f>SUM(E40*155/1000)</f>
        <v>44.615199999999994</v>
      </c>
      <c r="G40" s="85">
        <v>350.75</v>
      </c>
      <c r="H40" s="86">
        <f t="shared" si="5"/>
        <v>15.648781399999997</v>
      </c>
      <c r="I40" s="13">
        <f>F40/6*G40</f>
        <v>2608.1302333333329</v>
      </c>
      <c r="J40" s="23"/>
    </row>
    <row r="41" spans="1:14" ht="47.25" hidden="1" customHeight="1">
      <c r="A41" s="33">
        <v>10</v>
      </c>
      <c r="B41" s="82" t="s">
        <v>79</v>
      </c>
      <c r="C41" s="83" t="s">
        <v>102</v>
      </c>
      <c r="D41" s="82" t="s">
        <v>127</v>
      </c>
      <c r="E41" s="85">
        <v>89.43</v>
      </c>
      <c r="F41" s="85">
        <f>SUM(E41*24/1000)</f>
        <v>2.1463200000000002</v>
      </c>
      <c r="G41" s="85">
        <v>5803.28</v>
      </c>
      <c r="H41" s="86">
        <f t="shared" si="5"/>
        <v>12.455695929600001</v>
      </c>
      <c r="I41" s="13">
        <f>F41/6*G41</f>
        <v>2075.9493216000001</v>
      </c>
      <c r="J41" s="23"/>
      <c r="L41" s="19"/>
      <c r="M41" s="20"/>
      <c r="N41" s="21"/>
    </row>
    <row r="42" spans="1:14" ht="15.75" hidden="1" customHeight="1">
      <c r="A42" s="33">
        <v>11</v>
      </c>
      <c r="B42" s="82" t="s">
        <v>108</v>
      </c>
      <c r="C42" s="83" t="s">
        <v>102</v>
      </c>
      <c r="D42" s="82" t="s">
        <v>67</v>
      </c>
      <c r="E42" s="85">
        <v>130.08000000000001</v>
      </c>
      <c r="F42" s="85">
        <f>SUM(E42*45/1000)</f>
        <v>5.8536000000000001</v>
      </c>
      <c r="G42" s="85">
        <v>428.7</v>
      </c>
      <c r="H42" s="86">
        <f t="shared" si="5"/>
        <v>2.5094383200000001</v>
      </c>
      <c r="I42" s="13">
        <f>F42/6*G42</f>
        <v>418.23971999999998</v>
      </c>
      <c r="J42" s="23"/>
      <c r="L42" s="19"/>
      <c r="M42" s="20"/>
      <c r="N42" s="21"/>
    </row>
    <row r="43" spans="1:14" ht="15.75" hidden="1" customHeight="1">
      <c r="A43" s="33">
        <v>12</v>
      </c>
      <c r="B43" s="82" t="s">
        <v>68</v>
      </c>
      <c r="C43" s="83" t="s">
        <v>33</v>
      </c>
      <c r="D43" s="82"/>
      <c r="E43" s="84"/>
      <c r="F43" s="85">
        <v>0.9</v>
      </c>
      <c r="G43" s="85">
        <v>798</v>
      </c>
      <c r="H43" s="86">
        <f t="shared" si="5"/>
        <v>0.71820000000000006</v>
      </c>
      <c r="I43" s="13">
        <f>F43/6*G43</f>
        <v>119.69999999999999</v>
      </c>
      <c r="J43" s="23"/>
      <c r="L43" s="19"/>
      <c r="M43" s="20"/>
      <c r="N43" s="21"/>
    </row>
    <row r="44" spans="1:14" ht="15.75" hidden="1" customHeight="1">
      <c r="A44" s="224" t="s">
        <v>137</v>
      </c>
      <c r="B44" s="225"/>
      <c r="C44" s="225"/>
      <c r="D44" s="225"/>
      <c r="E44" s="225"/>
      <c r="F44" s="225"/>
      <c r="G44" s="225"/>
      <c r="H44" s="225"/>
      <c r="I44" s="226"/>
      <c r="J44" s="23"/>
      <c r="L44" s="19"/>
      <c r="M44" s="20"/>
      <c r="N44" s="21"/>
    </row>
    <row r="45" spans="1:14" ht="15.75" hidden="1" customHeight="1">
      <c r="A45" s="40">
        <v>18</v>
      </c>
      <c r="B45" s="82" t="s">
        <v>128</v>
      </c>
      <c r="C45" s="83" t="s">
        <v>102</v>
      </c>
      <c r="D45" s="82" t="s">
        <v>41</v>
      </c>
      <c r="E45" s="84">
        <v>1369</v>
      </c>
      <c r="F45" s="85">
        <f>SUM(E45*2/1000)</f>
        <v>2.738</v>
      </c>
      <c r="G45" s="13">
        <v>849.49</v>
      </c>
      <c r="H45" s="86">
        <f t="shared" ref="H45:H53" si="6">SUM(F45*G45/1000)</f>
        <v>2.3259036200000001</v>
      </c>
      <c r="I45" s="13">
        <f t="shared" ref="I45:I47" si="7">F45/2*G45</f>
        <v>1162.95181</v>
      </c>
      <c r="J45" s="23"/>
      <c r="L45" s="19"/>
      <c r="M45" s="20"/>
      <c r="N45" s="21"/>
    </row>
    <row r="46" spans="1:14" ht="15.75" hidden="1" customHeight="1">
      <c r="A46" s="40">
        <v>19</v>
      </c>
      <c r="B46" s="82" t="s">
        <v>34</v>
      </c>
      <c r="C46" s="83" t="s">
        <v>102</v>
      </c>
      <c r="D46" s="82" t="s">
        <v>41</v>
      </c>
      <c r="E46" s="84">
        <v>1418</v>
      </c>
      <c r="F46" s="85">
        <f>SUM(E46*2/1000)</f>
        <v>2.8359999999999999</v>
      </c>
      <c r="G46" s="13">
        <v>579.48</v>
      </c>
      <c r="H46" s="86">
        <f t="shared" si="6"/>
        <v>1.6434052799999999</v>
      </c>
      <c r="I46" s="13">
        <f t="shared" si="7"/>
        <v>821.70263999999997</v>
      </c>
      <c r="J46" s="23"/>
      <c r="L46" s="19"/>
      <c r="M46" s="20"/>
      <c r="N46" s="21"/>
    </row>
    <row r="47" spans="1:14" ht="15.75" hidden="1" customHeight="1">
      <c r="A47" s="40">
        <v>20</v>
      </c>
      <c r="B47" s="82" t="s">
        <v>35</v>
      </c>
      <c r="C47" s="83" t="s">
        <v>102</v>
      </c>
      <c r="D47" s="82" t="s">
        <v>41</v>
      </c>
      <c r="E47" s="84">
        <v>4985.21</v>
      </c>
      <c r="F47" s="85">
        <f>SUM(E47*2/1000)</f>
        <v>9.9704200000000007</v>
      </c>
      <c r="G47" s="13">
        <v>579.48</v>
      </c>
      <c r="H47" s="86">
        <f t="shared" si="6"/>
        <v>5.7776589816000001</v>
      </c>
      <c r="I47" s="13">
        <f t="shared" si="7"/>
        <v>2888.8294908000003</v>
      </c>
      <c r="J47" s="23"/>
      <c r="L47" s="19"/>
      <c r="M47" s="20"/>
      <c r="N47" s="21"/>
    </row>
    <row r="48" spans="1:14" ht="15.75" hidden="1" customHeight="1">
      <c r="A48" s="40">
        <v>21</v>
      </c>
      <c r="B48" s="82" t="s">
        <v>36</v>
      </c>
      <c r="C48" s="83" t="s">
        <v>102</v>
      </c>
      <c r="D48" s="82" t="s">
        <v>41</v>
      </c>
      <c r="E48" s="84">
        <v>2474</v>
      </c>
      <c r="F48" s="85">
        <f>SUM(E48*2/1000)</f>
        <v>4.9480000000000004</v>
      </c>
      <c r="G48" s="13">
        <v>606.77</v>
      </c>
      <c r="H48" s="86">
        <f t="shared" si="6"/>
        <v>3.0022979600000004</v>
      </c>
      <c r="I48" s="13">
        <f>F48/2*G48</f>
        <v>1501.1489800000002</v>
      </c>
      <c r="J48" s="23"/>
      <c r="L48" s="19"/>
      <c r="M48" s="20"/>
      <c r="N48" s="21"/>
    </row>
    <row r="49" spans="1:14" ht="15.75" hidden="1" customHeight="1">
      <c r="A49" s="40">
        <v>22</v>
      </c>
      <c r="B49" s="82" t="s">
        <v>54</v>
      </c>
      <c r="C49" s="83" t="s">
        <v>102</v>
      </c>
      <c r="D49" s="82" t="s">
        <v>141</v>
      </c>
      <c r="E49" s="84">
        <v>1349.3</v>
      </c>
      <c r="F49" s="85">
        <f>SUM(E49*5/1000)</f>
        <v>6.7465000000000002</v>
      </c>
      <c r="G49" s="13">
        <v>1213.55</v>
      </c>
      <c r="H49" s="86">
        <f t="shared" si="6"/>
        <v>8.1872150749999992</v>
      </c>
      <c r="I49" s="13">
        <f>F49/5*G49</f>
        <v>1637.4430149999998</v>
      </c>
      <c r="J49" s="23"/>
      <c r="L49" s="19"/>
      <c r="M49" s="20"/>
      <c r="N49" s="21"/>
    </row>
    <row r="50" spans="1:14" ht="30.75" hidden="1" customHeight="1">
      <c r="A50" s="40">
        <v>13</v>
      </c>
      <c r="B50" s="82" t="s">
        <v>109</v>
      </c>
      <c r="C50" s="83" t="s">
        <v>102</v>
      </c>
      <c r="D50" s="82" t="s">
        <v>41</v>
      </c>
      <c r="E50" s="84">
        <v>1349.3</v>
      </c>
      <c r="F50" s="85">
        <f>SUM(E50*2/1000)</f>
        <v>2.6985999999999999</v>
      </c>
      <c r="G50" s="13">
        <v>1213.55</v>
      </c>
      <c r="H50" s="86">
        <f t="shared" si="6"/>
        <v>3.2748860299999998</v>
      </c>
      <c r="I50" s="13">
        <f>F50/2*G50</f>
        <v>1637.4430149999998</v>
      </c>
      <c r="J50" s="23"/>
      <c r="L50" s="19"/>
      <c r="M50" s="20"/>
      <c r="N50" s="21"/>
    </row>
    <row r="51" spans="1:14" ht="30.75" hidden="1" customHeight="1">
      <c r="A51" s="40">
        <v>14</v>
      </c>
      <c r="B51" s="82" t="s">
        <v>110</v>
      </c>
      <c r="C51" s="83" t="s">
        <v>37</v>
      </c>
      <c r="D51" s="82" t="s">
        <v>41</v>
      </c>
      <c r="E51" s="84">
        <v>40</v>
      </c>
      <c r="F51" s="85">
        <f>SUM(E51*2/100)</f>
        <v>0.8</v>
      </c>
      <c r="G51" s="13">
        <v>2730.49</v>
      </c>
      <c r="H51" s="86">
        <f t="shared" si="6"/>
        <v>2.1843919999999999</v>
      </c>
      <c r="I51" s="13">
        <f t="shared" ref="I51:I52" si="8">F51/2*G51</f>
        <v>1092.1959999999999</v>
      </c>
      <c r="J51" s="23"/>
      <c r="L51" s="19"/>
      <c r="M51" s="20"/>
      <c r="N51" s="21"/>
    </row>
    <row r="52" spans="1:14" ht="15.75" hidden="1" customHeight="1">
      <c r="A52" s="40">
        <v>15</v>
      </c>
      <c r="B52" s="82" t="s">
        <v>38</v>
      </c>
      <c r="C52" s="83" t="s">
        <v>39</v>
      </c>
      <c r="D52" s="82" t="s">
        <v>41</v>
      </c>
      <c r="E52" s="84">
        <v>1</v>
      </c>
      <c r="F52" s="85">
        <v>0.02</v>
      </c>
      <c r="G52" s="13">
        <v>5652.13</v>
      </c>
      <c r="H52" s="86">
        <f t="shared" si="6"/>
        <v>0.11304260000000001</v>
      </c>
      <c r="I52" s="13">
        <f t="shared" si="8"/>
        <v>56.521300000000004</v>
      </c>
      <c r="J52" s="23"/>
      <c r="L52" s="19"/>
      <c r="M52" s="20"/>
      <c r="N52" s="21"/>
    </row>
    <row r="53" spans="1:14" ht="15.75" hidden="1" customHeight="1">
      <c r="A53" s="40">
        <v>9</v>
      </c>
      <c r="B53" s="82" t="s">
        <v>40</v>
      </c>
      <c r="C53" s="83" t="s">
        <v>111</v>
      </c>
      <c r="D53" s="82" t="s">
        <v>69</v>
      </c>
      <c r="E53" s="84">
        <v>238</v>
      </c>
      <c r="F53" s="85">
        <f>SUM(E53)*3</f>
        <v>714</v>
      </c>
      <c r="G53" s="13">
        <v>65.67</v>
      </c>
      <c r="H53" s="86">
        <f t="shared" si="6"/>
        <v>46.888380000000005</v>
      </c>
      <c r="I53" s="13">
        <f>E53*G53</f>
        <v>15629.460000000001</v>
      </c>
      <c r="J53" s="23"/>
      <c r="L53" s="19"/>
      <c r="M53" s="20"/>
      <c r="N53" s="21"/>
    </row>
    <row r="54" spans="1:14" ht="15.75" customHeight="1">
      <c r="A54" s="224" t="s">
        <v>150</v>
      </c>
      <c r="B54" s="225"/>
      <c r="C54" s="225"/>
      <c r="D54" s="225"/>
      <c r="E54" s="225"/>
      <c r="F54" s="225"/>
      <c r="G54" s="225"/>
      <c r="H54" s="225"/>
      <c r="I54" s="226"/>
      <c r="J54" s="23"/>
      <c r="L54" s="19"/>
      <c r="M54" s="20"/>
      <c r="N54" s="21"/>
    </row>
    <row r="55" spans="1:14" ht="15.75" hidden="1" customHeight="1">
      <c r="A55" s="180"/>
      <c r="B55" s="47" t="s">
        <v>42</v>
      </c>
      <c r="C55" s="16"/>
      <c r="D55" s="15"/>
      <c r="E55" s="15"/>
      <c r="F55" s="15"/>
      <c r="G55" s="29"/>
      <c r="H55" s="29"/>
      <c r="I55" s="18"/>
      <c r="J55" s="23"/>
      <c r="L55" s="19"/>
      <c r="M55" s="20"/>
      <c r="N55" s="21"/>
    </row>
    <row r="56" spans="1:14" ht="31.5" hidden="1" customHeight="1">
      <c r="A56" s="40">
        <v>16</v>
      </c>
      <c r="B56" s="82" t="s">
        <v>112</v>
      </c>
      <c r="C56" s="83" t="s">
        <v>89</v>
      </c>
      <c r="D56" s="82" t="s">
        <v>113</v>
      </c>
      <c r="E56" s="84">
        <v>176.9</v>
      </c>
      <c r="F56" s="85">
        <f>SUM(E56*6/100)</f>
        <v>10.614000000000001</v>
      </c>
      <c r="G56" s="13">
        <v>1547.28</v>
      </c>
      <c r="H56" s="86">
        <f>SUM(F56*G56/1000)</f>
        <v>16.422829920000002</v>
      </c>
      <c r="I56" s="13">
        <f>F56/6*G56</f>
        <v>2737.13832</v>
      </c>
      <c r="J56" s="23"/>
      <c r="L56" s="19"/>
      <c r="M56" s="20"/>
      <c r="N56" s="21"/>
    </row>
    <row r="57" spans="1:14" ht="15.75" hidden="1" customHeight="1">
      <c r="A57" s="40">
        <v>17</v>
      </c>
      <c r="B57" s="82" t="s">
        <v>129</v>
      </c>
      <c r="C57" s="83" t="s">
        <v>89</v>
      </c>
      <c r="D57" s="82" t="s">
        <v>113</v>
      </c>
      <c r="E57" s="77">
        <v>56</v>
      </c>
      <c r="F57" s="90">
        <v>3.36</v>
      </c>
      <c r="G57" s="85">
        <v>1547.28</v>
      </c>
      <c r="H57" s="86">
        <f>F57*G57/1000</f>
        <v>5.1988607999999994</v>
      </c>
      <c r="I57" s="13">
        <f>F57/6*G57</f>
        <v>866.47679999999991</v>
      </c>
      <c r="J57" s="23"/>
      <c r="L57" s="19"/>
      <c r="M57" s="20"/>
      <c r="N57" s="21"/>
    </row>
    <row r="58" spans="1:14" ht="15.75" hidden="1" customHeight="1">
      <c r="A58" s="40"/>
      <c r="B58" s="82" t="s">
        <v>130</v>
      </c>
      <c r="C58" s="83" t="s">
        <v>131</v>
      </c>
      <c r="D58" s="82" t="s">
        <v>41</v>
      </c>
      <c r="E58" s="91">
        <v>8</v>
      </c>
      <c r="F58" s="13">
        <v>16</v>
      </c>
      <c r="G58" s="85">
        <v>180.78</v>
      </c>
      <c r="H58" s="86">
        <f>SUM(F58*G58/1000)</f>
        <v>2.8924799999999999</v>
      </c>
      <c r="I58" s="13">
        <v>0</v>
      </c>
      <c r="J58" s="23"/>
      <c r="L58" s="19"/>
      <c r="M58" s="20"/>
      <c r="N58" s="21"/>
    </row>
    <row r="59" spans="1:14" ht="15.75" customHeight="1">
      <c r="A59" s="40"/>
      <c r="B59" s="179" t="s">
        <v>43</v>
      </c>
      <c r="C59" s="179"/>
      <c r="D59" s="179"/>
      <c r="E59" s="179"/>
      <c r="F59" s="179"/>
      <c r="G59" s="179"/>
      <c r="H59" s="179"/>
      <c r="I59" s="35"/>
      <c r="J59" s="23"/>
      <c r="L59" s="19"/>
      <c r="M59" s="20"/>
      <c r="N59" s="21"/>
    </row>
    <row r="60" spans="1:14" ht="15.75" hidden="1" customHeight="1">
      <c r="A60" s="40">
        <v>27</v>
      </c>
      <c r="B60" s="82" t="s">
        <v>142</v>
      </c>
      <c r="C60" s="83"/>
      <c r="D60" s="82" t="s">
        <v>52</v>
      </c>
      <c r="E60" s="84">
        <v>1349.3</v>
      </c>
      <c r="F60" s="86">
        <v>13.493</v>
      </c>
      <c r="G60" s="13">
        <v>793.61</v>
      </c>
      <c r="H60" s="92">
        <f>F60*G60/1000</f>
        <v>10.708179729999999</v>
      </c>
      <c r="I60" s="13">
        <v>0</v>
      </c>
      <c r="J60" s="23"/>
      <c r="L60" s="19"/>
      <c r="M60" s="20"/>
      <c r="N60" s="21"/>
    </row>
    <row r="61" spans="1:14" ht="15.75" customHeight="1">
      <c r="A61" s="40">
        <v>10</v>
      </c>
      <c r="B61" s="113" t="s">
        <v>88</v>
      </c>
      <c r="C61" s="114" t="s">
        <v>26</v>
      </c>
      <c r="D61" s="113" t="s">
        <v>243</v>
      </c>
      <c r="E61" s="115">
        <v>200</v>
      </c>
      <c r="F61" s="116">
        <f>E61*12</f>
        <v>2400</v>
      </c>
      <c r="G61" s="117">
        <v>1.4</v>
      </c>
      <c r="H61" s="98">
        <f>F61*G61</f>
        <v>3360</v>
      </c>
      <c r="I61" s="13">
        <f>F61/12*G61</f>
        <v>280</v>
      </c>
      <c r="J61" s="23"/>
      <c r="L61" s="19"/>
      <c r="M61" s="20"/>
      <c r="N61" s="21"/>
    </row>
    <row r="62" spans="1:14" ht="15.75" customHeight="1">
      <c r="A62" s="40"/>
      <c r="B62" s="179" t="s">
        <v>44</v>
      </c>
      <c r="C62" s="16"/>
      <c r="D62" s="37"/>
      <c r="E62" s="15"/>
      <c r="F62" s="15"/>
      <c r="G62" s="29"/>
      <c r="H62" s="29"/>
      <c r="I62" s="18"/>
      <c r="J62" s="23"/>
      <c r="L62" s="19"/>
    </row>
    <row r="63" spans="1:14" ht="19.5" hidden="1" customHeight="1">
      <c r="A63" s="29">
        <v>29</v>
      </c>
      <c r="B63" s="99" t="s">
        <v>46</v>
      </c>
      <c r="C63" s="16" t="s">
        <v>111</v>
      </c>
      <c r="D63" s="99" t="s">
        <v>65</v>
      </c>
      <c r="E63" s="18">
        <v>20</v>
      </c>
      <c r="F63" s="85">
        <v>20</v>
      </c>
      <c r="G63" s="13">
        <v>76.25</v>
      </c>
      <c r="H63" s="100">
        <f t="shared" ref="H63:H69" si="9">SUM(F63*G63/1000)</f>
        <v>1.5249999999999999</v>
      </c>
      <c r="I63" s="13">
        <v>0</v>
      </c>
    </row>
    <row r="64" spans="1:14" ht="22.5" hidden="1" customHeight="1">
      <c r="A64" s="29">
        <v>25</v>
      </c>
      <c r="B64" s="99" t="s">
        <v>47</v>
      </c>
      <c r="C64" s="16" t="s">
        <v>114</v>
      </c>
      <c r="D64" s="99" t="s">
        <v>52</v>
      </c>
      <c r="E64" s="84">
        <v>18890</v>
      </c>
      <c r="F64" s="13">
        <f>SUM(E64/100)</f>
        <v>188.9</v>
      </c>
      <c r="G64" s="13">
        <v>212.15</v>
      </c>
      <c r="H64" s="100">
        <f t="shared" si="9"/>
        <v>40.075135000000003</v>
      </c>
      <c r="I64" s="13">
        <f>F64*G64</f>
        <v>40075.135000000002</v>
      </c>
    </row>
    <row r="65" spans="1:22" ht="23.25" hidden="1" customHeight="1">
      <c r="A65" s="29">
        <v>26</v>
      </c>
      <c r="B65" s="99" t="s">
        <v>48</v>
      </c>
      <c r="C65" s="16" t="s">
        <v>115</v>
      </c>
      <c r="D65" s="99"/>
      <c r="E65" s="84">
        <v>18890</v>
      </c>
      <c r="F65" s="13">
        <f>SUM(E65/1000)</f>
        <v>18.89</v>
      </c>
      <c r="G65" s="13">
        <v>165.21</v>
      </c>
      <c r="H65" s="100">
        <f t="shared" si="9"/>
        <v>3.1208169000000003</v>
      </c>
      <c r="I65" s="13">
        <f t="shared" ref="I65:I68" si="10">F65*G65</f>
        <v>3120.8169000000003</v>
      </c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9"/>
    </row>
    <row r="66" spans="1:22" ht="20.25" hidden="1" customHeight="1">
      <c r="A66" s="29">
        <v>27</v>
      </c>
      <c r="B66" s="99" t="s">
        <v>49</v>
      </c>
      <c r="C66" s="16" t="s">
        <v>75</v>
      </c>
      <c r="D66" s="99" t="s">
        <v>52</v>
      </c>
      <c r="E66" s="84">
        <v>3004</v>
      </c>
      <c r="F66" s="13">
        <f>SUM(E66/100)</f>
        <v>30.04</v>
      </c>
      <c r="G66" s="13">
        <v>2074.63</v>
      </c>
      <c r="H66" s="100">
        <f t="shared" si="9"/>
        <v>62.321885200000004</v>
      </c>
      <c r="I66" s="13">
        <f t="shared" si="10"/>
        <v>62321.885200000004</v>
      </c>
      <c r="J66" s="25"/>
      <c r="K66" s="25"/>
      <c r="L66" s="3"/>
      <c r="M66" s="3"/>
      <c r="N66" s="3"/>
      <c r="O66" s="3"/>
      <c r="P66" s="3"/>
      <c r="Q66" s="3"/>
      <c r="R66" s="3"/>
      <c r="S66" s="3"/>
      <c r="T66" s="3"/>
      <c r="U66" s="3"/>
    </row>
    <row r="67" spans="1:22" ht="21" hidden="1" customHeight="1">
      <c r="A67" s="29">
        <v>28</v>
      </c>
      <c r="B67" s="101" t="s">
        <v>116</v>
      </c>
      <c r="C67" s="16" t="s">
        <v>33</v>
      </c>
      <c r="D67" s="99"/>
      <c r="E67" s="84">
        <v>15.8</v>
      </c>
      <c r="F67" s="13">
        <f>SUM(E67)</f>
        <v>15.8</v>
      </c>
      <c r="G67" s="13">
        <v>42.67</v>
      </c>
      <c r="H67" s="100">
        <f t="shared" si="9"/>
        <v>0.67418600000000006</v>
      </c>
      <c r="I67" s="13">
        <f t="shared" si="10"/>
        <v>674.18600000000004</v>
      </c>
      <c r="J67" s="3"/>
      <c r="K67" s="3"/>
      <c r="L67" s="3"/>
      <c r="M67" s="3"/>
      <c r="N67" s="3"/>
      <c r="O67" s="3"/>
      <c r="P67" s="3"/>
      <c r="Q67" s="3"/>
      <c r="S67" s="3"/>
      <c r="T67" s="3"/>
      <c r="U67" s="3"/>
    </row>
    <row r="68" spans="1:22" ht="22.5" hidden="1" customHeight="1">
      <c r="A68" s="29">
        <v>29</v>
      </c>
      <c r="B68" s="101" t="s">
        <v>117</v>
      </c>
      <c r="C68" s="16" t="s">
        <v>33</v>
      </c>
      <c r="D68" s="99"/>
      <c r="E68" s="84">
        <v>15.8</v>
      </c>
      <c r="F68" s="13">
        <f>SUM(E68)</f>
        <v>15.8</v>
      </c>
      <c r="G68" s="13">
        <v>39.81</v>
      </c>
      <c r="H68" s="100">
        <f t="shared" si="9"/>
        <v>0.62899800000000006</v>
      </c>
      <c r="I68" s="13">
        <f t="shared" si="10"/>
        <v>628.99800000000005</v>
      </c>
      <c r="J68" s="5"/>
      <c r="K68" s="5"/>
      <c r="L68" s="5"/>
      <c r="M68" s="5"/>
      <c r="N68" s="5"/>
      <c r="O68" s="5"/>
      <c r="P68" s="5"/>
      <c r="Q68" s="5"/>
      <c r="R68" s="199"/>
      <c r="S68" s="199"/>
      <c r="T68" s="199"/>
      <c r="U68" s="199"/>
    </row>
    <row r="69" spans="1:22" ht="18.75" hidden="1" customHeight="1">
      <c r="A69" s="29">
        <v>11</v>
      </c>
      <c r="B69" s="99" t="s">
        <v>55</v>
      </c>
      <c r="C69" s="16" t="s">
        <v>56</v>
      </c>
      <c r="D69" s="99" t="s">
        <v>52</v>
      </c>
      <c r="E69" s="18">
        <v>15</v>
      </c>
      <c r="F69" s="85">
        <v>15</v>
      </c>
      <c r="G69" s="13">
        <v>49.88</v>
      </c>
      <c r="H69" s="100">
        <f t="shared" si="9"/>
        <v>0.74820000000000009</v>
      </c>
      <c r="I69" s="13">
        <f>G69*F69</f>
        <v>748.2</v>
      </c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2" ht="18.75" customHeight="1">
      <c r="A70" s="29"/>
      <c r="B70" s="162" t="s">
        <v>181</v>
      </c>
      <c r="C70" s="38"/>
      <c r="D70" s="37"/>
      <c r="E70" s="17"/>
      <c r="F70" s="117"/>
      <c r="G70" s="36"/>
      <c r="H70" s="100"/>
      <c r="I70" s="13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1" spans="1:22" ht="28.5" customHeight="1">
      <c r="A71" s="29">
        <v>11</v>
      </c>
      <c r="B71" s="37" t="s">
        <v>182</v>
      </c>
      <c r="C71" s="40" t="s">
        <v>183</v>
      </c>
      <c r="D71" s="37"/>
      <c r="E71" s="17">
        <v>5162.6000000000004</v>
      </c>
      <c r="F71" s="36">
        <f>E71*12</f>
        <v>61951.200000000004</v>
      </c>
      <c r="G71" s="36">
        <v>2.37</v>
      </c>
      <c r="H71" s="100"/>
      <c r="I71" s="13">
        <f>G71*F71/12</f>
        <v>12235.362000000001</v>
      </c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2" ht="19.5" hidden="1" customHeight="1">
      <c r="A72" s="180"/>
      <c r="B72" s="179" t="s">
        <v>118</v>
      </c>
      <c r="C72" s="179"/>
      <c r="D72" s="179"/>
      <c r="E72" s="179"/>
      <c r="F72" s="179"/>
      <c r="G72" s="179"/>
      <c r="H72" s="179"/>
      <c r="I72" s="18"/>
    </row>
    <row r="73" spans="1:22" ht="14.25" hidden="1" customHeight="1">
      <c r="A73" s="29">
        <v>19</v>
      </c>
      <c r="B73" s="82" t="s">
        <v>119</v>
      </c>
      <c r="C73" s="16"/>
      <c r="D73" s="99"/>
      <c r="E73" s="77"/>
      <c r="F73" s="13">
        <v>1</v>
      </c>
      <c r="G73" s="13">
        <v>27865.200000000001</v>
      </c>
      <c r="H73" s="100">
        <f>G73*F73/1000</f>
        <v>27.865200000000002</v>
      </c>
      <c r="I73" s="13">
        <v>0</v>
      </c>
    </row>
    <row r="74" spans="1:22" ht="24.75" customHeight="1">
      <c r="A74" s="29"/>
      <c r="B74" s="48" t="s">
        <v>70</v>
      </c>
      <c r="C74" s="48"/>
      <c r="D74" s="48"/>
      <c r="E74" s="18"/>
      <c r="F74" s="18"/>
      <c r="G74" s="29"/>
      <c r="H74" s="29"/>
      <c r="I74" s="18"/>
    </row>
    <row r="75" spans="1:22" ht="33.75" customHeight="1">
      <c r="A75" s="29">
        <v>12</v>
      </c>
      <c r="B75" s="37" t="s">
        <v>225</v>
      </c>
      <c r="C75" s="38" t="s">
        <v>111</v>
      </c>
      <c r="D75" s="37"/>
      <c r="E75" s="17">
        <v>2</v>
      </c>
      <c r="F75" s="36">
        <f>E75</f>
        <v>2</v>
      </c>
      <c r="G75" s="36">
        <v>2112.2800000000002</v>
      </c>
      <c r="H75" s="181"/>
      <c r="I75" s="18">
        <f>G75*1</f>
        <v>2112.2800000000002</v>
      </c>
    </row>
    <row r="76" spans="1:22" ht="16.5" customHeight="1">
      <c r="A76" s="29">
        <v>13</v>
      </c>
      <c r="B76" s="37" t="s">
        <v>71</v>
      </c>
      <c r="C76" s="38" t="s">
        <v>73</v>
      </c>
      <c r="D76" s="37"/>
      <c r="E76" s="17">
        <v>8</v>
      </c>
      <c r="F76" s="36">
        <f>E76/10</f>
        <v>0.8</v>
      </c>
      <c r="G76" s="36">
        <v>684.19</v>
      </c>
      <c r="H76" s="100">
        <f t="shared" ref="H76:H80" si="11">SUM(F76*G76/1000)</f>
        <v>0.54735200000000006</v>
      </c>
      <c r="I76" s="13">
        <f>G76*0.3</f>
        <v>205.25700000000001</v>
      </c>
    </row>
    <row r="77" spans="1:22" ht="27.75" hidden="1" customHeight="1">
      <c r="A77" s="29"/>
      <c r="B77" s="99" t="s">
        <v>132</v>
      </c>
      <c r="C77" s="16" t="s">
        <v>31</v>
      </c>
      <c r="D77" s="99"/>
      <c r="E77" s="18">
        <v>1</v>
      </c>
      <c r="F77" s="13">
        <v>1</v>
      </c>
      <c r="G77" s="13">
        <v>99.85</v>
      </c>
      <c r="H77" s="100">
        <f>F77*G77/1000</f>
        <v>9.9849999999999994E-2</v>
      </c>
      <c r="I77" s="13">
        <v>0</v>
      </c>
    </row>
    <row r="78" spans="1:22" ht="31.5" hidden="1" customHeight="1">
      <c r="A78" s="29"/>
      <c r="B78" s="99" t="s">
        <v>133</v>
      </c>
      <c r="C78" s="16" t="s">
        <v>31</v>
      </c>
      <c r="D78" s="99"/>
      <c r="E78" s="18">
        <v>1</v>
      </c>
      <c r="F78" s="13">
        <v>1</v>
      </c>
      <c r="G78" s="13">
        <v>120.26</v>
      </c>
      <c r="H78" s="100">
        <f>F78*G78/1000</f>
        <v>0.12026000000000001</v>
      </c>
      <c r="I78" s="13">
        <v>0</v>
      </c>
    </row>
    <row r="79" spans="1:22" ht="33" hidden="1" customHeight="1">
      <c r="A79" s="29">
        <v>19</v>
      </c>
      <c r="B79" s="99" t="s">
        <v>72</v>
      </c>
      <c r="C79" s="16" t="s">
        <v>31</v>
      </c>
      <c r="D79" s="99"/>
      <c r="E79" s="18">
        <v>2</v>
      </c>
      <c r="F79" s="97">
        <v>2</v>
      </c>
      <c r="G79" s="13">
        <v>852.99</v>
      </c>
      <c r="H79" s="100">
        <f>F79*G79/1000</f>
        <v>1.7059800000000001</v>
      </c>
      <c r="I79" s="13">
        <f>G79</f>
        <v>852.99</v>
      </c>
    </row>
    <row r="80" spans="1:22" ht="20.25" hidden="1" customHeight="1">
      <c r="A80" s="29">
        <v>17</v>
      </c>
      <c r="B80" s="99" t="s">
        <v>83</v>
      </c>
      <c r="C80" s="16" t="s">
        <v>111</v>
      </c>
      <c r="D80" s="99"/>
      <c r="E80" s="18">
        <v>1</v>
      </c>
      <c r="F80" s="85">
        <f>SUM(E80)</f>
        <v>1</v>
      </c>
      <c r="G80" s="13">
        <v>358.51</v>
      </c>
      <c r="H80" s="100">
        <f t="shared" si="11"/>
        <v>0.35851</v>
      </c>
      <c r="I80" s="13">
        <v>0</v>
      </c>
    </row>
    <row r="81" spans="1:9" ht="30.75" customHeight="1">
      <c r="A81" s="29">
        <v>14</v>
      </c>
      <c r="B81" s="37" t="s">
        <v>184</v>
      </c>
      <c r="C81" s="38" t="s">
        <v>111</v>
      </c>
      <c r="D81" s="37" t="s">
        <v>233</v>
      </c>
      <c r="E81" s="17">
        <v>1</v>
      </c>
      <c r="F81" s="36">
        <f>E81*12</f>
        <v>12</v>
      </c>
      <c r="G81" s="36">
        <v>55.55</v>
      </c>
      <c r="H81" s="100"/>
      <c r="I81" s="13">
        <f>G81*F81/12</f>
        <v>55.54999999999999</v>
      </c>
    </row>
    <row r="82" spans="1:9" ht="19.5" hidden="1" customHeight="1">
      <c r="A82" s="29"/>
      <c r="B82" s="49" t="s">
        <v>74</v>
      </c>
      <c r="C82" s="38"/>
      <c r="D82" s="29"/>
      <c r="E82" s="18"/>
      <c r="F82" s="18"/>
      <c r="G82" s="36"/>
      <c r="H82" s="36"/>
      <c r="I82" s="18"/>
    </row>
    <row r="83" spans="1:9" ht="19.5" hidden="1" customHeight="1">
      <c r="A83" s="29">
        <v>39</v>
      </c>
      <c r="B83" s="51" t="s">
        <v>120</v>
      </c>
      <c r="C83" s="16" t="s">
        <v>75</v>
      </c>
      <c r="D83" s="99"/>
      <c r="E83" s="18"/>
      <c r="F83" s="13">
        <v>1.35</v>
      </c>
      <c r="G83" s="13">
        <v>2759.44</v>
      </c>
      <c r="H83" s="100">
        <f t="shared" ref="H83" si="12">SUM(F83*G83/1000)</f>
        <v>3.725244</v>
      </c>
      <c r="I83" s="13">
        <v>0</v>
      </c>
    </row>
    <row r="84" spans="1:9" ht="15.75" customHeight="1">
      <c r="A84" s="208" t="s">
        <v>151</v>
      </c>
      <c r="B84" s="209"/>
      <c r="C84" s="209"/>
      <c r="D84" s="209"/>
      <c r="E84" s="209"/>
      <c r="F84" s="209"/>
      <c r="G84" s="209"/>
      <c r="H84" s="209"/>
      <c r="I84" s="210"/>
    </row>
    <row r="85" spans="1:9" ht="15.75" customHeight="1">
      <c r="A85" s="29">
        <v>15</v>
      </c>
      <c r="B85" s="32" t="s">
        <v>121</v>
      </c>
      <c r="C85" s="38" t="s">
        <v>53</v>
      </c>
      <c r="D85" s="63"/>
      <c r="E85" s="36">
        <v>5162.6000000000004</v>
      </c>
      <c r="F85" s="36">
        <f>SUM(E85*12)</f>
        <v>61951.200000000004</v>
      </c>
      <c r="G85" s="36">
        <v>3.22</v>
      </c>
      <c r="H85" s="102">
        <f>SUM(F85*G85/1000)</f>
        <v>199.48286400000003</v>
      </c>
      <c r="I85" s="13">
        <f>F85/12*G85</f>
        <v>16623.572000000004</v>
      </c>
    </row>
    <row r="86" spans="1:9" ht="31.5" customHeight="1">
      <c r="A86" s="29">
        <v>16</v>
      </c>
      <c r="B86" s="37" t="s">
        <v>185</v>
      </c>
      <c r="C86" s="114" t="s">
        <v>186</v>
      </c>
      <c r="D86" s="37"/>
      <c r="E86" s="17">
        <v>5162.6000000000004</v>
      </c>
      <c r="F86" s="36">
        <f>E86*12</f>
        <v>61951.200000000004</v>
      </c>
      <c r="G86" s="36">
        <v>3.64</v>
      </c>
      <c r="H86" s="100">
        <f>F86*G86/1000</f>
        <v>225.50236800000002</v>
      </c>
      <c r="I86" s="13">
        <f>F86/12*G86</f>
        <v>18791.864000000001</v>
      </c>
    </row>
    <row r="87" spans="1:9" ht="15.75" customHeight="1">
      <c r="A87" s="180"/>
      <c r="B87" s="39" t="s">
        <v>78</v>
      </c>
      <c r="C87" s="40"/>
      <c r="D87" s="15"/>
      <c r="E87" s="15"/>
      <c r="F87" s="15"/>
      <c r="G87" s="18"/>
      <c r="H87" s="18"/>
      <c r="I87" s="31">
        <f>I86+I85+I81+I76+I75+I71+I61+I34+I31+I30+I27+I21+I20+I18+I17+I16</f>
        <v>77949.997671599995</v>
      </c>
    </row>
    <row r="88" spans="1:9" ht="15.75" customHeight="1">
      <c r="A88" s="211" t="s">
        <v>58</v>
      </c>
      <c r="B88" s="212"/>
      <c r="C88" s="212"/>
      <c r="D88" s="212"/>
      <c r="E88" s="212"/>
      <c r="F88" s="212"/>
      <c r="G88" s="212"/>
      <c r="H88" s="212"/>
      <c r="I88" s="213"/>
    </row>
    <row r="89" spans="1:9" ht="34.5" customHeight="1">
      <c r="A89" s="181">
        <v>17</v>
      </c>
      <c r="B89" s="66" t="s">
        <v>226</v>
      </c>
      <c r="C89" s="67" t="s">
        <v>227</v>
      </c>
      <c r="D89" s="178"/>
      <c r="E89" s="178"/>
      <c r="F89" s="178"/>
      <c r="G89" s="36">
        <v>26095.37</v>
      </c>
      <c r="H89" s="178"/>
      <c r="I89" s="182">
        <f>G89*0.01</f>
        <v>260.95369999999997</v>
      </c>
    </row>
    <row r="90" spans="1:9" ht="31.5" customHeight="1">
      <c r="A90" s="29">
        <v>18</v>
      </c>
      <c r="B90" s="66" t="s">
        <v>228</v>
      </c>
      <c r="C90" s="67" t="s">
        <v>154</v>
      </c>
      <c r="D90" s="64"/>
      <c r="E90" s="36"/>
      <c r="F90" s="36">
        <v>7</v>
      </c>
      <c r="G90" s="36">
        <v>561.86</v>
      </c>
      <c r="H90" s="102">
        <f t="shared" ref="H90" si="13">G90*F90/1000</f>
        <v>3.93302</v>
      </c>
      <c r="I90" s="13">
        <f>G90*3</f>
        <v>1685.58</v>
      </c>
    </row>
    <row r="91" spans="1:9" ht="30.75" customHeight="1">
      <c r="A91" s="29">
        <v>19</v>
      </c>
      <c r="B91" s="66" t="s">
        <v>216</v>
      </c>
      <c r="C91" s="67" t="s">
        <v>217</v>
      </c>
      <c r="D91" s="64"/>
      <c r="E91" s="36"/>
      <c r="F91" s="36">
        <v>0.11</v>
      </c>
      <c r="G91" s="36">
        <v>725.1</v>
      </c>
      <c r="H91" s="102">
        <f>G91*F91/1000</f>
        <v>7.9761000000000012E-2</v>
      </c>
      <c r="I91" s="13">
        <f>G91*2</f>
        <v>1450.2</v>
      </c>
    </row>
    <row r="92" spans="1:9" ht="17.25" customHeight="1">
      <c r="A92" s="29">
        <v>20</v>
      </c>
      <c r="B92" s="66" t="s">
        <v>194</v>
      </c>
      <c r="C92" s="67" t="s">
        <v>171</v>
      </c>
      <c r="D92" s="64"/>
      <c r="E92" s="36"/>
      <c r="F92" s="36"/>
      <c r="G92" s="36">
        <v>273</v>
      </c>
      <c r="H92" s="102"/>
      <c r="I92" s="13">
        <f>G92*5</f>
        <v>1365</v>
      </c>
    </row>
    <row r="93" spans="1:9" ht="16.5" customHeight="1">
      <c r="A93" s="29"/>
      <c r="B93" s="45" t="s">
        <v>50</v>
      </c>
      <c r="C93" s="41"/>
      <c r="D93" s="53"/>
      <c r="E93" s="41">
        <v>1</v>
      </c>
      <c r="F93" s="41"/>
      <c r="G93" s="41"/>
      <c r="H93" s="41"/>
      <c r="I93" s="31">
        <f>SUM(I89:I92)</f>
        <v>4761.7336999999998</v>
      </c>
    </row>
    <row r="94" spans="1:9" ht="15.75" customHeight="1">
      <c r="A94" s="29"/>
      <c r="B94" s="51" t="s">
        <v>76</v>
      </c>
      <c r="C94" s="15"/>
      <c r="D94" s="15"/>
      <c r="E94" s="42"/>
      <c r="F94" s="42"/>
      <c r="G94" s="43"/>
      <c r="H94" s="43"/>
      <c r="I94" s="17">
        <v>0</v>
      </c>
    </row>
    <row r="95" spans="1:9" ht="17.25" customHeight="1">
      <c r="A95" s="54"/>
      <c r="B95" s="46" t="s">
        <v>144</v>
      </c>
      <c r="C95" s="34"/>
      <c r="D95" s="34"/>
      <c r="E95" s="34"/>
      <c r="F95" s="34"/>
      <c r="G95" s="34"/>
      <c r="H95" s="34"/>
      <c r="I95" s="44">
        <f>I87+I93</f>
        <v>82711.731371599992</v>
      </c>
    </row>
    <row r="96" spans="1:9" ht="16.5" customHeight="1">
      <c r="A96" s="205" t="s">
        <v>255</v>
      </c>
      <c r="B96" s="205"/>
      <c r="C96" s="205"/>
      <c r="D96" s="205"/>
      <c r="E96" s="205"/>
      <c r="F96" s="205"/>
      <c r="G96" s="205"/>
      <c r="H96" s="205"/>
      <c r="I96" s="205"/>
    </row>
    <row r="97" spans="1:9" ht="15.75" customHeight="1">
      <c r="A97" s="61"/>
      <c r="B97" s="206" t="s">
        <v>256</v>
      </c>
      <c r="C97" s="206"/>
      <c r="D97" s="206"/>
      <c r="E97" s="206"/>
      <c r="F97" s="206"/>
      <c r="G97" s="206"/>
      <c r="H97" s="80"/>
      <c r="I97" s="3"/>
    </row>
    <row r="98" spans="1:9" ht="15.75" customHeight="1">
      <c r="A98" s="74"/>
      <c r="B98" s="204" t="s">
        <v>6</v>
      </c>
      <c r="C98" s="204"/>
      <c r="D98" s="204"/>
      <c r="E98" s="204"/>
      <c r="F98" s="204"/>
      <c r="G98" s="204"/>
      <c r="H98" s="24"/>
      <c r="I98" s="5"/>
    </row>
    <row r="99" spans="1:9" ht="15.75" customHeight="1">
      <c r="A99" s="10"/>
      <c r="B99" s="10"/>
      <c r="C99" s="10"/>
      <c r="D99" s="10"/>
      <c r="E99" s="10"/>
      <c r="F99" s="10"/>
      <c r="G99" s="10"/>
      <c r="H99" s="10"/>
      <c r="I99" s="10"/>
    </row>
    <row r="100" spans="1:9" ht="15.75">
      <c r="A100" s="207" t="s">
        <v>7</v>
      </c>
      <c r="B100" s="207"/>
      <c r="C100" s="207"/>
      <c r="D100" s="207"/>
      <c r="E100" s="207"/>
      <c r="F100" s="207"/>
      <c r="G100" s="207"/>
      <c r="H100" s="207"/>
      <c r="I100" s="207"/>
    </row>
    <row r="101" spans="1:9" ht="15.75">
      <c r="A101" s="207" t="s">
        <v>8</v>
      </c>
      <c r="B101" s="207"/>
      <c r="C101" s="207"/>
      <c r="D101" s="207"/>
      <c r="E101" s="207"/>
      <c r="F101" s="207"/>
      <c r="G101" s="207"/>
      <c r="H101" s="207"/>
      <c r="I101" s="207"/>
    </row>
    <row r="102" spans="1:9" ht="15.75">
      <c r="A102" s="201" t="s">
        <v>59</v>
      </c>
      <c r="B102" s="201"/>
      <c r="C102" s="201"/>
      <c r="D102" s="201"/>
      <c r="E102" s="201"/>
      <c r="F102" s="201"/>
      <c r="G102" s="201"/>
      <c r="H102" s="201"/>
      <c r="I102" s="201"/>
    </row>
    <row r="103" spans="1:9" ht="15.75">
      <c r="A103" s="11"/>
    </row>
    <row r="104" spans="1:9" ht="15.75">
      <c r="A104" s="202" t="s">
        <v>9</v>
      </c>
      <c r="B104" s="202"/>
      <c r="C104" s="202"/>
      <c r="D104" s="202"/>
      <c r="E104" s="202"/>
      <c r="F104" s="202"/>
      <c r="G104" s="202"/>
      <c r="H104" s="202"/>
      <c r="I104" s="202"/>
    </row>
    <row r="105" spans="1:9" ht="15.75">
      <c r="A105" s="4"/>
    </row>
    <row r="106" spans="1:9" ht="15.75">
      <c r="B106" s="72" t="s">
        <v>10</v>
      </c>
      <c r="C106" s="203" t="s">
        <v>84</v>
      </c>
      <c r="D106" s="203"/>
      <c r="E106" s="203"/>
      <c r="F106" s="78"/>
      <c r="I106" s="73"/>
    </row>
    <row r="107" spans="1:9">
      <c r="A107" s="74"/>
      <c r="C107" s="204" t="s">
        <v>11</v>
      </c>
      <c r="D107" s="204"/>
      <c r="E107" s="204"/>
      <c r="F107" s="24"/>
      <c r="I107" s="71" t="s">
        <v>12</v>
      </c>
    </row>
    <row r="108" spans="1:9" ht="15.75">
      <c r="A108" s="25"/>
      <c r="C108" s="12"/>
      <c r="D108" s="12"/>
      <c r="G108" s="12"/>
      <c r="H108" s="12"/>
    </row>
    <row r="109" spans="1:9" ht="15.75">
      <c r="B109" s="72" t="s">
        <v>13</v>
      </c>
      <c r="C109" s="198"/>
      <c r="D109" s="198"/>
      <c r="E109" s="198"/>
      <c r="F109" s="79"/>
      <c r="I109" s="73"/>
    </row>
    <row r="110" spans="1:9">
      <c r="A110" s="74"/>
      <c r="C110" s="199" t="s">
        <v>11</v>
      </c>
      <c r="D110" s="199"/>
      <c r="E110" s="199"/>
      <c r="F110" s="74"/>
      <c r="I110" s="71" t="s">
        <v>12</v>
      </c>
    </row>
    <row r="111" spans="1:9" ht="15.75">
      <c r="A111" s="4" t="s">
        <v>14</v>
      </c>
    </row>
    <row r="112" spans="1:9">
      <c r="A112" s="200" t="s">
        <v>15</v>
      </c>
      <c r="B112" s="200"/>
      <c r="C112" s="200"/>
      <c r="D112" s="200"/>
      <c r="E112" s="200"/>
      <c r="F112" s="200"/>
      <c r="G112" s="200"/>
      <c r="H112" s="200"/>
      <c r="I112" s="200"/>
    </row>
    <row r="113" spans="1:9" ht="15.75">
      <c r="A113" s="197" t="s">
        <v>16</v>
      </c>
      <c r="B113" s="197"/>
      <c r="C113" s="197"/>
      <c r="D113" s="197"/>
      <c r="E113" s="197"/>
      <c r="F113" s="197"/>
      <c r="G113" s="197"/>
      <c r="H113" s="197"/>
      <c r="I113" s="197"/>
    </row>
    <row r="114" spans="1:9" ht="15.75">
      <c r="A114" s="197" t="s">
        <v>17</v>
      </c>
      <c r="B114" s="197"/>
      <c r="C114" s="197"/>
      <c r="D114" s="197"/>
      <c r="E114" s="197"/>
      <c r="F114" s="197"/>
      <c r="G114" s="197"/>
      <c r="H114" s="197"/>
      <c r="I114" s="197"/>
    </row>
    <row r="115" spans="1:9" ht="15.75">
      <c r="A115" s="197" t="s">
        <v>21</v>
      </c>
      <c r="B115" s="197"/>
      <c r="C115" s="197"/>
      <c r="D115" s="197"/>
      <c r="E115" s="197"/>
      <c r="F115" s="197"/>
      <c r="G115" s="197"/>
      <c r="H115" s="197"/>
      <c r="I115" s="197"/>
    </row>
    <row r="116" spans="1:9" ht="15.75">
      <c r="A116" s="197" t="s">
        <v>20</v>
      </c>
      <c r="B116" s="197"/>
      <c r="C116" s="197"/>
      <c r="D116" s="197"/>
      <c r="E116" s="197"/>
      <c r="F116" s="197"/>
      <c r="G116" s="197"/>
      <c r="H116" s="197"/>
      <c r="I116" s="197"/>
    </row>
    <row r="117" spans="1:9" ht="45" customHeight="1"/>
    <row r="118" spans="1:9" ht="30" customHeight="1"/>
    <row r="119" spans="1:9" ht="30" customHeight="1"/>
    <row r="120" spans="1:9" ht="15" customHeight="1"/>
  </sheetData>
  <autoFilter ref="I12:I63"/>
  <mergeCells count="29">
    <mergeCell ref="A14:I14"/>
    <mergeCell ref="A15:I15"/>
    <mergeCell ref="A28:I28"/>
    <mergeCell ref="A44:I44"/>
    <mergeCell ref="A54:I54"/>
    <mergeCell ref="A3:I3"/>
    <mergeCell ref="A4:I4"/>
    <mergeCell ref="A5:I5"/>
    <mergeCell ref="A8:I8"/>
    <mergeCell ref="A10:I10"/>
    <mergeCell ref="R68:U68"/>
    <mergeCell ref="C110:E110"/>
    <mergeCell ref="A88:I88"/>
    <mergeCell ref="A96:I96"/>
    <mergeCell ref="B97:G97"/>
    <mergeCell ref="B98:G98"/>
    <mergeCell ref="A100:I100"/>
    <mergeCell ref="A101:I101"/>
    <mergeCell ref="A102:I102"/>
    <mergeCell ref="A104:I104"/>
    <mergeCell ref="C106:E106"/>
    <mergeCell ref="C107:E107"/>
    <mergeCell ref="C109:E109"/>
    <mergeCell ref="A84:I84"/>
    <mergeCell ref="A112:I112"/>
    <mergeCell ref="A113:I113"/>
    <mergeCell ref="A114:I114"/>
    <mergeCell ref="A115:I115"/>
    <mergeCell ref="A116:I116"/>
  </mergeCells>
  <pageMargins left="0.70866141732283472" right="0.23622047244094491" top="0.27559055118110237" bottom="0.27559055118110237" header="0.31496062992125984" footer="0.31496062992125984"/>
  <pageSetup paperSize="9" scale="64" orientation="portrait" r:id="rId1"/>
  <rowBreaks count="1" manualBreakCount="1">
    <brk id="111" max="8" man="1"/>
  </rowBreaks>
  <colBreaks count="1" manualBreakCount="1">
    <brk id="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V130"/>
  <sheetViews>
    <sheetView workbookViewId="0">
      <selection activeCell="A110" sqref="A110:I110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170</v>
      </c>
      <c r="I1" s="26"/>
      <c r="J1" s="1"/>
      <c r="K1" s="1"/>
      <c r="L1" s="1"/>
      <c r="M1" s="1"/>
    </row>
    <row r="2" spans="1:13" ht="15.75" customHeight="1">
      <c r="A2" s="28" t="s">
        <v>60</v>
      </c>
      <c r="J2" s="2"/>
      <c r="K2" s="2"/>
      <c r="L2" s="2"/>
      <c r="M2" s="2"/>
    </row>
    <row r="3" spans="1:13" ht="15.75" customHeight="1">
      <c r="A3" s="214" t="s">
        <v>157</v>
      </c>
      <c r="B3" s="214"/>
      <c r="C3" s="214"/>
      <c r="D3" s="214"/>
      <c r="E3" s="214"/>
      <c r="F3" s="214"/>
      <c r="G3" s="214"/>
      <c r="H3" s="214"/>
      <c r="I3" s="214"/>
      <c r="J3" s="3"/>
      <c r="K3" s="3"/>
      <c r="L3" s="3"/>
    </row>
    <row r="4" spans="1:13" ht="31.5" customHeight="1">
      <c r="A4" s="215" t="s">
        <v>122</v>
      </c>
      <c r="B4" s="215"/>
      <c r="C4" s="215"/>
      <c r="D4" s="215"/>
      <c r="E4" s="215"/>
      <c r="F4" s="215"/>
      <c r="G4" s="215"/>
      <c r="H4" s="215"/>
      <c r="I4" s="215"/>
    </row>
    <row r="5" spans="1:13" ht="15.75" customHeight="1">
      <c r="A5" s="214" t="s">
        <v>253</v>
      </c>
      <c r="B5" s="218"/>
      <c r="C5" s="218"/>
      <c r="D5" s="218"/>
      <c r="E5" s="218"/>
      <c r="F5" s="218"/>
      <c r="G5" s="218"/>
      <c r="H5" s="218"/>
      <c r="I5" s="218"/>
      <c r="J5" s="2"/>
      <c r="K5" s="2"/>
      <c r="L5" s="2"/>
      <c r="M5" s="2"/>
    </row>
    <row r="6" spans="1:13" ht="15.75" customHeight="1">
      <c r="A6" s="2"/>
      <c r="B6" s="75"/>
      <c r="C6" s="75"/>
      <c r="D6" s="75"/>
      <c r="E6" s="75"/>
      <c r="F6" s="75"/>
      <c r="G6" s="75"/>
      <c r="H6" s="75"/>
      <c r="I6" s="30">
        <v>43677</v>
      </c>
      <c r="J6" s="2"/>
      <c r="K6" s="2"/>
      <c r="L6" s="2"/>
      <c r="M6" s="2"/>
    </row>
    <row r="7" spans="1:13" ht="15.75" customHeight="1">
      <c r="B7" s="72"/>
      <c r="C7" s="72"/>
      <c r="D7" s="72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16" t="s">
        <v>196</v>
      </c>
      <c r="B8" s="216"/>
      <c r="C8" s="216"/>
      <c r="D8" s="216"/>
      <c r="E8" s="216"/>
      <c r="F8" s="216"/>
      <c r="G8" s="216"/>
      <c r="H8" s="216"/>
      <c r="I8" s="216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17" t="s">
        <v>136</v>
      </c>
      <c r="B10" s="217"/>
      <c r="C10" s="217"/>
      <c r="D10" s="217"/>
      <c r="E10" s="217"/>
      <c r="F10" s="217"/>
      <c r="G10" s="217"/>
      <c r="H10" s="217"/>
      <c r="I10" s="217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219" t="s">
        <v>57</v>
      </c>
      <c r="B14" s="219"/>
      <c r="C14" s="219"/>
      <c r="D14" s="219"/>
      <c r="E14" s="219"/>
      <c r="F14" s="219"/>
      <c r="G14" s="219"/>
      <c r="H14" s="219"/>
      <c r="I14" s="219"/>
      <c r="J14" s="8"/>
      <c r="K14" s="8"/>
      <c r="L14" s="8"/>
      <c r="M14" s="8"/>
    </row>
    <row r="15" spans="1:13" ht="15.75" customHeight="1">
      <c r="A15" s="220" t="s">
        <v>4</v>
      </c>
      <c r="B15" s="220"/>
      <c r="C15" s="220"/>
      <c r="D15" s="220"/>
      <c r="E15" s="220"/>
      <c r="F15" s="220"/>
      <c r="G15" s="220"/>
      <c r="H15" s="220"/>
      <c r="I15" s="220"/>
      <c r="J15" s="8"/>
      <c r="K15" s="8"/>
      <c r="L15" s="8"/>
      <c r="M15" s="8"/>
    </row>
    <row r="16" spans="1:13" ht="15.75" customHeight="1">
      <c r="A16" s="29">
        <v>1</v>
      </c>
      <c r="B16" s="32" t="s">
        <v>82</v>
      </c>
      <c r="C16" s="138" t="s">
        <v>89</v>
      </c>
      <c r="D16" s="32" t="s">
        <v>230</v>
      </c>
      <c r="E16" s="152">
        <v>129.88</v>
      </c>
      <c r="F16" s="139">
        <f>SUM(E16*156/100)</f>
        <v>202.61279999999999</v>
      </c>
      <c r="G16" s="139">
        <v>239.2</v>
      </c>
      <c r="H16" s="86">
        <f t="shared" ref="H16:H26" si="0">SUM(F16*G16/1000)</f>
        <v>48.464981759999993</v>
      </c>
      <c r="I16" s="13">
        <f>F16/12*G16</f>
        <v>4038.7484799999997</v>
      </c>
      <c r="J16" s="8"/>
      <c r="K16" s="8"/>
      <c r="L16" s="8"/>
      <c r="M16" s="8"/>
    </row>
    <row r="17" spans="1:13" ht="15.75" customHeight="1">
      <c r="A17" s="29">
        <v>2</v>
      </c>
      <c r="B17" s="32" t="s">
        <v>85</v>
      </c>
      <c r="C17" s="138" t="s">
        <v>89</v>
      </c>
      <c r="D17" s="32" t="s">
        <v>231</v>
      </c>
      <c r="E17" s="152">
        <v>519.52</v>
      </c>
      <c r="F17" s="139">
        <f>SUM(E17*104/100)</f>
        <v>540.30079999999998</v>
      </c>
      <c r="G17" s="139">
        <v>239.2</v>
      </c>
      <c r="H17" s="86">
        <f t="shared" si="0"/>
        <v>129.23995135999999</v>
      </c>
      <c r="I17" s="13">
        <f>F17/12*G17</f>
        <v>10769.995946666666</v>
      </c>
      <c r="J17" s="22"/>
      <c r="K17" s="8"/>
      <c r="L17" s="8"/>
      <c r="M17" s="8"/>
    </row>
    <row r="18" spans="1:13" ht="15.75" customHeight="1">
      <c r="A18" s="29">
        <v>3</v>
      </c>
      <c r="B18" s="32" t="s">
        <v>86</v>
      </c>
      <c r="C18" s="138" t="s">
        <v>89</v>
      </c>
      <c r="D18" s="32" t="s">
        <v>232</v>
      </c>
      <c r="E18" s="152">
        <f>SUM(E16+E17)</f>
        <v>649.4</v>
      </c>
      <c r="F18" s="139">
        <f>SUM(E18*18/100)</f>
        <v>116.892</v>
      </c>
      <c r="G18" s="139">
        <v>688.14</v>
      </c>
      <c r="H18" s="86">
        <f t="shared" si="0"/>
        <v>80.438060879999995</v>
      </c>
      <c r="I18" s="13">
        <f>F18/12*G18</f>
        <v>6703.1717399999998</v>
      </c>
      <c r="J18" s="22"/>
      <c r="K18" s="8"/>
      <c r="L18" s="8"/>
      <c r="M18" s="8"/>
    </row>
    <row r="19" spans="1:13" ht="14.25" hidden="1" customHeight="1">
      <c r="A19" s="29">
        <v>4</v>
      </c>
      <c r="B19" s="82" t="s">
        <v>90</v>
      </c>
      <c r="C19" s="83" t="s">
        <v>91</v>
      </c>
      <c r="D19" s="82" t="s">
        <v>92</v>
      </c>
      <c r="E19" s="84">
        <v>124.8</v>
      </c>
      <c r="F19" s="85">
        <f>SUM(E19/10)</f>
        <v>12.48</v>
      </c>
      <c r="G19" s="85">
        <v>170.16</v>
      </c>
      <c r="H19" s="86">
        <f t="shared" si="0"/>
        <v>2.1235967999999996</v>
      </c>
      <c r="I19" s="13">
        <f>F19/2*G19</f>
        <v>1061.7983999999999</v>
      </c>
      <c r="J19" s="22"/>
      <c r="K19" s="8"/>
      <c r="L19" s="8"/>
      <c r="M19" s="8"/>
    </row>
    <row r="20" spans="1:13" ht="15.75" customHeight="1">
      <c r="A20" s="29">
        <v>4</v>
      </c>
      <c r="B20" s="32" t="s">
        <v>95</v>
      </c>
      <c r="C20" s="138" t="s">
        <v>89</v>
      </c>
      <c r="D20" s="32" t="s">
        <v>243</v>
      </c>
      <c r="E20" s="152">
        <v>57.5</v>
      </c>
      <c r="F20" s="139">
        <f>SUM(E20*12/100)</f>
        <v>6.9</v>
      </c>
      <c r="G20" s="139">
        <v>297.19</v>
      </c>
      <c r="H20" s="86">
        <f t="shared" si="0"/>
        <v>2.050611</v>
      </c>
      <c r="I20" s="13">
        <f>F20*G20/12</f>
        <v>170.88424999999998</v>
      </c>
      <c r="J20" s="22"/>
      <c r="K20" s="8"/>
      <c r="L20" s="8"/>
      <c r="M20" s="8"/>
    </row>
    <row r="21" spans="1:13" ht="16.5" customHeight="1">
      <c r="A21" s="29">
        <v>5</v>
      </c>
      <c r="B21" s="32" t="s">
        <v>96</v>
      </c>
      <c r="C21" s="138" t="s">
        <v>89</v>
      </c>
      <c r="D21" s="32" t="s">
        <v>243</v>
      </c>
      <c r="E21" s="152">
        <v>13.41</v>
      </c>
      <c r="F21" s="139">
        <f>SUM(E21*12/100)</f>
        <v>1.6092000000000002</v>
      </c>
      <c r="G21" s="139">
        <v>294.77999999999997</v>
      </c>
      <c r="H21" s="86">
        <f t="shared" si="0"/>
        <v>0.47435997600000002</v>
      </c>
      <c r="I21" s="13">
        <f>F21*G21/12</f>
        <v>39.529997999999999</v>
      </c>
      <c r="J21" s="22"/>
      <c r="K21" s="8"/>
      <c r="L21" s="8"/>
      <c r="M21" s="8"/>
    </row>
    <row r="22" spans="1:13" ht="15" hidden="1" customHeight="1">
      <c r="A22" s="29">
        <v>7</v>
      </c>
      <c r="B22" s="82" t="s">
        <v>97</v>
      </c>
      <c r="C22" s="83" t="s">
        <v>51</v>
      </c>
      <c r="D22" s="82" t="s">
        <v>92</v>
      </c>
      <c r="E22" s="84">
        <v>820.5</v>
      </c>
      <c r="F22" s="85">
        <f>SUM(E22/100)</f>
        <v>8.2050000000000001</v>
      </c>
      <c r="G22" s="85">
        <v>269.26</v>
      </c>
      <c r="H22" s="86">
        <f t="shared" si="0"/>
        <v>2.2092782999999998</v>
      </c>
      <c r="I22" s="13">
        <f t="shared" ref="I22:I26" si="1">F22*G22</f>
        <v>2209.2782999999999</v>
      </c>
      <c r="J22" s="22"/>
      <c r="K22" s="8"/>
      <c r="L22" s="8"/>
      <c r="M22" s="8"/>
    </row>
    <row r="23" spans="1:13" ht="17.25" hidden="1" customHeight="1">
      <c r="A23" s="29">
        <v>8</v>
      </c>
      <c r="B23" s="82" t="s">
        <v>98</v>
      </c>
      <c r="C23" s="83" t="s">
        <v>51</v>
      </c>
      <c r="D23" s="82" t="s">
        <v>92</v>
      </c>
      <c r="E23" s="87">
        <v>60.25</v>
      </c>
      <c r="F23" s="85">
        <f>SUM(E23/100)</f>
        <v>0.60250000000000004</v>
      </c>
      <c r="G23" s="85">
        <v>44.29</v>
      </c>
      <c r="H23" s="86">
        <f t="shared" si="0"/>
        <v>2.6684724999999999E-2</v>
      </c>
      <c r="I23" s="13">
        <f t="shared" si="1"/>
        <v>26.684725</v>
      </c>
      <c r="J23" s="22"/>
      <c r="K23" s="8"/>
      <c r="L23" s="8"/>
      <c r="M23" s="8"/>
    </row>
    <row r="24" spans="1:13" ht="15.75" hidden="1" customHeight="1">
      <c r="A24" s="29">
        <v>9</v>
      </c>
      <c r="B24" s="82" t="s">
        <v>93</v>
      </c>
      <c r="C24" s="83" t="s">
        <v>51</v>
      </c>
      <c r="D24" s="82" t="s">
        <v>94</v>
      </c>
      <c r="E24" s="84">
        <v>19.149999999999999</v>
      </c>
      <c r="F24" s="85">
        <f>E24/100</f>
        <v>0.19149999999999998</v>
      </c>
      <c r="G24" s="85">
        <v>389.72</v>
      </c>
      <c r="H24" s="86">
        <f t="shared" si="0"/>
        <v>7.4631379999999997E-2</v>
      </c>
      <c r="I24" s="13">
        <f t="shared" si="1"/>
        <v>74.631379999999993</v>
      </c>
      <c r="J24" s="22"/>
      <c r="K24" s="8"/>
      <c r="L24" s="8"/>
      <c r="M24" s="8"/>
    </row>
    <row r="25" spans="1:13" ht="13.5" hidden="1" customHeight="1">
      <c r="A25" s="29">
        <v>10</v>
      </c>
      <c r="B25" s="82" t="s">
        <v>100</v>
      </c>
      <c r="C25" s="83" t="s">
        <v>51</v>
      </c>
      <c r="D25" s="82" t="s">
        <v>52</v>
      </c>
      <c r="E25" s="84">
        <v>31.5</v>
      </c>
      <c r="F25" s="85">
        <v>0.32</v>
      </c>
      <c r="G25" s="85">
        <v>216.12</v>
      </c>
      <c r="H25" s="86">
        <f t="shared" si="0"/>
        <v>6.9158399999999995E-2</v>
      </c>
      <c r="I25" s="13">
        <f t="shared" si="1"/>
        <v>69.1584</v>
      </c>
      <c r="J25" s="22"/>
      <c r="K25" s="8"/>
      <c r="L25" s="8"/>
      <c r="M25" s="8"/>
    </row>
    <row r="26" spans="1:13" ht="15" hidden="1" customHeight="1">
      <c r="A26" s="29">
        <v>11</v>
      </c>
      <c r="B26" s="82" t="s">
        <v>99</v>
      </c>
      <c r="C26" s="83" t="s">
        <v>51</v>
      </c>
      <c r="D26" s="82" t="s">
        <v>92</v>
      </c>
      <c r="E26" s="84">
        <v>37.5</v>
      </c>
      <c r="F26" s="85">
        <f>SUM(E26/100)</f>
        <v>0.375</v>
      </c>
      <c r="G26" s="85">
        <v>520.79999999999995</v>
      </c>
      <c r="H26" s="86">
        <f t="shared" si="0"/>
        <v>0.19529999999999997</v>
      </c>
      <c r="I26" s="13">
        <f t="shared" si="1"/>
        <v>195.29999999999998</v>
      </c>
      <c r="J26" s="22"/>
      <c r="K26" s="8"/>
      <c r="L26" s="8"/>
      <c r="M26" s="8"/>
    </row>
    <row r="27" spans="1:13" ht="15.75" customHeight="1">
      <c r="A27" s="29">
        <v>6</v>
      </c>
      <c r="B27" s="32" t="s">
        <v>229</v>
      </c>
      <c r="C27" s="138" t="s">
        <v>26</v>
      </c>
      <c r="D27" s="32" t="s">
        <v>234</v>
      </c>
      <c r="E27" s="175">
        <v>4.88</v>
      </c>
      <c r="F27" s="139">
        <f>E27*258</f>
        <v>1259.04</v>
      </c>
      <c r="G27" s="139">
        <v>10.39</v>
      </c>
      <c r="H27" s="86">
        <f t="shared" ref="H27" si="2">SUM(F27*G27/1000)</f>
        <v>13.081425600000001</v>
      </c>
      <c r="I27" s="13">
        <f>F27/12*G27</f>
        <v>1090.1188</v>
      </c>
      <c r="J27" s="22"/>
      <c r="K27" s="8"/>
      <c r="L27" s="8"/>
      <c r="M27" s="8"/>
    </row>
    <row r="28" spans="1:13" ht="15.75" customHeight="1">
      <c r="A28" s="220" t="s">
        <v>81</v>
      </c>
      <c r="B28" s="220"/>
      <c r="C28" s="220"/>
      <c r="D28" s="220"/>
      <c r="E28" s="220"/>
      <c r="F28" s="220"/>
      <c r="G28" s="220"/>
      <c r="H28" s="220"/>
      <c r="I28" s="220"/>
      <c r="J28" s="22"/>
      <c r="K28" s="8"/>
      <c r="L28" s="8"/>
      <c r="M28" s="8"/>
    </row>
    <row r="29" spans="1:13" ht="15.75" customHeight="1">
      <c r="A29" s="40"/>
      <c r="B29" s="50" t="s">
        <v>29</v>
      </c>
      <c r="C29" s="50"/>
      <c r="D29" s="50"/>
      <c r="E29" s="50"/>
      <c r="F29" s="50"/>
      <c r="G29" s="50"/>
      <c r="H29" s="50"/>
      <c r="I29" s="18"/>
      <c r="J29" s="22"/>
      <c r="K29" s="8"/>
      <c r="L29" s="8"/>
      <c r="M29" s="8"/>
    </row>
    <row r="30" spans="1:13" ht="15.75" customHeight="1">
      <c r="A30" s="40">
        <v>7</v>
      </c>
      <c r="B30" s="32" t="s">
        <v>101</v>
      </c>
      <c r="C30" s="138" t="s">
        <v>102</v>
      </c>
      <c r="D30" s="32" t="s">
        <v>231</v>
      </c>
      <c r="E30" s="139">
        <v>1304.45</v>
      </c>
      <c r="F30" s="139">
        <f>SUM(E30*52/1000)</f>
        <v>67.831400000000002</v>
      </c>
      <c r="G30" s="139">
        <v>212.62</v>
      </c>
      <c r="H30" s="86">
        <f t="shared" ref="H30:H31" si="3">SUM(F30*G30/1000)</f>
        <v>14.422312268000001</v>
      </c>
      <c r="I30" s="13">
        <f>F30/6*G30</f>
        <v>2403.7187113333334</v>
      </c>
      <c r="J30" s="22"/>
      <c r="K30" s="8"/>
      <c r="L30" s="8"/>
      <c r="M30" s="8"/>
    </row>
    <row r="31" spans="1:13" ht="31.5" customHeight="1">
      <c r="A31" s="40">
        <v>8</v>
      </c>
      <c r="B31" s="32" t="s">
        <v>140</v>
      </c>
      <c r="C31" s="138" t="s">
        <v>102</v>
      </c>
      <c r="D31" s="32" t="s">
        <v>231</v>
      </c>
      <c r="E31" s="139">
        <v>287.83999999999997</v>
      </c>
      <c r="F31" s="139">
        <f>SUM(E31*52/1000)</f>
        <v>14.967679999999998</v>
      </c>
      <c r="G31" s="139">
        <v>352.77</v>
      </c>
      <c r="H31" s="86">
        <f t="shared" si="3"/>
        <v>5.2801484735999997</v>
      </c>
      <c r="I31" s="13">
        <f t="shared" ref="I31" si="4">F31/6*G31</f>
        <v>880.02474559999985</v>
      </c>
      <c r="J31" s="22"/>
      <c r="K31" s="8"/>
      <c r="L31" s="8"/>
      <c r="M31" s="8"/>
    </row>
    <row r="32" spans="1:13" ht="15.75" hidden="1" customHeight="1">
      <c r="A32" s="40">
        <v>16</v>
      </c>
      <c r="B32" s="82" t="s">
        <v>28</v>
      </c>
      <c r="C32" s="83" t="s">
        <v>102</v>
      </c>
      <c r="D32" s="82" t="s">
        <v>52</v>
      </c>
      <c r="E32" s="85">
        <v>1304.45</v>
      </c>
      <c r="F32" s="85">
        <f>SUM(E32/1000)</f>
        <v>1.3044500000000001</v>
      </c>
      <c r="G32" s="85">
        <v>3020.33</v>
      </c>
      <c r="H32" s="86">
        <f t="shared" ref="H32:H34" si="5">SUM(F32*G32/1000)</f>
        <v>3.9398694685</v>
      </c>
      <c r="I32" s="13">
        <f>F32*G32</f>
        <v>3939.8694685</v>
      </c>
      <c r="J32" s="22"/>
      <c r="K32" s="8"/>
      <c r="L32" s="8"/>
      <c r="M32" s="8"/>
    </row>
    <row r="33" spans="1:14" ht="15.75" hidden="1" customHeight="1">
      <c r="A33" s="40">
        <v>4</v>
      </c>
      <c r="B33" s="82" t="s">
        <v>63</v>
      </c>
      <c r="C33" s="83" t="s">
        <v>33</v>
      </c>
      <c r="D33" s="82" t="s">
        <v>65</v>
      </c>
      <c r="E33" s="84"/>
      <c r="F33" s="85">
        <v>3</v>
      </c>
      <c r="G33" s="85">
        <v>191.32</v>
      </c>
      <c r="H33" s="86">
        <f t="shared" si="5"/>
        <v>0.57396000000000003</v>
      </c>
      <c r="I33" s="13">
        <v>0</v>
      </c>
      <c r="J33" s="23"/>
    </row>
    <row r="34" spans="1:14" ht="15.75" hidden="1" customHeight="1">
      <c r="A34" s="29">
        <v>8</v>
      </c>
      <c r="B34" s="82" t="s">
        <v>64</v>
      </c>
      <c r="C34" s="83" t="s">
        <v>32</v>
      </c>
      <c r="D34" s="82" t="s">
        <v>65</v>
      </c>
      <c r="E34" s="84"/>
      <c r="F34" s="85">
        <v>2</v>
      </c>
      <c r="G34" s="85">
        <v>1136.32</v>
      </c>
      <c r="H34" s="86">
        <f t="shared" si="5"/>
        <v>2.27264</v>
      </c>
      <c r="I34" s="13">
        <v>0</v>
      </c>
      <c r="J34" s="23"/>
    </row>
    <row r="35" spans="1:14" ht="15.75" hidden="1" customHeight="1">
      <c r="A35" s="40"/>
      <c r="B35" s="48" t="s">
        <v>5</v>
      </c>
      <c r="C35" s="48"/>
      <c r="D35" s="48"/>
      <c r="E35" s="13"/>
      <c r="F35" s="13"/>
      <c r="G35" s="14"/>
      <c r="H35" s="14"/>
      <c r="I35" s="18"/>
      <c r="J35" s="23"/>
    </row>
    <row r="36" spans="1:14" ht="15.75" hidden="1" customHeight="1">
      <c r="A36" s="33">
        <v>6</v>
      </c>
      <c r="B36" s="82" t="s">
        <v>27</v>
      </c>
      <c r="C36" s="83" t="s">
        <v>32</v>
      </c>
      <c r="D36" s="82"/>
      <c r="E36" s="84"/>
      <c r="F36" s="85">
        <v>10</v>
      </c>
      <c r="G36" s="85">
        <v>1527.22</v>
      </c>
      <c r="H36" s="86">
        <f t="shared" ref="H36:H43" si="6">SUM(F36*G36/1000)</f>
        <v>15.272200000000002</v>
      </c>
      <c r="I36" s="13">
        <f>F36/6*G36</f>
        <v>2545.3666666666668</v>
      </c>
      <c r="J36" s="23"/>
    </row>
    <row r="37" spans="1:14" ht="15.75" hidden="1" customHeight="1">
      <c r="A37" s="33">
        <v>7</v>
      </c>
      <c r="B37" s="82" t="s">
        <v>123</v>
      </c>
      <c r="C37" s="83" t="s">
        <v>30</v>
      </c>
      <c r="D37" s="82" t="s">
        <v>124</v>
      </c>
      <c r="E37" s="85">
        <v>495</v>
      </c>
      <c r="F37" s="85">
        <f>SUM(E37*12/1000)</f>
        <v>5.94</v>
      </c>
      <c r="G37" s="85">
        <v>2102.71</v>
      </c>
      <c r="H37" s="86">
        <f t="shared" si="6"/>
        <v>12.4900974</v>
      </c>
      <c r="I37" s="13">
        <f>F37/6*G37</f>
        <v>2081.6829000000002</v>
      </c>
      <c r="J37" s="23"/>
    </row>
    <row r="38" spans="1:14" ht="15.75" hidden="1" customHeight="1">
      <c r="A38" s="33">
        <v>8</v>
      </c>
      <c r="B38" s="82" t="s">
        <v>125</v>
      </c>
      <c r="C38" s="83" t="s">
        <v>30</v>
      </c>
      <c r="D38" s="82" t="s">
        <v>106</v>
      </c>
      <c r="E38" s="84">
        <v>287.83999999999997</v>
      </c>
      <c r="F38" s="85">
        <v>8.64</v>
      </c>
      <c r="G38" s="85">
        <v>2102.71</v>
      </c>
      <c r="H38" s="86">
        <f>G38*F38/1000</f>
        <v>18.167414400000002</v>
      </c>
      <c r="I38" s="13">
        <f>F38/6*G38</f>
        <v>3027.9024000000004</v>
      </c>
      <c r="J38" s="23"/>
    </row>
    <row r="39" spans="1:14" ht="15.75" hidden="1" customHeight="1">
      <c r="A39" s="33">
        <v>7</v>
      </c>
      <c r="B39" s="82" t="s">
        <v>87</v>
      </c>
      <c r="C39" s="83" t="s">
        <v>126</v>
      </c>
      <c r="D39" s="82" t="s">
        <v>65</v>
      </c>
      <c r="E39" s="84"/>
      <c r="F39" s="85">
        <v>80</v>
      </c>
      <c r="G39" s="85">
        <v>199.44</v>
      </c>
      <c r="H39" s="86">
        <f>G39*F39/1000</f>
        <v>15.955200000000001</v>
      </c>
      <c r="I39" s="13">
        <v>0</v>
      </c>
      <c r="J39" s="23"/>
    </row>
    <row r="40" spans="1:14" ht="15.75" hidden="1" customHeight="1">
      <c r="A40" s="33">
        <v>9</v>
      </c>
      <c r="B40" s="82" t="s">
        <v>66</v>
      </c>
      <c r="C40" s="83" t="s">
        <v>30</v>
      </c>
      <c r="D40" s="82" t="s">
        <v>107</v>
      </c>
      <c r="E40" s="85">
        <v>287.83999999999997</v>
      </c>
      <c r="F40" s="85">
        <f>SUM(E40*155/1000)</f>
        <v>44.615199999999994</v>
      </c>
      <c r="G40" s="85">
        <v>350.75</v>
      </c>
      <c r="H40" s="86">
        <f t="shared" si="6"/>
        <v>15.648781399999997</v>
      </c>
      <c r="I40" s="13">
        <f>F40/6*G40</f>
        <v>2608.1302333333329</v>
      </c>
      <c r="J40" s="23"/>
    </row>
    <row r="41" spans="1:14" ht="47.25" hidden="1" customHeight="1">
      <c r="A41" s="33">
        <v>10</v>
      </c>
      <c r="B41" s="82" t="s">
        <v>79</v>
      </c>
      <c r="C41" s="83" t="s">
        <v>102</v>
      </c>
      <c r="D41" s="82" t="s">
        <v>127</v>
      </c>
      <c r="E41" s="85">
        <v>89.43</v>
      </c>
      <c r="F41" s="85">
        <f>SUM(E41*24/1000)</f>
        <v>2.1463200000000002</v>
      </c>
      <c r="G41" s="85">
        <v>5803.28</v>
      </c>
      <c r="H41" s="86">
        <f t="shared" si="6"/>
        <v>12.455695929600001</v>
      </c>
      <c r="I41" s="13">
        <f>F41/6*G41</f>
        <v>2075.9493216000001</v>
      </c>
      <c r="J41" s="23"/>
      <c r="L41" s="19"/>
      <c r="M41" s="20"/>
      <c r="N41" s="21"/>
    </row>
    <row r="42" spans="1:14" ht="15.75" hidden="1" customHeight="1">
      <c r="A42" s="33">
        <v>11</v>
      </c>
      <c r="B42" s="82" t="s">
        <v>108</v>
      </c>
      <c r="C42" s="83" t="s">
        <v>102</v>
      </c>
      <c r="D42" s="82" t="s">
        <v>67</v>
      </c>
      <c r="E42" s="85">
        <v>130.08000000000001</v>
      </c>
      <c r="F42" s="85">
        <f>SUM(E42*45/1000)</f>
        <v>5.8536000000000001</v>
      </c>
      <c r="G42" s="85">
        <v>428.7</v>
      </c>
      <c r="H42" s="86">
        <f t="shared" si="6"/>
        <v>2.5094383200000001</v>
      </c>
      <c r="I42" s="13">
        <f>F42/6*G42</f>
        <v>418.23971999999998</v>
      </c>
      <c r="J42" s="23"/>
      <c r="L42" s="19"/>
      <c r="M42" s="20"/>
      <c r="N42" s="21"/>
    </row>
    <row r="43" spans="1:14" ht="15.75" hidden="1" customHeight="1">
      <c r="A43" s="33">
        <v>12</v>
      </c>
      <c r="B43" s="82" t="s">
        <v>68</v>
      </c>
      <c r="C43" s="83" t="s">
        <v>33</v>
      </c>
      <c r="D43" s="82"/>
      <c r="E43" s="84"/>
      <c r="F43" s="85">
        <v>0.9</v>
      </c>
      <c r="G43" s="85">
        <v>798</v>
      </c>
      <c r="H43" s="86">
        <f t="shared" si="6"/>
        <v>0.71820000000000006</v>
      </c>
      <c r="I43" s="13">
        <f>F43/6*G43</f>
        <v>119.69999999999999</v>
      </c>
      <c r="J43" s="23"/>
      <c r="L43" s="19"/>
      <c r="M43" s="20"/>
      <c r="N43" s="21"/>
    </row>
    <row r="44" spans="1:14" ht="15.75" hidden="1" customHeight="1">
      <c r="A44" s="224" t="s">
        <v>137</v>
      </c>
      <c r="B44" s="225"/>
      <c r="C44" s="225"/>
      <c r="D44" s="225"/>
      <c r="E44" s="225"/>
      <c r="F44" s="225"/>
      <c r="G44" s="225"/>
      <c r="H44" s="225"/>
      <c r="I44" s="226"/>
      <c r="J44" s="23"/>
      <c r="L44" s="19"/>
      <c r="M44" s="20"/>
      <c r="N44" s="21"/>
    </row>
    <row r="45" spans="1:14" ht="15.75" hidden="1" customHeight="1">
      <c r="A45" s="40">
        <v>18</v>
      </c>
      <c r="B45" s="82" t="s">
        <v>128</v>
      </c>
      <c r="C45" s="83" t="s">
        <v>102</v>
      </c>
      <c r="D45" s="82" t="s">
        <v>41</v>
      </c>
      <c r="E45" s="84">
        <v>1369</v>
      </c>
      <c r="F45" s="85">
        <f>SUM(E45*2/1000)</f>
        <v>2.738</v>
      </c>
      <c r="G45" s="13">
        <v>849.49</v>
      </c>
      <c r="H45" s="86">
        <f t="shared" ref="H45:H53" si="7">SUM(F45*G45/1000)</f>
        <v>2.3259036200000001</v>
      </c>
      <c r="I45" s="13">
        <f t="shared" ref="I45:I47" si="8">F45/2*G45</f>
        <v>1162.95181</v>
      </c>
      <c r="J45" s="23"/>
      <c r="L45" s="19"/>
      <c r="M45" s="20"/>
      <c r="N45" s="21"/>
    </row>
    <row r="46" spans="1:14" ht="15.75" hidden="1" customHeight="1">
      <c r="A46" s="40">
        <v>19</v>
      </c>
      <c r="B46" s="82" t="s">
        <v>34</v>
      </c>
      <c r="C46" s="83" t="s">
        <v>102</v>
      </c>
      <c r="D46" s="82" t="s">
        <v>41</v>
      </c>
      <c r="E46" s="84">
        <v>1418</v>
      </c>
      <c r="F46" s="85">
        <f>SUM(E46*2/1000)</f>
        <v>2.8359999999999999</v>
      </c>
      <c r="G46" s="13">
        <v>579.48</v>
      </c>
      <c r="H46" s="86">
        <f t="shared" si="7"/>
        <v>1.6434052799999999</v>
      </c>
      <c r="I46" s="13">
        <f t="shared" si="8"/>
        <v>821.70263999999997</v>
      </c>
      <c r="J46" s="23"/>
      <c r="L46" s="19"/>
      <c r="M46" s="20"/>
      <c r="N46" s="21"/>
    </row>
    <row r="47" spans="1:14" ht="15.75" hidden="1" customHeight="1">
      <c r="A47" s="40">
        <v>20</v>
      </c>
      <c r="B47" s="82" t="s">
        <v>35</v>
      </c>
      <c r="C47" s="83" t="s">
        <v>102</v>
      </c>
      <c r="D47" s="82" t="s">
        <v>41</v>
      </c>
      <c r="E47" s="84">
        <v>4985.21</v>
      </c>
      <c r="F47" s="85">
        <f>SUM(E47*2/1000)</f>
        <v>9.9704200000000007</v>
      </c>
      <c r="G47" s="13">
        <v>579.48</v>
      </c>
      <c r="H47" s="86">
        <f t="shared" si="7"/>
        <v>5.7776589816000001</v>
      </c>
      <c r="I47" s="13">
        <f t="shared" si="8"/>
        <v>2888.8294908000003</v>
      </c>
      <c r="J47" s="23"/>
      <c r="L47" s="19"/>
      <c r="M47" s="20"/>
      <c r="N47" s="21"/>
    </row>
    <row r="48" spans="1:14" ht="15.75" hidden="1" customHeight="1">
      <c r="A48" s="40">
        <v>21</v>
      </c>
      <c r="B48" s="82" t="s">
        <v>36</v>
      </c>
      <c r="C48" s="83" t="s">
        <v>102</v>
      </c>
      <c r="D48" s="82" t="s">
        <v>41</v>
      </c>
      <c r="E48" s="84">
        <v>2474</v>
      </c>
      <c r="F48" s="85">
        <f>SUM(E48*2/1000)</f>
        <v>4.9480000000000004</v>
      </c>
      <c r="G48" s="13">
        <v>606.77</v>
      </c>
      <c r="H48" s="86">
        <f t="shared" si="7"/>
        <v>3.0022979600000004</v>
      </c>
      <c r="I48" s="13">
        <f>F48/2*G48</f>
        <v>1501.1489800000002</v>
      </c>
      <c r="J48" s="23"/>
      <c r="L48" s="19"/>
      <c r="M48" s="20"/>
      <c r="N48" s="21"/>
    </row>
    <row r="49" spans="1:14" ht="15.75" hidden="1" customHeight="1">
      <c r="A49" s="40">
        <v>22</v>
      </c>
      <c r="B49" s="82" t="s">
        <v>54</v>
      </c>
      <c r="C49" s="83" t="s">
        <v>102</v>
      </c>
      <c r="D49" s="82" t="s">
        <v>141</v>
      </c>
      <c r="E49" s="84">
        <v>1349.3</v>
      </c>
      <c r="F49" s="85">
        <f>SUM(E49*5/1000)</f>
        <v>6.7465000000000002</v>
      </c>
      <c r="G49" s="13">
        <v>1213.55</v>
      </c>
      <c r="H49" s="86">
        <f t="shared" si="7"/>
        <v>8.1872150749999992</v>
      </c>
      <c r="I49" s="13">
        <f>F49/5*G49</f>
        <v>1637.4430149999998</v>
      </c>
      <c r="J49" s="23"/>
      <c r="L49" s="19"/>
      <c r="M49" s="20"/>
      <c r="N49" s="21"/>
    </row>
    <row r="50" spans="1:14" ht="30.75" hidden="1" customHeight="1">
      <c r="A50" s="40">
        <v>13</v>
      </c>
      <c r="B50" s="82" t="s">
        <v>109</v>
      </c>
      <c r="C50" s="83" t="s">
        <v>102</v>
      </c>
      <c r="D50" s="82" t="s">
        <v>41</v>
      </c>
      <c r="E50" s="84">
        <v>1349.3</v>
      </c>
      <c r="F50" s="85">
        <f>SUM(E50*2/1000)</f>
        <v>2.6985999999999999</v>
      </c>
      <c r="G50" s="13">
        <v>1213.55</v>
      </c>
      <c r="H50" s="86">
        <f t="shared" si="7"/>
        <v>3.2748860299999998</v>
      </c>
      <c r="I50" s="13">
        <f>F50/2*G50</f>
        <v>1637.4430149999998</v>
      </c>
      <c r="J50" s="23"/>
      <c r="L50" s="19"/>
      <c r="M50" s="20"/>
      <c r="N50" s="21"/>
    </row>
    <row r="51" spans="1:14" ht="30.75" hidden="1" customHeight="1">
      <c r="A51" s="40">
        <v>14</v>
      </c>
      <c r="B51" s="82" t="s">
        <v>110</v>
      </c>
      <c r="C51" s="83" t="s">
        <v>37</v>
      </c>
      <c r="D51" s="82" t="s">
        <v>41</v>
      </c>
      <c r="E51" s="84">
        <v>40</v>
      </c>
      <c r="F51" s="85">
        <f>SUM(E51*2/100)</f>
        <v>0.8</v>
      </c>
      <c r="G51" s="13">
        <v>2730.49</v>
      </c>
      <c r="H51" s="86">
        <f t="shared" si="7"/>
        <v>2.1843919999999999</v>
      </c>
      <c r="I51" s="13">
        <f t="shared" ref="I51:I52" si="9">F51/2*G51</f>
        <v>1092.1959999999999</v>
      </c>
      <c r="J51" s="23"/>
      <c r="L51" s="19"/>
      <c r="M51" s="20"/>
      <c r="N51" s="21"/>
    </row>
    <row r="52" spans="1:14" ht="15.75" hidden="1" customHeight="1">
      <c r="A52" s="40">
        <v>15</v>
      </c>
      <c r="B52" s="82" t="s">
        <v>38</v>
      </c>
      <c r="C52" s="83" t="s">
        <v>39</v>
      </c>
      <c r="D52" s="82" t="s">
        <v>41</v>
      </c>
      <c r="E52" s="84">
        <v>1</v>
      </c>
      <c r="F52" s="85">
        <v>0.02</v>
      </c>
      <c r="G52" s="13">
        <v>5652.13</v>
      </c>
      <c r="H52" s="86">
        <f t="shared" si="7"/>
        <v>0.11304260000000001</v>
      </c>
      <c r="I52" s="13">
        <f t="shared" si="9"/>
        <v>56.521300000000004</v>
      </c>
      <c r="J52" s="23"/>
      <c r="L52" s="19"/>
      <c r="M52" s="20"/>
      <c r="N52" s="21"/>
    </row>
    <row r="53" spans="1:14" ht="15.75" hidden="1" customHeight="1">
      <c r="A53" s="40">
        <v>9</v>
      </c>
      <c r="B53" s="82" t="s">
        <v>40</v>
      </c>
      <c r="C53" s="83" t="s">
        <v>111</v>
      </c>
      <c r="D53" s="82" t="s">
        <v>69</v>
      </c>
      <c r="E53" s="84">
        <v>238</v>
      </c>
      <c r="F53" s="85">
        <f>SUM(E53)*3</f>
        <v>714</v>
      </c>
      <c r="G53" s="13">
        <v>65.67</v>
      </c>
      <c r="H53" s="86">
        <f t="shared" si="7"/>
        <v>46.888380000000005</v>
      </c>
      <c r="I53" s="13">
        <f>E53*G53</f>
        <v>15629.460000000001</v>
      </c>
      <c r="J53" s="23"/>
      <c r="L53" s="19"/>
      <c r="M53" s="20"/>
      <c r="N53" s="21"/>
    </row>
    <row r="54" spans="1:14" ht="15.75" customHeight="1">
      <c r="A54" s="224" t="s">
        <v>150</v>
      </c>
      <c r="B54" s="225"/>
      <c r="C54" s="225"/>
      <c r="D54" s="225"/>
      <c r="E54" s="225"/>
      <c r="F54" s="225"/>
      <c r="G54" s="225"/>
      <c r="H54" s="225"/>
      <c r="I54" s="226"/>
      <c r="J54" s="23"/>
      <c r="L54" s="19"/>
      <c r="M54" s="20"/>
      <c r="N54" s="21"/>
    </row>
    <row r="55" spans="1:14" ht="18" customHeight="1">
      <c r="A55" s="81"/>
      <c r="B55" s="47" t="s">
        <v>42</v>
      </c>
      <c r="C55" s="16"/>
      <c r="D55" s="15"/>
      <c r="E55" s="15"/>
      <c r="F55" s="15"/>
      <c r="G55" s="29"/>
      <c r="H55" s="29"/>
      <c r="I55" s="18"/>
      <c r="J55" s="23"/>
      <c r="L55" s="19"/>
      <c r="M55" s="20"/>
      <c r="N55" s="21"/>
    </row>
    <row r="56" spans="1:14" ht="21.75" hidden="1" customHeight="1">
      <c r="A56" s="40">
        <v>16</v>
      </c>
      <c r="B56" s="82" t="s">
        <v>112</v>
      </c>
      <c r="C56" s="83" t="s">
        <v>89</v>
      </c>
      <c r="D56" s="82" t="s">
        <v>113</v>
      </c>
      <c r="E56" s="84">
        <v>176.9</v>
      </c>
      <c r="F56" s="85">
        <f>SUM(E56*6/100)</f>
        <v>10.614000000000001</v>
      </c>
      <c r="G56" s="13">
        <v>1547.28</v>
      </c>
      <c r="H56" s="86">
        <f>SUM(F56*G56/1000)</f>
        <v>16.422829920000002</v>
      </c>
      <c r="I56" s="13">
        <f>F56/6*G56</f>
        <v>2737.13832</v>
      </c>
      <c r="J56" s="23"/>
      <c r="L56" s="19"/>
      <c r="M56" s="20"/>
      <c r="N56" s="21"/>
    </row>
    <row r="57" spans="1:14" ht="19.5" hidden="1" customHeight="1">
      <c r="A57" s="40">
        <v>17</v>
      </c>
      <c r="B57" s="82" t="s">
        <v>129</v>
      </c>
      <c r="C57" s="83" t="s">
        <v>89</v>
      </c>
      <c r="D57" s="82" t="s">
        <v>113</v>
      </c>
      <c r="E57" s="77">
        <v>56</v>
      </c>
      <c r="F57" s="90">
        <v>3.36</v>
      </c>
      <c r="G57" s="85">
        <v>1547.28</v>
      </c>
      <c r="H57" s="86">
        <f>F57*G57/1000</f>
        <v>5.1988607999999994</v>
      </c>
      <c r="I57" s="13">
        <f>F57/6*G57</f>
        <v>866.47679999999991</v>
      </c>
      <c r="J57" s="23"/>
      <c r="L57" s="19"/>
      <c r="M57" s="20"/>
      <c r="N57" s="21"/>
    </row>
    <row r="58" spans="1:14" ht="18.75" hidden="1" customHeight="1">
      <c r="A58" s="40"/>
      <c r="B58" s="82" t="s">
        <v>130</v>
      </c>
      <c r="C58" s="83" t="s">
        <v>131</v>
      </c>
      <c r="D58" s="82" t="s">
        <v>41</v>
      </c>
      <c r="E58" s="91">
        <v>8</v>
      </c>
      <c r="F58" s="13">
        <v>16</v>
      </c>
      <c r="G58" s="85">
        <v>180.78</v>
      </c>
      <c r="H58" s="86">
        <f>SUM(F58*G58/1000)</f>
        <v>2.8924799999999999</v>
      </c>
      <c r="I58" s="13">
        <v>0</v>
      </c>
      <c r="J58" s="23"/>
      <c r="L58" s="19"/>
      <c r="M58" s="20"/>
      <c r="N58" s="21"/>
    </row>
    <row r="59" spans="1:14" ht="18.75" customHeight="1">
      <c r="A59" s="40"/>
      <c r="B59" s="32" t="s">
        <v>172</v>
      </c>
      <c r="C59" s="138" t="s">
        <v>173</v>
      </c>
      <c r="D59" s="32" t="s">
        <v>264</v>
      </c>
      <c r="E59" s="187"/>
      <c r="F59" s="36">
        <v>8</v>
      </c>
      <c r="G59" s="157">
        <v>1645</v>
      </c>
      <c r="H59" s="97"/>
      <c r="I59" s="13">
        <f>G59*2</f>
        <v>3290</v>
      </c>
      <c r="J59" s="23"/>
      <c r="L59" s="19"/>
      <c r="M59" s="20"/>
      <c r="N59" s="21"/>
    </row>
    <row r="60" spans="1:14" ht="15.75" customHeight="1">
      <c r="A60" s="40"/>
      <c r="B60" s="76" t="s">
        <v>43</v>
      </c>
      <c r="C60" s="76"/>
      <c r="D60" s="76"/>
      <c r="E60" s="76"/>
      <c r="F60" s="76"/>
      <c r="G60" s="76"/>
      <c r="H60" s="76"/>
      <c r="I60" s="35"/>
      <c r="J60" s="23"/>
      <c r="L60" s="19"/>
      <c r="M60" s="20"/>
      <c r="N60" s="21"/>
    </row>
    <row r="61" spans="1:14" ht="15.75" hidden="1" customHeight="1">
      <c r="A61" s="40">
        <v>27</v>
      </c>
      <c r="B61" s="82" t="s">
        <v>142</v>
      </c>
      <c r="C61" s="83"/>
      <c r="D61" s="82" t="s">
        <v>52</v>
      </c>
      <c r="E61" s="84">
        <v>1349.3</v>
      </c>
      <c r="F61" s="86">
        <v>13.493</v>
      </c>
      <c r="G61" s="13">
        <v>793.61</v>
      </c>
      <c r="H61" s="92">
        <f>F61*G61/1000</f>
        <v>10.708179729999999</v>
      </c>
      <c r="I61" s="13">
        <v>0</v>
      </c>
      <c r="J61" s="23"/>
      <c r="L61" s="19"/>
      <c r="M61" s="20"/>
      <c r="N61" s="21"/>
    </row>
    <row r="62" spans="1:14" ht="15.75" customHeight="1">
      <c r="A62" s="40">
        <v>9</v>
      </c>
      <c r="B62" s="93" t="s">
        <v>88</v>
      </c>
      <c r="C62" s="94" t="s">
        <v>26</v>
      </c>
      <c r="D62" s="93"/>
      <c r="E62" s="95">
        <v>270</v>
      </c>
      <c r="F62" s="96">
        <v>2400</v>
      </c>
      <c r="G62" s="97">
        <v>1.4</v>
      </c>
      <c r="H62" s="98">
        <f>F62*G62</f>
        <v>3360</v>
      </c>
      <c r="I62" s="13">
        <f>F62/12*G62</f>
        <v>280</v>
      </c>
      <c r="J62" s="23"/>
      <c r="L62" s="19"/>
      <c r="M62" s="20"/>
      <c r="N62" s="21"/>
    </row>
    <row r="63" spans="1:14" ht="15.75" customHeight="1">
      <c r="A63" s="40"/>
      <c r="B63" s="76" t="s">
        <v>44</v>
      </c>
      <c r="C63" s="16"/>
      <c r="D63" s="37"/>
      <c r="E63" s="15"/>
      <c r="F63" s="15"/>
      <c r="G63" s="29"/>
      <c r="H63" s="29"/>
      <c r="I63" s="18"/>
      <c r="J63" s="23"/>
      <c r="L63" s="19"/>
    </row>
    <row r="64" spans="1:14" ht="17.25" customHeight="1">
      <c r="A64" s="40">
        <v>10</v>
      </c>
      <c r="B64" s="99" t="s">
        <v>45</v>
      </c>
      <c r="C64" s="16" t="s">
        <v>111</v>
      </c>
      <c r="D64" s="99" t="s">
        <v>260</v>
      </c>
      <c r="E64" s="18">
        <v>40</v>
      </c>
      <c r="F64" s="85">
        <v>40</v>
      </c>
      <c r="G64" s="126">
        <v>303.35000000000002</v>
      </c>
      <c r="H64" s="100">
        <f t="shared" ref="H64" si="10">SUM(F64*G64/1000)</f>
        <v>12.134</v>
      </c>
      <c r="I64" s="13">
        <f>G64*3</f>
        <v>910.05000000000007</v>
      </c>
    </row>
    <row r="65" spans="1:22" ht="16.5" hidden="1" customHeight="1">
      <c r="A65" s="29">
        <v>29</v>
      </c>
      <c r="B65" s="99" t="s">
        <v>46</v>
      </c>
      <c r="C65" s="16" t="s">
        <v>111</v>
      </c>
      <c r="D65" s="99" t="s">
        <v>65</v>
      </c>
      <c r="E65" s="18">
        <v>20</v>
      </c>
      <c r="F65" s="85">
        <v>20</v>
      </c>
      <c r="G65" s="13">
        <v>76.25</v>
      </c>
      <c r="H65" s="100">
        <f t="shared" ref="H65:H71" si="11">SUM(F65*G65/1000)</f>
        <v>1.5249999999999999</v>
      </c>
      <c r="I65" s="13">
        <v>0</v>
      </c>
    </row>
    <row r="66" spans="1:22" ht="17.25" customHeight="1">
      <c r="A66" s="29">
        <v>11</v>
      </c>
      <c r="B66" s="151" t="s">
        <v>47</v>
      </c>
      <c r="C66" s="176" t="s">
        <v>114</v>
      </c>
      <c r="D66" s="37"/>
      <c r="E66" s="152">
        <v>18890</v>
      </c>
      <c r="F66" s="172">
        <f>SUM(E66/100)</f>
        <v>188.9</v>
      </c>
      <c r="G66" s="36">
        <v>289.37</v>
      </c>
      <c r="H66" s="100">
        <f t="shared" si="11"/>
        <v>54.661993000000002</v>
      </c>
      <c r="I66" s="13">
        <f>F66*G66</f>
        <v>54661.993000000002</v>
      </c>
    </row>
    <row r="67" spans="1:22" ht="16.5" customHeight="1">
      <c r="A67" s="29">
        <v>12</v>
      </c>
      <c r="B67" s="151" t="s">
        <v>48</v>
      </c>
      <c r="C67" s="38" t="s">
        <v>115</v>
      </c>
      <c r="D67" s="37"/>
      <c r="E67" s="152">
        <v>18890</v>
      </c>
      <c r="F67" s="36">
        <f>SUM(E67/1000)</f>
        <v>18.89</v>
      </c>
      <c r="G67" s="36">
        <v>225.35</v>
      </c>
      <c r="H67" s="100">
        <f t="shared" si="11"/>
        <v>4.2568615000000003</v>
      </c>
      <c r="I67" s="13">
        <f t="shared" ref="I67:I70" si="12">F67*G67</f>
        <v>4256.8615</v>
      </c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9"/>
    </row>
    <row r="68" spans="1:22" ht="16.5" customHeight="1">
      <c r="A68" s="29">
        <v>13</v>
      </c>
      <c r="B68" s="151" t="s">
        <v>49</v>
      </c>
      <c r="C68" s="38" t="s">
        <v>75</v>
      </c>
      <c r="D68" s="37"/>
      <c r="E68" s="152">
        <v>3004</v>
      </c>
      <c r="F68" s="36">
        <f>SUM(E68/100)</f>
        <v>30.04</v>
      </c>
      <c r="G68" s="36">
        <v>2829.78</v>
      </c>
      <c r="H68" s="100">
        <f t="shared" si="11"/>
        <v>85.006591200000017</v>
      </c>
      <c r="I68" s="13">
        <f t="shared" si="12"/>
        <v>85006.59120000001</v>
      </c>
      <c r="J68" s="25"/>
      <c r="K68" s="25"/>
      <c r="L68" s="3"/>
      <c r="M68" s="3"/>
      <c r="N68" s="3"/>
      <c r="O68" s="3"/>
      <c r="P68" s="3"/>
      <c r="Q68" s="3"/>
      <c r="R68" s="3"/>
      <c r="S68" s="3"/>
      <c r="T68" s="3"/>
      <c r="U68" s="3"/>
    </row>
    <row r="69" spans="1:22" ht="16.5" customHeight="1">
      <c r="A69" s="29">
        <v>14</v>
      </c>
      <c r="B69" s="177" t="s">
        <v>116</v>
      </c>
      <c r="C69" s="38" t="s">
        <v>33</v>
      </c>
      <c r="D69" s="37"/>
      <c r="E69" s="152">
        <v>16.2</v>
      </c>
      <c r="F69" s="36">
        <f>SUM(E69)</f>
        <v>16.2</v>
      </c>
      <c r="G69" s="36">
        <v>46.08</v>
      </c>
      <c r="H69" s="100">
        <f t="shared" si="11"/>
        <v>0.74649599999999994</v>
      </c>
      <c r="I69" s="13">
        <f t="shared" si="12"/>
        <v>746.49599999999998</v>
      </c>
      <c r="J69" s="3"/>
      <c r="K69" s="3"/>
      <c r="L69" s="3"/>
      <c r="M69" s="3"/>
      <c r="N69" s="3"/>
      <c r="O69" s="3"/>
      <c r="P69" s="3"/>
      <c r="Q69" s="3"/>
      <c r="S69" s="3"/>
      <c r="T69" s="3"/>
      <c r="U69" s="3"/>
    </row>
    <row r="70" spans="1:22" ht="16.5" customHeight="1">
      <c r="A70" s="29">
        <v>15</v>
      </c>
      <c r="B70" s="177" t="s">
        <v>117</v>
      </c>
      <c r="C70" s="38" t="s">
        <v>33</v>
      </c>
      <c r="D70" s="37"/>
      <c r="E70" s="152">
        <v>16.2</v>
      </c>
      <c r="F70" s="36">
        <f>SUM(E70)</f>
        <v>16.2</v>
      </c>
      <c r="G70" s="36">
        <v>49.7</v>
      </c>
      <c r="H70" s="100">
        <f t="shared" si="11"/>
        <v>0.80513999999999997</v>
      </c>
      <c r="I70" s="13">
        <f t="shared" si="12"/>
        <v>805.14</v>
      </c>
      <c r="J70" s="5"/>
      <c r="K70" s="5"/>
      <c r="L70" s="5"/>
      <c r="M70" s="5"/>
      <c r="N70" s="5"/>
      <c r="O70" s="5"/>
      <c r="P70" s="5"/>
      <c r="Q70" s="5"/>
      <c r="R70" s="199"/>
      <c r="S70" s="199"/>
      <c r="T70" s="199"/>
      <c r="U70" s="199"/>
    </row>
    <row r="71" spans="1:22" ht="18.75" hidden="1" customHeight="1">
      <c r="A71" s="29">
        <v>13</v>
      </c>
      <c r="B71" s="99" t="s">
        <v>55</v>
      </c>
      <c r="C71" s="16" t="s">
        <v>56</v>
      </c>
      <c r="D71" s="99" t="s">
        <v>52</v>
      </c>
      <c r="E71" s="18">
        <v>15</v>
      </c>
      <c r="F71" s="85">
        <v>15</v>
      </c>
      <c r="G71" s="13">
        <v>49.88</v>
      </c>
      <c r="H71" s="100">
        <f t="shared" si="11"/>
        <v>0.74820000000000009</v>
      </c>
      <c r="I71" s="13">
        <v>0</v>
      </c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2" ht="18.75" customHeight="1">
      <c r="A72" s="29"/>
      <c r="B72" s="162" t="s">
        <v>181</v>
      </c>
      <c r="C72" s="38"/>
      <c r="D72" s="37"/>
      <c r="E72" s="17"/>
      <c r="F72" s="117"/>
      <c r="G72" s="36"/>
      <c r="H72" s="100"/>
      <c r="I72" s="13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3" spans="1:22" ht="30" customHeight="1">
      <c r="A73" s="29">
        <v>16</v>
      </c>
      <c r="B73" s="37" t="s">
        <v>182</v>
      </c>
      <c r="C73" s="40" t="s">
        <v>183</v>
      </c>
      <c r="D73" s="37"/>
      <c r="E73" s="17">
        <v>5162.6000000000004</v>
      </c>
      <c r="F73" s="36">
        <f>E73*12</f>
        <v>61951.200000000004</v>
      </c>
      <c r="G73" s="36">
        <v>2.37</v>
      </c>
      <c r="H73" s="100"/>
      <c r="I73" s="13">
        <f>G73*F73/12</f>
        <v>12235.362000000001</v>
      </c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</row>
    <row r="74" spans="1:22" ht="16.5" hidden="1" customHeight="1">
      <c r="A74" s="81"/>
      <c r="B74" s="76" t="s">
        <v>118</v>
      </c>
      <c r="C74" s="76"/>
      <c r="D74" s="76"/>
      <c r="E74" s="76"/>
      <c r="F74" s="76"/>
      <c r="G74" s="76"/>
      <c r="H74" s="76"/>
      <c r="I74" s="18"/>
    </row>
    <row r="75" spans="1:22" ht="9" hidden="1" customHeight="1">
      <c r="A75" s="29">
        <v>11</v>
      </c>
      <c r="B75" s="82" t="s">
        <v>119</v>
      </c>
      <c r="C75" s="16"/>
      <c r="D75" s="99"/>
      <c r="E75" s="77"/>
      <c r="F75" s="13">
        <v>1</v>
      </c>
      <c r="G75" s="13">
        <v>27865.200000000001</v>
      </c>
      <c r="H75" s="100">
        <f>G75*F75/1000</f>
        <v>27.865200000000002</v>
      </c>
      <c r="I75" s="13">
        <f>G75</f>
        <v>27865.200000000001</v>
      </c>
    </row>
    <row r="76" spans="1:22" ht="15" customHeight="1">
      <c r="A76" s="29"/>
      <c r="B76" s="48" t="s">
        <v>70</v>
      </c>
      <c r="C76" s="48"/>
      <c r="D76" s="48"/>
      <c r="E76" s="18"/>
      <c r="F76" s="18"/>
      <c r="G76" s="29"/>
      <c r="H76" s="29"/>
      <c r="I76" s="18"/>
    </row>
    <row r="77" spans="1:22" ht="18" customHeight="1">
      <c r="A77" s="29">
        <v>17</v>
      </c>
      <c r="B77" s="37" t="s">
        <v>71</v>
      </c>
      <c r="C77" s="38" t="s">
        <v>73</v>
      </c>
      <c r="D77" s="37"/>
      <c r="E77" s="17">
        <v>8</v>
      </c>
      <c r="F77" s="36">
        <f>E77/10</f>
        <v>0.8</v>
      </c>
      <c r="G77" s="36">
        <v>684.19</v>
      </c>
      <c r="H77" s="100">
        <f t="shared" ref="H77:H81" si="13">SUM(F77*G77/1000)</f>
        <v>0.54735200000000006</v>
      </c>
      <c r="I77" s="13">
        <f>G77*0.5</f>
        <v>342.09500000000003</v>
      </c>
    </row>
    <row r="78" spans="1:22" ht="20.25" hidden="1" customHeight="1">
      <c r="A78" s="29"/>
      <c r="B78" s="99" t="s">
        <v>132</v>
      </c>
      <c r="C78" s="16" t="s">
        <v>31</v>
      </c>
      <c r="D78" s="99"/>
      <c r="E78" s="18">
        <v>1</v>
      </c>
      <c r="F78" s="13">
        <v>1</v>
      </c>
      <c r="G78" s="13">
        <v>99.85</v>
      </c>
      <c r="H78" s="100">
        <f>F78*G78/1000</f>
        <v>9.9849999999999994E-2</v>
      </c>
      <c r="I78" s="13">
        <v>0</v>
      </c>
    </row>
    <row r="79" spans="1:22" ht="18.75" hidden="1" customHeight="1">
      <c r="A79" s="29"/>
      <c r="B79" s="99" t="s">
        <v>133</v>
      </c>
      <c r="C79" s="16" t="s">
        <v>31</v>
      </c>
      <c r="D79" s="99"/>
      <c r="E79" s="18">
        <v>1</v>
      </c>
      <c r="F79" s="13">
        <v>1</v>
      </c>
      <c r="G79" s="13">
        <v>120.26</v>
      </c>
      <c r="H79" s="100">
        <f>F79*G79/1000</f>
        <v>0.12026000000000001</v>
      </c>
      <c r="I79" s="13">
        <v>0</v>
      </c>
    </row>
    <row r="80" spans="1:22" ht="21.75" hidden="1" customHeight="1">
      <c r="A80" s="29">
        <v>19</v>
      </c>
      <c r="B80" s="99" t="s">
        <v>72</v>
      </c>
      <c r="C80" s="16" t="s">
        <v>31</v>
      </c>
      <c r="D80" s="99"/>
      <c r="E80" s="18">
        <v>2</v>
      </c>
      <c r="F80" s="97">
        <v>2</v>
      </c>
      <c r="G80" s="13">
        <v>852.99</v>
      </c>
      <c r="H80" s="100">
        <f>F80*G80/1000</f>
        <v>1.7059800000000001</v>
      </c>
      <c r="I80" s="13">
        <f>G80</f>
        <v>852.99</v>
      </c>
    </row>
    <row r="81" spans="1:9" ht="20.25" hidden="1" customHeight="1">
      <c r="A81" s="29">
        <v>17</v>
      </c>
      <c r="B81" s="99" t="s">
        <v>83</v>
      </c>
      <c r="C81" s="16" t="s">
        <v>111</v>
      </c>
      <c r="D81" s="99"/>
      <c r="E81" s="18">
        <v>1</v>
      </c>
      <c r="F81" s="85">
        <f>SUM(E81)</f>
        <v>1</v>
      </c>
      <c r="G81" s="13">
        <v>358.51</v>
      </c>
      <c r="H81" s="100">
        <f t="shared" si="13"/>
        <v>0.35851</v>
      </c>
      <c r="I81" s="13">
        <v>0</v>
      </c>
    </row>
    <row r="82" spans="1:9" ht="32.25" customHeight="1">
      <c r="A82" s="29">
        <v>18</v>
      </c>
      <c r="B82" s="37" t="s">
        <v>184</v>
      </c>
      <c r="C82" s="38" t="s">
        <v>111</v>
      </c>
      <c r="D82" s="37" t="s">
        <v>233</v>
      </c>
      <c r="E82" s="17">
        <v>1</v>
      </c>
      <c r="F82" s="36">
        <f>E82*12</f>
        <v>12</v>
      </c>
      <c r="G82" s="36">
        <v>55.55</v>
      </c>
      <c r="H82" s="100"/>
      <c r="I82" s="13">
        <f>G82*F82/12</f>
        <v>55.54999999999999</v>
      </c>
    </row>
    <row r="83" spans="1:9" ht="20.25" hidden="1" customHeight="1">
      <c r="A83" s="29"/>
      <c r="B83" s="49" t="s">
        <v>74</v>
      </c>
      <c r="C83" s="38"/>
      <c r="D83" s="29"/>
      <c r="E83" s="18"/>
      <c r="F83" s="18"/>
      <c r="G83" s="36"/>
      <c r="H83" s="36"/>
      <c r="I83" s="18"/>
    </row>
    <row r="84" spans="1:9" ht="18" hidden="1" customHeight="1">
      <c r="A84" s="29">
        <v>39</v>
      </c>
      <c r="B84" s="51" t="s">
        <v>120</v>
      </c>
      <c r="C84" s="16" t="s">
        <v>75</v>
      </c>
      <c r="D84" s="99"/>
      <c r="E84" s="18"/>
      <c r="F84" s="13">
        <v>1.35</v>
      </c>
      <c r="G84" s="13">
        <v>2759.44</v>
      </c>
      <c r="H84" s="100">
        <f t="shared" ref="H84" si="14">SUM(F84*G84/1000)</f>
        <v>3.725244</v>
      </c>
      <c r="I84" s="13">
        <v>0</v>
      </c>
    </row>
    <row r="85" spans="1:9" ht="15.75" customHeight="1">
      <c r="A85" s="208" t="s">
        <v>151</v>
      </c>
      <c r="B85" s="209"/>
      <c r="C85" s="209"/>
      <c r="D85" s="209"/>
      <c r="E85" s="209"/>
      <c r="F85" s="209"/>
      <c r="G85" s="209"/>
      <c r="H85" s="209"/>
      <c r="I85" s="210"/>
    </row>
    <row r="86" spans="1:9" ht="15.75" customHeight="1">
      <c r="A86" s="29">
        <v>19</v>
      </c>
      <c r="B86" s="32" t="s">
        <v>121</v>
      </c>
      <c r="C86" s="38" t="s">
        <v>53</v>
      </c>
      <c r="D86" s="63"/>
      <c r="E86" s="36">
        <v>5162.6000000000004</v>
      </c>
      <c r="F86" s="36">
        <f>SUM(E86*12)</f>
        <v>61951.200000000004</v>
      </c>
      <c r="G86" s="36">
        <v>3.22</v>
      </c>
      <c r="H86" s="102">
        <f>SUM(F86*G86/1000)</f>
        <v>199.48286400000003</v>
      </c>
      <c r="I86" s="13">
        <f>F86/12*G86</f>
        <v>16623.572000000004</v>
      </c>
    </row>
    <row r="87" spans="1:9" ht="31.5" customHeight="1">
      <c r="A87" s="29">
        <v>20</v>
      </c>
      <c r="B87" s="37" t="s">
        <v>185</v>
      </c>
      <c r="C87" s="114" t="s">
        <v>186</v>
      </c>
      <c r="D87" s="37"/>
      <c r="E87" s="17">
        <v>5162.6000000000004</v>
      </c>
      <c r="F87" s="36">
        <f>E87*12</f>
        <v>61951.200000000004</v>
      </c>
      <c r="G87" s="36">
        <v>3.64</v>
      </c>
      <c r="H87" s="100">
        <f>F87*G87/1000</f>
        <v>225.50236800000002</v>
      </c>
      <c r="I87" s="13">
        <f>F87/12*G87</f>
        <v>18791.864000000001</v>
      </c>
    </row>
    <row r="88" spans="1:9" ht="15.75" customHeight="1">
      <c r="A88" s="81"/>
      <c r="B88" s="39" t="s">
        <v>78</v>
      </c>
      <c r="C88" s="40"/>
      <c r="D88" s="15"/>
      <c r="E88" s="15"/>
      <c r="F88" s="15"/>
      <c r="G88" s="18"/>
      <c r="H88" s="18"/>
      <c r="I88" s="31">
        <f>I87+I86+I82+I77+I73+I70+I69+I68+I67+I66+I64+I62+I59+I31+I30+I27+I21+I20+I18+I17+I16</f>
        <v>224101.7673716</v>
      </c>
    </row>
    <row r="89" spans="1:9" ht="15.75" customHeight="1">
      <c r="A89" s="211" t="s">
        <v>58</v>
      </c>
      <c r="B89" s="212"/>
      <c r="C89" s="212"/>
      <c r="D89" s="212"/>
      <c r="E89" s="212"/>
      <c r="F89" s="212"/>
      <c r="G89" s="212"/>
      <c r="H89" s="212"/>
      <c r="I89" s="213"/>
    </row>
    <row r="90" spans="1:9" ht="31.5" customHeight="1">
      <c r="A90" s="29">
        <v>21</v>
      </c>
      <c r="B90" s="66" t="s">
        <v>134</v>
      </c>
      <c r="C90" s="67" t="s">
        <v>37</v>
      </c>
      <c r="D90" s="64"/>
      <c r="E90" s="36"/>
      <c r="F90" s="36">
        <v>7</v>
      </c>
      <c r="G90" s="36">
        <v>3914.31</v>
      </c>
      <c r="H90" s="102">
        <f t="shared" ref="H90" si="15">G90*F90/1000</f>
        <v>27.400169999999999</v>
      </c>
      <c r="I90" s="13">
        <f>G90*0.02</f>
        <v>78.286199999999994</v>
      </c>
    </row>
    <row r="91" spans="1:9" ht="31.5" hidden="1" customHeight="1">
      <c r="A91" s="29">
        <v>20</v>
      </c>
      <c r="B91" s="55"/>
      <c r="C91" s="65"/>
      <c r="D91" s="51"/>
      <c r="E91" s="13"/>
      <c r="F91" s="13">
        <v>6</v>
      </c>
      <c r="G91" s="13"/>
      <c r="H91" s="100">
        <f t="shared" ref="H91:H97" si="16">G91*F91/1000</f>
        <v>0</v>
      </c>
      <c r="I91" s="13"/>
    </row>
    <row r="92" spans="1:9" ht="15.75" hidden="1" customHeight="1">
      <c r="A92" s="29">
        <v>21</v>
      </c>
      <c r="B92" s="55"/>
      <c r="C92" s="65"/>
      <c r="D92" s="51"/>
      <c r="E92" s="13"/>
      <c r="F92" s="13">
        <v>1</v>
      </c>
      <c r="G92" s="13"/>
      <c r="H92" s="100">
        <f t="shared" si="16"/>
        <v>0</v>
      </c>
      <c r="I92" s="13"/>
    </row>
    <row r="93" spans="1:9" ht="15.75" hidden="1" customHeight="1">
      <c r="A93" s="29">
        <v>22</v>
      </c>
      <c r="B93" s="55"/>
      <c r="C93" s="65"/>
      <c r="D93" s="99"/>
      <c r="E93" s="18"/>
      <c r="F93" s="13">
        <v>4</v>
      </c>
      <c r="G93" s="13"/>
      <c r="H93" s="100">
        <f t="shared" si="16"/>
        <v>0</v>
      </c>
      <c r="I93" s="13"/>
    </row>
    <row r="94" spans="1:9" ht="15.75" hidden="1" customHeight="1">
      <c r="A94" s="29">
        <v>23</v>
      </c>
      <c r="B94" s="55"/>
      <c r="C94" s="65"/>
      <c r="D94" s="51"/>
      <c r="E94" s="13"/>
      <c r="F94" s="13">
        <v>1</v>
      </c>
      <c r="G94" s="13"/>
      <c r="H94" s="100">
        <f t="shared" si="16"/>
        <v>0</v>
      </c>
      <c r="I94" s="13"/>
    </row>
    <row r="95" spans="1:9" ht="15.75" hidden="1" customHeight="1">
      <c r="A95" s="29">
        <v>24</v>
      </c>
      <c r="B95" s="55"/>
      <c r="C95" s="65"/>
      <c r="D95" s="51"/>
      <c r="E95" s="13"/>
      <c r="F95" s="13">
        <v>2</v>
      </c>
      <c r="G95" s="13"/>
      <c r="H95" s="100">
        <f t="shared" si="16"/>
        <v>0</v>
      </c>
      <c r="I95" s="13"/>
    </row>
    <row r="96" spans="1:9" ht="15.75" hidden="1" customHeight="1">
      <c r="A96" s="29">
        <v>25</v>
      </c>
      <c r="B96" s="55"/>
      <c r="C96" s="65"/>
      <c r="D96" s="51"/>
      <c r="E96" s="13"/>
      <c r="F96" s="13">
        <v>1</v>
      </c>
      <c r="G96" s="13"/>
      <c r="H96" s="100">
        <f t="shared" si="16"/>
        <v>0</v>
      </c>
      <c r="I96" s="13"/>
    </row>
    <row r="97" spans="1:9" ht="31.5" hidden="1" customHeight="1">
      <c r="A97" s="29">
        <v>26</v>
      </c>
      <c r="B97" s="55"/>
      <c r="C97" s="65"/>
      <c r="D97" s="51"/>
      <c r="E97" s="13"/>
      <c r="F97" s="13">
        <v>1</v>
      </c>
      <c r="G97" s="13"/>
      <c r="H97" s="100">
        <f t="shared" si="16"/>
        <v>0</v>
      </c>
      <c r="I97" s="13"/>
    </row>
    <row r="98" spans="1:9" ht="31.5" customHeight="1">
      <c r="A98" s="29">
        <v>22</v>
      </c>
      <c r="B98" s="66" t="s">
        <v>153</v>
      </c>
      <c r="C98" s="67" t="s">
        <v>154</v>
      </c>
      <c r="D98" s="38" t="s">
        <v>257</v>
      </c>
      <c r="E98" s="36"/>
      <c r="F98" s="36"/>
      <c r="G98" s="126">
        <v>644.72</v>
      </c>
      <c r="H98" s="102"/>
      <c r="I98" s="13">
        <f>G98*6</f>
        <v>3868.32</v>
      </c>
    </row>
    <row r="99" spans="1:9" ht="31.5" customHeight="1">
      <c r="A99" s="29">
        <v>23</v>
      </c>
      <c r="B99" s="66" t="s">
        <v>202</v>
      </c>
      <c r="C99" s="67" t="s">
        <v>171</v>
      </c>
      <c r="D99" s="38" t="s">
        <v>258</v>
      </c>
      <c r="E99" s="36"/>
      <c r="F99" s="36"/>
      <c r="G99" s="126">
        <v>1465</v>
      </c>
      <c r="H99" s="102"/>
      <c r="I99" s="13">
        <f>G99*4</f>
        <v>5860</v>
      </c>
    </row>
    <row r="100" spans="1:9" ht="15" customHeight="1">
      <c r="A100" s="29">
        <v>24</v>
      </c>
      <c r="B100" s="66" t="s">
        <v>165</v>
      </c>
      <c r="C100" s="67" t="s">
        <v>111</v>
      </c>
      <c r="D100" s="38"/>
      <c r="E100" s="36"/>
      <c r="F100" s="36"/>
      <c r="G100" s="126">
        <v>182</v>
      </c>
      <c r="H100" s="102"/>
      <c r="I100" s="13">
        <f>G100*8</f>
        <v>1456</v>
      </c>
    </row>
    <row r="101" spans="1:9" ht="18.75" customHeight="1">
      <c r="A101" s="29">
        <v>25</v>
      </c>
      <c r="B101" s="66" t="s">
        <v>166</v>
      </c>
      <c r="C101" s="67" t="s">
        <v>111</v>
      </c>
      <c r="D101" s="38"/>
      <c r="E101" s="36"/>
      <c r="F101" s="36"/>
      <c r="G101" s="126">
        <v>9.1</v>
      </c>
      <c r="H101" s="102"/>
      <c r="I101" s="13">
        <f>G101*3</f>
        <v>27.299999999999997</v>
      </c>
    </row>
    <row r="102" spans="1:9" ht="15" customHeight="1">
      <c r="A102" s="29">
        <v>26</v>
      </c>
      <c r="B102" s="66" t="s">
        <v>259</v>
      </c>
      <c r="C102" s="67" t="s">
        <v>111</v>
      </c>
      <c r="D102" s="38"/>
      <c r="E102" s="36"/>
      <c r="F102" s="36"/>
      <c r="G102" s="126">
        <v>10.4</v>
      </c>
      <c r="H102" s="102"/>
      <c r="I102" s="13">
        <f>G102*10</f>
        <v>104</v>
      </c>
    </row>
    <row r="103" spans="1:9" ht="15" customHeight="1">
      <c r="A103" s="29">
        <v>27</v>
      </c>
      <c r="B103" s="66" t="s">
        <v>263</v>
      </c>
      <c r="C103" s="67" t="s">
        <v>261</v>
      </c>
      <c r="D103" s="38" t="s">
        <v>262</v>
      </c>
      <c r="E103" s="36"/>
      <c r="F103" s="36"/>
      <c r="G103" s="36">
        <v>374</v>
      </c>
      <c r="H103" s="102"/>
      <c r="I103" s="13">
        <f>G103*18</f>
        <v>6732</v>
      </c>
    </row>
    <row r="104" spans="1:9" ht="15" customHeight="1">
      <c r="A104" s="29">
        <v>28</v>
      </c>
      <c r="B104" s="66" t="s">
        <v>265</v>
      </c>
      <c r="C104" s="67" t="s">
        <v>266</v>
      </c>
      <c r="D104" s="38" t="s">
        <v>266</v>
      </c>
      <c r="E104" s="36"/>
      <c r="F104" s="36"/>
      <c r="G104" s="36">
        <v>3319.93</v>
      </c>
      <c r="H104" s="102"/>
      <c r="I104" s="13">
        <f>G104*1</f>
        <v>3319.93</v>
      </c>
    </row>
    <row r="105" spans="1:9" ht="15" customHeight="1">
      <c r="A105" s="29">
        <v>29</v>
      </c>
      <c r="B105" s="66" t="s">
        <v>267</v>
      </c>
      <c r="C105" s="67" t="s">
        <v>111</v>
      </c>
      <c r="D105" s="38"/>
      <c r="E105" s="36"/>
      <c r="F105" s="36"/>
      <c r="G105" s="126">
        <v>1088.0999999999999</v>
      </c>
      <c r="H105" s="102"/>
      <c r="I105" s="13">
        <f>G105*2</f>
        <v>2176.1999999999998</v>
      </c>
    </row>
    <row r="106" spans="1:9" ht="15" customHeight="1">
      <c r="A106" s="29">
        <v>30</v>
      </c>
      <c r="B106" s="66" t="s">
        <v>268</v>
      </c>
      <c r="C106" s="67" t="s">
        <v>111</v>
      </c>
      <c r="D106" s="38"/>
      <c r="E106" s="36"/>
      <c r="F106" s="36"/>
      <c r="G106" s="126">
        <v>1430</v>
      </c>
      <c r="H106" s="102"/>
      <c r="I106" s="13">
        <f>G106*1</f>
        <v>1430</v>
      </c>
    </row>
    <row r="107" spans="1:9" ht="15.75" customHeight="1">
      <c r="A107" s="29"/>
      <c r="B107" s="45" t="s">
        <v>50</v>
      </c>
      <c r="C107" s="41"/>
      <c r="D107" s="53"/>
      <c r="E107" s="41">
        <v>1</v>
      </c>
      <c r="F107" s="41"/>
      <c r="G107" s="41"/>
      <c r="H107" s="41"/>
      <c r="I107" s="31">
        <f>SUM(I90:I106)</f>
        <v>25052.036199999999</v>
      </c>
    </row>
    <row r="108" spans="1:9" ht="15.75" customHeight="1">
      <c r="A108" s="29"/>
      <c r="B108" s="51" t="s">
        <v>76</v>
      </c>
      <c r="C108" s="15"/>
      <c r="D108" s="15"/>
      <c r="E108" s="42"/>
      <c r="F108" s="42"/>
      <c r="G108" s="43"/>
      <c r="H108" s="43"/>
      <c r="I108" s="17">
        <v>0</v>
      </c>
    </row>
    <row r="109" spans="1:9" ht="15.75" customHeight="1">
      <c r="A109" s="54"/>
      <c r="B109" s="46" t="s">
        <v>144</v>
      </c>
      <c r="C109" s="34"/>
      <c r="D109" s="34"/>
      <c r="E109" s="34"/>
      <c r="F109" s="34"/>
      <c r="G109" s="34"/>
      <c r="H109" s="34"/>
      <c r="I109" s="44">
        <f>I88+I107</f>
        <v>249153.8035716</v>
      </c>
    </row>
    <row r="110" spans="1:9" ht="15.75">
      <c r="A110" s="205" t="s">
        <v>325</v>
      </c>
      <c r="B110" s="205"/>
      <c r="C110" s="205"/>
      <c r="D110" s="205"/>
      <c r="E110" s="205"/>
      <c r="F110" s="205"/>
      <c r="G110" s="205"/>
      <c r="H110" s="205"/>
      <c r="I110" s="205"/>
    </row>
    <row r="111" spans="1:9" ht="15.75">
      <c r="A111" s="61"/>
      <c r="B111" s="206" t="s">
        <v>326</v>
      </c>
      <c r="C111" s="206"/>
      <c r="D111" s="206"/>
      <c r="E111" s="206"/>
      <c r="F111" s="206"/>
      <c r="G111" s="206"/>
      <c r="H111" s="80"/>
      <c r="I111" s="3"/>
    </row>
    <row r="112" spans="1:9">
      <c r="A112" s="74"/>
      <c r="B112" s="204" t="s">
        <v>6</v>
      </c>
      <c r="C112" s="204"/>
      <c r="D112" s="204"/>
      <c r="E112" s="204"/>
      <c r="F112" s="204"/>
      <c r="G112" s="204"/>
      <c r="H112" s="24"/>
      <c r="I112" s="5"/>
    </row>
    <row r="113" spans="1:9">
      <c r="A113" s="10"/>
      <c r="B113" s="10"/>
      <c r="C113" s="10"/>
      <c r="D113" s="10"/>
      <c r="E113" s="10"/>
      <c r="F113" s="10"/>
      <c r="G113" s="10"/>
      <c r="H113" s="10"/>
      <c r="I113" s="10"/>
    </row>
    <row r="114" spans="1:9" ht="15.75">
      <c r="A114" s="207" t="s">
        <v>7</v>
      </c>
      <c r="B114" s="207"/>
      <c r="C114" s="207"/>
      <c r="D114" s="207"/>
      <c r="E114" s="207"/>
      <c r="F114" s="207"/>
      <c r="G114" s="207"/>
      <c r="H114" s="207"/>
      <c r="I114" s="207"/>
    </row>
    <row r="115" spans="1:9" ht="15.75">
      <c r="A115" s="207" t="s">
        <v>8</v>
      </c>
      <c r="B115" s="207"/>
      <c r="C115" s="207"/>
      <c r="D115" s="207"/>
      <c r="E115" s="207"/>
      <c r="F115" s="207"/>
      <c r="G115" s="207"/>
      <c r="H115" s="207"/>
      <c r="I115" s="207"/>
    </row>
    <row r="116" spans="1:9" ht="15.75">
      <c r="A116" s="201" t="s">
        <v>59</v>
      </c>
      <c r="B116" s="201"/>
      <c r="C116" s="201"/>
      <c r="D116" s="201"/>
      <c r="E116" s="201"/>
      <c r="F116" s="201"/>
      <c r="G116" s="201"/>
      <c r="H116" s="201"/>
      <c r="I116" s="201"/>
    </row>
    <row r="117" spans="1:9" ht="15.75">
      <c r="A117" s="11"/>
    </row>
    <row r="118" spans="1:9" ht="15.75">
      <c r="A118" s="202" t="s">
        <v>9</v>
      </c>
      <c r="B118" s="202"/>
      <c r="C118" s="202"/>
      <c r="D118" s="202"/>
      <c r="E118" s="202"/>
      <c r="F118" s="202"/>
      <c r="G118" s="202"/>
      <c r="H118" s="202"/>
      <c r="I118" s="202"/>
    </row>
    <row r="119" spans="1:9" ht="15.75">
      <c r="A119" s="4"/>
    </row>
    <row r="120" spans="1:9" ht="15.75">
      <c r="B120" s="72" t="s">
        <v>10</v>
      </c>
      <c r="C120" s="203" t="s">
        <v>84</v>
      </c>
      <c r="D120" s="203"/>
      <c r="E120" s="203"/>
      <c r="F120" s="78"/>
      <c r="I120" s="73"/>
    </row>
    <row r="121" spans="1:9">
      <c r="A121" s="74"/>
      <c r="C121" s="204" t="s">
        <v>11</v>
      </c>
      <c r="D121" s="204"/>
      <c r="E121" s="204"/>
      <c r="F121" s="24"/>
      <c r="I121" s="71" t="s">
        <v>12</v>
      </c>
    </row>
    <row r="122" spans="1:9" ht="15.75">
      <c r="A122" s="25"/>
      <c r="C122" s="12"/>
      <c r="D122" s="12"/>
      <c r="G122" s="12"/>
      <c r="H122" s="12"/>
    </row>
    <row r="123" spans="1:9" ht="15.75">
      <c r="B123" s="72" t="s">
        <v>13</v>
      </c>
      <c r="C123" s="198"/>
      <c r="D123" s="198"/>
      <c r="E123" s="198"/>
      <c r="F123" s="79"/>
      <c r="I123" s="73"/>
    </row>
    <row r="124" spans="1:9">
      <c r="A124" s="74"/>
      <c r="C124" s="199" t="s">
        <v>11</v>
      </c>
      <c r="D124" s="199"/>
      <c r="E124" s="199"/>
      <c r="F124" s="74"/>
      <c r="I124" s="71" t="s">
        <v>12</v>
      </c>
    </row>
    <row r="125" spans="1:9" ht="15.75">
      <c r="A125" s="4" t="s">
        <v>14</v>
      </c>
    </row>
    <row r="126" spans="1:9">
      <c r="A126" s="200" t="s">
        <v>15</v>
      </c>
      <c r="B126" s="200"/>
      <c r="C126" s="200"/>
      <c r="D126" s="200"/>
      <c r="E126" s="200"/>
      <c r="F126" s="200"/>
      <c r="G126" s="200"/>
      <c r="H126" s="200"/>
      <c r="I126" s="200"/>
    </row>
    <row r="127" spans="1:9" ht="45" customHeight="1">
      <c r="A127" s="197" t="s">
        <v>16</v>
      </c>
      <c r="B127" s="197"/>
      <c r="C127" s="197"/>
      <c r="D127" s="197"/>
      <c r="E127" s="197"/>
      <c r="F127" s="197"/>
      <c r="G127" s="197"/>
      <c r="H127" s="197"/>
      <c r="I127" s="197"/>
    </row>
    <row r="128" spans="1:9" ht="30" customHeight="1">
      <c r="A128" s="197" t="s">
        <v>17</v>
      </c>
      <c r="B128" s="197"/>
      <c r="C128" s="197"/>
      <c r="D128" s="197"/>
      <c r="E128" s="197"/>
      <c r="F128" s="197"/>
      <c r="G128" s="197"/>
      <c r="H128" s="197"/>
      <c r="I128" s="197"/>
    </row>
    <row r="129" spans="1:9" ht="30" customHeight="1">
      <c r="A129" s="197" t="s">
        <v>21</v>
      </c>
      <c r="B129" s="197"/>
      <c r="C129" s="197"/>
      <c r="D129" s="197"/>
      <c r="E129" s="197"/>
      <c r="F129" s="197"/>
      <c r="G129" s="197"/>
      <c r="H129" s="197"/>
      <c r="I129" s="197"/>
    </row>
    <row r="130" spans="1:9" ht="15" customHeight="1">
      <c r="A130" s="197" t="s">
        <v>20</v>
      </c>
      <c r="B130" s="197"/>
      <c r="C130" s="197"/>
      <c r="D130" s="197"/>
      <c r="E130" s="197"/>
      <c r="F130" s="197"/>
      <c r="G130" s="197"/>
      <c r="H130" s="197"/>
      <c r="I130" s="197"/>
    </row>
  </sheetData>
  <autoFilter ref="I12:I65"/>
  <mergeCells count="29">
    <mergeCell ref="A14:I14"/>
    <mergeCell ref="A15:I15"/>
    <mergeCell ref="A28:I28"/>
    <mergeCell ref="A44:I44"/>
    <mergeCell ref="A54:I54"/>
    <mergeCell ref="A3:I3"/>
    <mergeCell ref="A4:I4"/>
    <mergeCell ref="A5:I5"/>
    <mergeCell ref="A8:I8"/>
    <mergeCell ref="A10:I10"/>
    <mergeCell ref="R70:U70"/>
    <mergeCell ref="C124:E124"/>
    <mergeCell ref="A89:I89"/>
    <mergeCell ref="A110:I110"/>
    <mergeCell ref="B111:G111"/>
    <mergeCell ref="B112:G112"/>
    <mergeCell ref="A114:I114"/>
    <mergeCell ref="A115:I115"/>
    <mergeCell ref="A116:I116"/>
    <mergeCell ref="A118:I118"/>
    <mergeCell ref="C120:E120"/>
    <mergeCell ref="C121:E121"/>
    <mergeCell ref="C123:E123"/>
    <mergeCell ref="A85:I85"/>
    <mergeCell ref="A126:I126"/>
    <mergeCell ref="A127:I127"/>
    <mergeCell ref="A128:I128"/>
    <mergeCell ref="A129:I129"/>
    <mergeCell ref="A130:I130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V143"/>
  <sheetViews>
    <sheetView topLeftCell="A90" workbookViewId="0">
      <selection activeCell="B85" sqref="B85:I86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3.1406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170</v>
      </c>
      <c r="I1" s="26"/>
      <c r="J1" s="1"/>
      <c r="K1" s="1"/>
      <c r="L1" s="1"/>
      <c r="M1" s="1"/>
    </row>
    <row r="2" spans="1:13" ht="15.75" customHeight="1">
      <c r="A2" s="28" t="s">
        <v>60</v>
      </c>
      <c r="J2" s="2"/>
      <c r="K2" s="2"/>
      <c r="L2" s="2"/>
      <c r="M2" s="2"/>
    </row>
    <row r="3" spans="1:13" ht="15.75" customHeight="1">
      <c r="A3" s="214" t="s">
        <v>158</v>
      </c>
      <c r="B3" s="214"/>
      <c r="C3" s="214"/>
      <c r="D3" s="214"/>
      <c r="E3" s="214"/>
      <c r="F3" s="214"/>
      <c r="G3" s="214"/>
      <c r="H3" s="214"/>
      <c r="I3" s="214"/>
      <c r="J3" s="3"/>
      <c r="K3" s="3"/>
      <c r="L3" s="3"/>
    </row>
    <row r="4" spans="1:13" ht="31.5" customHeight="1">
      <c r="A4" s="215" t="s">
        <v>122</v>
      </c>
      <c r="B4" s="215"/>
      <c r="C4" s="215"/>
      <c r="D4" s="215"/>
      <c r="E4" s="215"/>
      <c r="F4" s="215"/>
      <c r="G4" s="215"/>
      <c r="H4" s="215"/>
      <c r="I4" s="215"/>
    </row>
    <row r="5" spans="1:13" ht="15.75" customHeight="1">
      <c r="A5" s="214" t="s">
        <v>269</v>
      </c>
      <c r="B5" s="218"/>
      <c r="C5" s="218"/>
      <c r="D5" s="218"/>
      <c r="E5" s="218"/>
      <c r="F5" s="218"/>
      <c r="G5" s="218"/>
      <c r="H5" s="218"/>
      <c r="I5" s="218"/>
      <c r="J5" s="2"/>
      <c r="K5" s="2"/>
      <c r="L5" s="2"/>
      <c r="M5" s="2"/>
    </row>
    <row r="6" spans="1:13" ht="15.75" customHeight="1">
      <c r="A6" s="2"/>
      <c r="B6" s="75"/>
      <c r="C6" s="75"/>
      <c r="D6" s="75"/>
      <c r="E6" s="75"/>
      <c r="F6" s="75"/>
      <c r="G6" s="75"/>
      <c r="H6" s="75"/>
      <c r="I6" s="30">
        <v>43708</v>
      </c>
      <c r="J6" s="2"/>
      <c r="K6" s="2"/>
      <c r="L6" s="2"/>
      <c r="M6" s="2"/>
    </row>
    <row r="7" spans="1:13" ht="15.75" customHeight="1">
      <c r="B7" s="72"/>
      <c r="C7" s="72"/>
      <c r="D7" s="72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16" t="s">
        <v>270</v>
      </c>
      <c r="B8" s="216"/>
      <c r="C8" s="216"/>
      <c r="D8" s="216"/>
      <c r="E8" s="216"/>
      <c r="F8" s="216"/>
      <c r="G8" s="216"/>
      <c r="H8" s="216"/>
      <c r="I8" s="216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17" t="s">
        <v>136</v>
      </c>
      <c r="B10" s="217"/>
      <c r="C10" s="217"/>
      <c r="D10" s="217"/>
      <c r="E10" s="217"/>
      <c r="F10" s="217"/>
      <c r="G10" s="217"/>
      <c r="H10" s="217"/>
      <c r="I10" s="217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219" t="s">
        <v>57</v>
      </c>
      <c r="B14" s="219"/>
      <c r="C14" s="219"/>
      <c r="D14" s="219"/>
      <c r="E14" s="219"/>
      <c r="F14" s="219"/>
      <c r="G14" s="219"/>
      <c r="H14" s="219"/>
      <c r="I14" s="219"/>
      <c r="J14" s="8"/>
      <c r="K14" s="8"/>
      <c r="L14" s="8"/>
      <c r="M14" s="8"/>
    </row>
    <row r="15" spans="1:13" ht="15.75" customHeight="1">
      <c r="A15" s="220" t="s">
        <v>4</v>
      </c>
      <c r="B15" s="220"/>
      <c r="C15" s="220"/>
      <c r="D15" s="220"/>
      <c r="E15" s="220"/>
      <c r="F15" s="220"/>
      <c r="G15" s="220"/>
      <c r="H15" s="220"/>
      <c r="I15" s="220"/>
      <c r="J15" s="8"/>
      <c r="K15" s="8"/>
      <c r="L15" s="8"/>
      <c r="M15" s="8"/>
    </row>
    <row r="16" spans="1:13" ht="15.75" customHeight="1">
      <c r="A16" s="29">
        <v>1</v>
      </c>
      <c r="B16" s="32" t="s">
        <v>82</v>
      </c>
      <c r="C16" s="138" t="s">
        <v>89</v>
      </c>
      <c r="D16" s="32" t="s">
        <v>230</v>
      </c>
      <c r="E16" s="152">
        <v>129.88</v>
      </c>
      <c r="F16" s="139">
        <f>SUM(E16*156/100)</f>
        <v>202.61279999999999</v>
      </c>
      <c r="G16" s="139">
        <v>239.2</v>
      </c>
      <c r="H16" s="86">
        <f t="shared" ref="H16:H26" si="0">SUM(F16*G16/1000)</f>
        <v>48.464981759999993</v>
      </c>
      <c r="I16" s="13">
        <f>F16/12*G16</f>
        <v>4038.7484799999997</v>
      </c>
      <c r="J16" s="8"/>
      <c r="K16" s="8"/>
      <c r="L16" s="8"/>
      <c r="M16" s="8"/>
    </row>
    <row r="17" spans="1:13" ht="15.75" customHeight="1">
      <c r="A17" s="29">
        <v>2</v>
      </c>
      <c r="B17" s="32" t="s">
        <v>85</v>
      </c>
      <c r="C17" s="138" t="s">
        <v>89</v>
      </c>
      <c r="D17" s="32" t="s">
        <v>231</v>
      </c>
      <c r="E17" s="152">
        <v>519.52</v>
      </c>
      <c r="F17" s="139">
        <f>SUM(E17*104/100)</f>
        <v>540.30079999999998</v>
      </c>
      <c r="G17" s="139">
        <v>239.2</v>
      </c>
      <c r="H17" s="86">
        <f t="shared" si="0"/>
        <v>129.23995135999999</v>
      </c>
      <c r="I17" s="13">
        <f>F17/12*G17</f>
        <v>10769.995946666666</v>
      </c>
      <c r="J17" s="22"/>
      <c r="K17" s="8"/>
      <c r="L17" s="8"/>
      <c r="M17" s="8"/>
    </row>
    <row r="18" spans="1:13" ht="15.75" customHeight="1">
      <c r="A18" s="29">
        <v>3</v>
      </c>
      <c r="B18" s="32" t="s">
        <v>86</v>
      </c>
      <c r="C18" s="138" t="s">
        <v>89</v>
      </c>
      <c r="D18" s="32" t="s">
        <v>232</v>
      </c>
      <c r="E18" s="152">
        <f>SUM(E16+E17)</f>
        <v>649.4</v>
      </c>
      <c r="F18" s="139">
        <f>SUM(E18*18/100)</f>
        <v>116.892</v>
      </c>
      <c r="G18" s="139">
        <v>688.14</v>
      </c>
      <c r="H18" s="86">
        <f t="shared" si="0"/>
        <v>80.438060879999995</v>
      </c>
      <c r="I18" s="13">
        <f>F18/12*G18</f>
        <v>6703.1717399999998</v>
      </c>
      <c r="J18" s="22"/>
      <c r="K18" s="8"/>
      <c r="L18" s="8"/>
      <c r="M18" s="8"/>
    </row>
    <row r="19" spans="1:13" ht="15.75" hidden="1" customHeight="1">
      <c r="A19" s="29">
        <v>4</v>
      </c>
      <c r="B19" s="82" t="s">
        <v>90</v>
      </c>
      <c r="C19" s="83" t="s">
        <v>91</v>
      </c>
      <c r="D19" s="82" t="s">
        <v>92</v>
      </c>
      <c r="E19" s="84">
        <v>124.8</v>
      </c>
      <c r="F19" s="85">
        <f>SUM(E19/10)</f>
        <v>12.48</v>
      </c>
      <c r="G19" s="85">
        <v>170.16</v>
      </c>
      <c r="H19" s="86">
        <f t="shared" si="0"/>
        <v>2.1235967999999996</v>
      </c>
      <c r="I19" s="13">
        <f>F19/2*G19</f>
        <v>1061.7983999999999</v>
      </c>
      <c r="J19" s="22"/>
      <c r="K19" s="8"/>
      <c r="L19" s="8"/>
      <c r="M19" s="8"/>
    </row>
    <row r="20" spans="1:13" ht="15.75" customHeight="1">
      <c r="A20" s="29">
        <v>4</v>
      </c>
      <c r="B20" s="32" t="s">
        <v>95</v>
      </c>
      <c r="C20" s="138" t="s">
        <v>89</v>
      </c>
      <c r="D20" s="32" t="s">
        <v>243</v>
      </c>
      <c r="E20" s="152">
        <v>57.5</v>
      </c>
      <c r="F20" s="139">
        <f>SUM(E20*12/100)</f>
        <v>6.9</v>
      </c>
      <c r="G20" s="139">
        <v>297.19</v>
      </c>
      <c r="H20" s="86">
        <f t="shared" si="0"/>
        <v>2.050611</v>
      </c>
      <c r="I20" s="13">
        <f>F20*G20/12</f>
        <v>170.88424999999998</v>
      </c>
      <c r="J20" s="22"/>
      <c r="K20" s="8"/>
      <c r="L20" s="8"/>
      <c r="M20" s="8"/>
    </row>
    <row r="21" spans="1:13" ht="15.75" customHeight="1">
      <c r="A21" s="29">
        <v>5</v>
      </c>
      <c r="B21" s="32" t="s">
        <v>96</v>
      </c>
      <c r="C21" s="138" t="s">
        <v>89</v>
      </c>
      <c r="D21" s="32" t="s">
        <v>243</v>
      </c>
      <c r="E21" s="152">
        <v>13.41</v>
      </c>
      <c r="F21" s="139">
        <f>SUM(E21*12/100)</f>
        <v>1.6092000000000002</v>
      </c>
      <c r="G21" s="139">
        <v>294.77999999999997</v>
      </c>
      <c r="H21" s="86">
        <f t="shared" si="0"/>
        <v>0.47435997600000002</v>
      </c>
      <c r="I21" s="13">
        <f>F21*G21/12</f>
        <v>39.529997999999999</v>
      </c>
      <c r="J21" s="22"/>
      <c r="K21" s="8"/>
      <c r="L21" s="8"/>
      <c r="M21" s="8"/>
    </row>
    <row r="22" spans="1:13" ht="15.75" hidden="1" customHeight="1">
      <c r="A22" s="29">
        <v>7</v>
      </c>
      <c r="B22" s="82" t="s">
        <v>97</v>
      </c>
      <c r="C22" s="83" t="s">
        <v>51</v>
      </c>
      <c r="D22" s="82" t="s">
        <v>92</v>
      </c>
      <c r="E22" s="84">
        <v>820.5</v>
      </c>
      <c r="F22" s="85">
        <f>SUM(E22/100)</f>
        <v>8.2050000000000001</v>
      </c>
      <c r="G22" s="85">
        <v>269.26</v>
      </c>
      <c r="H22" s="86">
        <f t="shared" si="0"/>
        <v>2.2092782999999998</v>
      </c>
      <c r="I22" s="13">
        <f t="shared" ref="I22:I26" si="1">F22*G22</f>
        <v>2209.2782999999999</v>
      </c>
      <c r="J22" s="22"/>
      <c r="K22" s="8"/>
      <c r="L22" s="8"/>
      <c r="M22" s="8"/>
    </row>
    <row r="23" spans="1:13" ht="15.75" hidden="1" customHeight="1">
      <c r="A23" s="29">
        <v>8</v>
      </c>
      <c r="B23" s="82" t="s">
        <v>98</v>
      </c>
      <c r="C23" s="83" t="s">
        <v>51</v>
      </c>
      <c r="D23" s="82" t="s">
        <v>92</v>
      </c>
      <c r="E23" s="87">
        <v>60.25</v>
      </c>
      <c r="F23" s="85">
        <f>SUM(E23/100)</f>
        <v>0.60250000000000004</v>
      </c>
      <c r="G23" s="85">
        <v>44.29</v>
      </c>
      <c r="H23" s="86">
        <f t="shared" si="0"/>
        <v>2.6684724999999999E-2</v>
      </c>
      <c r="I23" s="13">
        <f t="shared" si="1"/>
        <v>26.684725</v>
      </c>
      <c r="J23" s="22"/>
      <c r="K23" s="8"/>
      <c r="L23" s="8"/>
      <c r="M23" s="8"/>
    </row>
    <row r="24" spans="1:13" ht="15.75" hidden="1" customHeight="1">
      <c r="A24" s="29">
        <v>9</v>
      </c>
      <c r="B24" s="82" t="s">
        <v>93</v>
      </c>
      <c r="C24" s="83" t="s">
        <v>51</v>
      </c>
      <c r="D24" s="82" t="s">
        <v>94</v>
      </c>
      <c r="E24" s="84">
        <v>19.149999999999999</v>
      </c>
      <c r="F24" s="85">
        <f>E24/100</f>
        <v>0.19149999999999998</v>
      </c>
      <c r="G24" s="85">
        <v>389.72</v>
      </c>
      <c r="H24" s="86">
        <f t="shared" si="0"/>
        <v>7.4631379999999997E-2</v>
      </c>
      <c r="I24" s="13">
        <f t="shared" si="1"/>
        <v>74.631379999999993</v>
      </c>
      <c r="J24" s="22"/>
      <c r="K24" s="8"/>
      <c r="L24" s="8"/>
      <c r="M24" s="8"/>
    </row>
    <row r="25" spans="1:13" ht="15.75" hidden="1" customHeight="1">
      <c r="A25" s="29">
        <v>10</v>
      </c>
      <c r="B25" s="82" t="s">
        <v>100</v>
      </c>
      <c r="C25" s="83" t="s">
        <v>51</v>
      </c>
      <c r="D25" s="82" t="s">
        <v>52</v>
      </c>
      <c r="E25" s="84">
        <v>31.5</v>
      </c>
      <c r="F25" s="85">
        <v>0.32</v>
      </c>
      <c r="G25" s="85">
        <v>216.12</v>
      </c>
      <c r="H25" s="86">
        <f t="shared" si="0"/>
        <v>6.9158399999999995E-2</v>
      </c>
      <c r="I25" s="13">
        <f t="shared" si="1"/>
        <v>69.1584</v>
      </c>
      <c r="J25" s="22"/>
      <c r="K25" s="8"/>
      <c r="L25" s="8"/>
      <c r="M25" s="8"/>
    </row>
    <row r="26" spans="1:13" ht="15.75" hidden="1" customHeight="1">
      <c r="A26" s="29">
        <v>11</v>
      </c>
      <c r="B26" s="82" t="s">
        <v>99</v>
      </c>
      <c r="C26" s="83" t="s">
        <v>51</v>
      </c>
      <c r="D26" s="82" t="s">
        <v>92</v>
      </c>
      <c r="E26" s="84">
        <v>37.5</v>
      </c>
      <c r="F26" s="85">
        <f>SUM(E26/100)</f>
        <v>0.375</v>
      </c>
      <c r="G26" s="85">
        <v>520.79999999999995</v>
      </c>
      <c r="H26" s="86">
        <f t="shared" si="0"/>
        <v>0.19529999999999997</v>
      </c>
      <c r="I26" s="13">
        <f t="shared" si="1"/>
        <v>195.29999999999998</v>
      </c>
      <c r="J26" s="22"/>
      <c r="K26" s="8"/>
      <c r="L26" s="8"/>
      <c r="M26" s="8"/>
    </row>
    <row r="27" spans="1:13" ht="15.75" customHeight="1">
      <c r="A27" s="29">
        <v>6</v>
      </c>
      <c r="B27" s="32" t="s">
        <v>229</v>
      </c>
      <c r="C27" s="138" t="s">
        <v>26</v>
      </c>
      <c r="D27" s="32" t="s">
        <v>234</v>
      </c>
      <c r="E27" s="175">
        <v>4.88</v>
      </c>
      <c r="F27" s="139">
        <f>E27*258</f>
        <v>1259.04</v>
      </c>
      <c r="G27" s="139">
        <v>10.39</v>
      </c>
      <c r="H27" s="86">
        <f t="shared" ref="H27" si="2">SUM(F27*G27/1000)</f>
        <v>13.081425600000001</v>
      </c>
      <c r="I27" s="13">
        <f>F27/12*G27</f>
        <v>1090.1188</v>
      </c>
      <c r="J27" s="22"/>
      <c r="K27" s="8"/>
      <c r="L27" s="8"/>
      <c r="M27" s="8"/>
    </row>
    <row r="28" spans="1:13" ht="15.75" customHeight="1">
      <c r="A28" s="220" t="s">
        <v>81</v>
      </c>
      <c r="B28" s="220"/>
      <c r="C28" s="220"/>
      <c r="D28" s="220"/>
      <c r="E28" s="220"/>
      <c r="F28" s="220"/>
      <c r="G28" s="220"/>
      <c r="H28" s="220"/>
      <c r="I28" s="220"/>
      <c r="J28" s="22"/>
      <c r="K28" s="8"/>
      <c r="L28" s="8"/>
      <c r="M28" s="8"/>
    </row>
    <row r="29" spans="1:13" ht="15.75" customHeight="1">
      <c r="A29" s="40"/>
      <c r="B29" s="50" t="s">
        <v>29</v>
      </c>
      <c r="C29" s="50"/>
      <c r="D29" s="50"/>
      <c r="E29" s="50"/>
      <c r="F29" s="50"/>
      <c r="G29" s="50"/>
      <c r="H29" s="50"/>
      <c r="I29" s="18"/>
      <c r="J29" s="22"/>
      <c r="K29" s="8"/>
      <c r="L29" s="8"/>
      <c r="M29" s="8"/>
    </row>
    <row r="30" spans="1:13" ht="15.75" customHeight="1">
      <c r="A30" s="40">
        <v>7</v>
      </c>
      <c r="B30" s="32" t="s">
        <v>101</v>
      </c>
      <c r="C30" s="138" t="s">
        <v>102</v>
      </c>
      <c r="D30" s="32" t="s">
        <v>231</v>
      </c>
      <c r="E30" s="139">
        <v>1304.45</v>
      </c>
      <c r="F30" s="139">
        <f>SUM(E30*52/1000)</f>
        <v>67.831400000000002</v>
      </c>
      <c r="G30" s="139">
        <v>212.62</v>
      </c>
      <c r="H30" s="86">
        <f t="shared" ref="H30:H31" si="3">SUM(F30*G30/1000)</f>
        <v>14.422312268000001</v>
      </c>
      <c r="I30" s="13">
        <f>F30/6*G30</f>
        <v>2403.7187113333334</v>
      </c>
      <c r="J30" s="22"/>
      <c r="K30" s="8"/>
      <c r="L30" s="8"/>
      <c r="M30" s="8"/>
    </row>
    <row r="31" spans="1:13" ht="31.5" customHeight="1">
      <c r="A31" s="40">
        <v>8</v>
      </c>
      <c r="B31" s="32" t="s">
        <v>140</v>
      </c>
      <c r="C31" s="138" t="s">
        <v>102</v>
      </c>
      <c r="D31" s="32" t="s">
        <v>231</v>
      </c>
      <c r="E31" s="139">
        <v>287.83999999999997</v>
      </c>
      <c r="F31" s="139">
        <f>SUM(E31*52/1000)</f>
        <v>14.967679999999998</v>
      </c>
      <c r="G31" s="139">
        <v>352.77</v>
      </c>
      <c r="H31" s="86">
        <f t="shared" si="3"/>
        <v>5.2801484735999997</v>
      </c>
      <c r="I31" s="13">
        <f t="shared" ref="I31" si="4">F31/6*G31</f>
        <v>880.02474559999985</v>
      </c>
      <c r="J31" s="22"/>
      <c r="K31" s="8"/>
      <c r="L31" s="8"/>
      <c r="M31" s="8"/>
    </row>
    <row r="32" spans="1:13" ht="15.75" hidden="1" customHeight="1">
      <c r="A32" s="40">
        <v>16</v>
      </c>
      <c r="B32" s="82" t="s">
        <v>28</v>
      </c>
      <c r="C32" s="83" t="s">
        <v>102</v>
      </c>
      <c r="D32" s="82" t="s">
        <v>52</v>
      </c>
      <c r="E32" s="85">
        <v>1304.45</v>
      </c>
      <c r="F32" s="85">
        <f>SUM(E32/1000)</f>
        <v>1.3044500000000001</v>
      </c>
      <c r="G32" s="85">
        <v>3020.33</v>
      </c>
      <c r="H32" s="86">
        <f t="shared" ref="H32:H34" si="5">SUM(F32*G32/1000)</f>
        <v>3.9398694685</v>
      </c>
      <c r="I32" s="13">
        <f>F32*G32</f>
        <v>3939.8694685</v>
      </c>
      <c r="J32" s="22"/>
      <c r="K32" s="8"/>
      <c r="L32" s="8"/>
      <c r="M32" s="8"/>
    </row>
    <row r="33" spans="1:14" ht="15.75" hidden="1" customHeight="1">
      <c r="A33" s="40">
        <v>4</v>
      </c>
      <c r="B33" s="82" t="s">
        <v>63</v>
      </c>
      <c r="C33" s="83" t="s">
        <v>33</v>
      </c>
      <c r="D33" s="82" t="s">
        <v>65</v>
      </c>
      <c r="E33" s="84"/>
      <c r="F33" s="85">
        <v>3</v>
      </c>
      <c r="G33" s="85">
        <v>191.32</v>
      </c>
      <c r="H33" s="86">
        <f t="shared" si="5"/>
        <v>0.57396000000000003</v>
      </c>
      <c r="I33" s="13">
        <v>0</v>
      </c>
      <c r="J33" s="23"/>
    </row>
    <row r="34" spans="1:14" ht="15.75" hidden="1" customHeight="1">
      <c r="A34" s="29">
        <v>8</v>
      </c>
      <c r="B34" s="82" t="s">
        <v>64</v>
      </c>
      <c r="C34" s="83" t="s">
        <v>32</v>
      </c>
      <c r="D34" s="82" t="s">
        <v>65</v>
      </c>
      <c r="E34" s="84"/>
      <c r="F34" s="85">
        <v>2</v>
      </c>
      <c r="G34" s="85">
        <v>1136.32</v>
      </c>
      <c r="H34" s="86">
        <f t="shared" si="5"/>
        <v>2.27264</v>
      </c>
      <c r="I34" s="13">
        <v>0</v>
      </c>
      <c r="J34" s="23"/>
    </row>
    <row r="35" spans="1:14" ht="15.75" hidden="1" customHeight="1">
      <c r="A35" s="40"/>
      <c r="B35" s="48" t="s">
        <v>5</v>
      </c>
      <c r="C35" s="48"/>
      <c r="D35" s="48"/>
      <c r="E35" s="13"/>
      <c r="F35" s="13"/>
      <c r="G35" s="14"/>
      <c r="H35" s="14"/>
      <c r="I35" s="18"/>
      <c r="J35" s="23"/>
    </row>
    <row r="36" spans="1:14" ht="15.75" hidden="1" customHeight="1">
      <c r="A36" s="33">
        <v>6</v>
      </c>
      <c r="B36" s="82" t="s">
        <v>27</v>
      </c>
      <c r="C36" s="83" t="s">
        <v>32</v>
      </c>
      <c r="D36" s="82"/>
      <c r="E36" s="84"/>
      <c r="F36" s="85">
        <v>10</v>
      </c>
      <c r="G36" s="85">
        <v>1527.22</v>
      </c>
      <c r="H36" s="86">
        <f t="shared" ref="H36:H43" si="6">SUM(F36*G36/1000)</f>
        <v>15.272200000000002</v>
      </c>
      <c r="I36" s="13">
        <f>F36/6*G36</f>
        <v>2545.3666666666668</v>
      </c>
      <c r="J36" s="23"/>
    </row>
    <row r="37" spans="1:14" ht="15.75" hidden="1" customHeight="1">
      <c r="A37" s="33">
        <v>7</v>
      </c>
      <c r="B37" s="82" t="s">
        <v>123</v>
      </c>
      <c r="C37" s="83" t="s">
        <v>30</v>
      </c>
      <c r="D37" s="82" t="s">
        <v>124</v>
      </c>
      <c r="E37" s="85">
        <v>495</v>
      </c>
      <c r="F37" s="85">
        <f>SUM(E37*12/1000)</f>
        <v>5.94</v>
      </c>
      <c r="G37" s="85">
        <v>2102.71</v>
      </c>
      <c r="H37" s="86">
        <f t="shared" si="6"/>
        <v>12.4900974</v>
      </c>
      <c r="I37" s="13">
        <f>F37/6*G37</f>
        <v>2081.6829000000002</v>
      </c>
      <c r="J37" s="23"/>
    </row>
    <row r="38" spans="1:14" ht="15.75" hidden="1" customHeight="1">
      <c r="A38" s="33">
        <v>8</v>
      </c>
      <c r="B38" s="82" t="s">
        <v>125</v>
      </c>
      <c r="C38" s="83" t="s">
        <v>30</v>
      </c>
      <c r="D38" s="82" t="s">
        <v>106</v>
      </c>
      <c r="E38" s="84">
        <v>287.83999999999997</v>
      </c>
      <c r="F38" s="85">
        <v>8.64</v>
      </c>
      <c r="G38" s="85">
        <v>2102.71</v>
      </c>
      <c r="H38" s="86">
        <f>G38*F38/1000</f>
        <v>18.167414400000002</v>
      </c>
      <c r="I38" s="13">
        <f>F38/6*G38</f>
        <v>3027.9024000000004</v>
      </c>
      <c r="J38" s="23"/>
    </row>
    <row r="39" spans="1:14" ht="15.75" hidden="1" customHeight="1">
      <c r="A39" s="33">
        <v>7</v>
      </c>
      <c r="B39" s="82" t="s">
        <v>87</v>
      </c>
      <c r="C39" s="83" t="s">
        <v>126</v>
      </c>
      <c r="D39" s="82" t="s">
        <v>65</v>
      </c>
      <c r="E39" s="84"/>
      <c r="F39" s="85">
        <v>80</v>
      </c>
      <c r="G39" s="85">
        <v>199.44</v>
      </c>
      <c r="H39" s="86">
        <f>G39*F39/1000</f>
        <v>15.955200000000001</v>
      </c>
      <c r="I39" s="13">
        <v>0</v>
      </c>
      <c r="J39" s="23"/>
    </row>
    <row r="40" spans="1:14" ht="15.75" hidden="1" customHeight="1">
      <c r="A40" s="33">
        <v>9</v>
      </c>
      <c r="B40" s="82" t="s">
        <v>66</v>
      </c>
      <c r="C40" s="83" t="s">
        <v>30</v>
      </c>
      <c r="D40" s="82" t="s">
        <v>107</v>
      </c>
      <c r="E40" s="85">
        <v>287.83999999999997</v>
      </c>
      <c r="F40" s="85">
        <f>SUM(E40*155/1000)</f>
        <v>44.615199999999994</v>
      </c>
      <c r="G40" s="85">
        <v>350.75</v>
      </c>
      <c r="H40" s="86">
        <f t="shared" si="6"/>
        <v>15.648781399999997</v>
      </c>
      <c r="I40" s="13">
        <f>F40/6*G40</f>
        <v>2608.1302333333329</v>
      </c>
      <c r="J40" s="23"/>
    </row>
    <row r="41" spans="1:14" ht="47.25" hidden="1" customHeight="1">
      <c r="A41" s="33">
        <v>10</v>
      </c>
      <c r="B41" s="82" t="s">
        <v>79</v>
      </c>
      <c r="C41" s="83" t="s">
        <v>102</v>
      </c>
      <c r="D41" s="82" t="s">
        <v>127</v>
      </c>
      <c r="E41" s="85">
        <v>89.43</v>
      </c>
      <c r="F41" s="85">
        <f>SUM(E41*24/1000)</f>
        <v>2.1463200000000002</v>
      </c>
      <c r="G41" s="85">
        <v>5803.28</v>
      </c>
      <c r="H41" s="86">
        <f t="shared" si="6"/>
        <v>12.455695929600001</v>
      </c>
      <c r="I41" s="13">
        <f>F41/6*G41</f>
        <v>2075.9493216000001</v>
      </c>
      <c r="J41" s="23"/>
      <c r="L41" s="19"/>
      <c r="M41" s="20"/>
      <c r="N41" s="21"/>
    </row>
    <row r="42" spans="1:14" ht="15.75" hidden="1" customHeight="1">
      <c r="A42" s="33">
        <v>11</v>
      </c>
      <c r="B42" s="82" t="s">
        <v>108</v>
      </c>
      <c r="C42" s="83" t="s">
        <v>102</v>
      </c>
      <c r="D42" s="82" t="s">
        <v>67</v>
      </c>
      <c r="E42" s="85">
        <v>130.08000000000001</v>
      </c>
      <c r="F42" s="85">
        <f>SUM(E42*45/1000)</f>
        <v>5.8536000000000001</v>
      </c>
      <c r="G42" s="85">
        <v>428.7</v>
      </c>
      <c r="H42" s="86">
        <f t="shared" si="6"/>
        <v>2.5094383200000001</v>
      </c>
      <c r="I42" s="13">
        <f>F42/6*G42</f>
        <v>418.23971999999998</v>
      </c>
      <c r="J42" s="23"/>
      <c r="L42" s="19"/>
      <c r="M42" s="20"/>
      <c r="N42" s="21"/>
    </row>
    <row r="43" spans="1:14" ht="15.75" hidden="1" customHeight="1">
      <c r="A43" s="33">
        <v>12</v>
      </c>
      <c r="B43" s="82" t="s">
        <v>68</v>
      </c>
      <c r="C43" s="83" t="s">
        <v>33</v>
      </c>
      <c r="D43" s="82"/>
      <c r="E43" s="84"/>
      <c r="F43" s="85">
        <v>0.9</v>
      </c>
      <c r="G43" s="85">
        <v>798</v>
      </c>
      <c r="H43" s="86">
        <f t="shared" si="6"/>
        <v>0.71820000000000006</v>
      </c>
      <c r="I43" s="13">
        <f>F43/6*G43</f>
        <v>119.69999999999999</v>
      </c>
      <c r="J43" s="23"/>
      <c r="L43" s="19"/>
      <c r="M43" s="20"/>
      <c r="N43" s="21"/>
    </row>
    <row r="44" spans="1:14" ht="15.75" hidden="1" customHeight="1">
      <c r="A44" s="224" t="s">
        <v>137</v>
      </c>
      <c r="B44" s="225"/>
      <c r="C44" s="225"/>
      <c r="D44" s="225"/>
      <c r="E44" s="225"/>
      <c r="F44" s="225"/>
      <c r="G44" s="225"/>
      <c r="H44" s="225"/>
      <c r="I44" s="226"/>
      <c r="J44" s="23"/>
      <c r="L44" s="19"/>
      <c r="M44" s="20"/>
      <c r="N44" s="21"/>
    </row>
    <row r="45" spans="1:14" ht="15.75" hidden="1" customHeight="1">
      <c r="A45" s="40">
        <v>18</v>
      </c>
      <c r="B45" s="82" t="s">
        <v>128</v>
      </c>
      <c r="C45" s="83" t="s">
        <v>102</v>
      </c>
      <c r="D45" s="82" t="s">
        <v>41</v>
      </c>
      <c r="E45" s="84">
        <v>1369</v>
      </c>
      <c r="F45" s="85">
        <f>SUM(E45*2/1000)</f>
        <v>2.738</v>
      </c>
      <c r="G45" s="13">
        <v>849.49</v>
      </c>
      <c r="H45" s="86">
        <f t="shared" ref="H45:H53" si="7">SUM(F45*G45/1000)</f>
        <v>2.3259036200000001</v>
      </c>
      <c r="I45" s="13">
        <f t="shared" ref="I45:I47" si="8">F45/2*G45</f>
        <v>1162.95181</v>
      </c>
      <c r="J45" s="23"/>
      <c r="L45" s="19"/>
      <c r="M45" s="20"/>
      <c r="N45" s="21"/>
    </row>
    <row r="46" spans="1:14" ht="15.75" hidden="1" customHeight="1">
      <c r="A46" s="40">
        <v>19</v>
      </c>
      <c r="B46" s="82" t="s">
        <v>34</v>
      </c>
      <c r="C46" s="83" t="s">
        <v>102</v>
      </c>
      <c r="D46" s="82" t="s">
        <v>41</v>
      </c>
      <c r="E46" s="84">
        <v>1418</v>
      </c>
      <c r="F46" s="85">
        <f>SUM(E46*2/1000)</f>
        <v>2.8359999999999999</v>
      </c>
      <c r="G46" s="13">
        <v>579.48</v>
      </c>
      <c r="H46" s="86">
        <f t="shared" si="7"/>
        <v>1.6434052799999999</v>
      </c>
      <c r="I46" s="13">
        <f t="shared" si="8"/>
        <v>821.70263999999997</v>
      </c>
      <c r="J46" s="23"/>
      <c r="L46" s="19"/>
      <c r="M46" s="20"/>
      <c r="N46" s="21"/>
    </row>
    <row r="47" spans="1:14" ht="15.75" hidden="1" customHeight="1">
      <c r="A47" s="40">
        <v>20</v>
      </c>
      <c r="B47" s="82" t="s">
        <v>35</v>
      </c>
      <c r="C47" s="83" t="s">
        <v>102</v>
      </c>
      <c r="D47" s="82" t="s">
        <v>41</v>
      </c>
      <c r="E47" s="84">
        <v>4985.21</v>
      </c>
      <c r="F47" s="85">
        <f>SUM(E47*2/1000)</f>
        <v>9.9704200000000007</v>
      </c>
      <c r="G47" s="13">
        <v>579.48</v>
      </c>
      <c r="H47" s="86">
        <f t="shared" si="7"/>
        <v>5.7776589816000001</v>
      </c>
      <c r="I47" s="13">
        <f t="shared" si="8"/>
        <v>2888.8294908000003</v>
      </c>
      <c r="J47" s="23"/>
      <c r="L47" s="19"/>
      <c r="M47" s="20"/>
      <c r="N47" s="21"/>
    </row>
    <row r="48" spans="1:14" ht="15.75" hidden="1" customHeight="1">
      <c r="A48" s="40">
        <v>21</v>
      </c>
      <c r="B48" s="82" t="s">
        <v>36</v>
      </c>
      <c r="C48" s="83" t="s">
        <v>102</v>
      </c>
      <c r="D48" s="82" t="s">
        <v>41</v>
      </c>
      <c r="E48" s="84">
        <v>2474</v>
      </c>
      <c r="F48" s="85">
        <f>SUM(E48*2/1000)</f>
        <v>4.9480000000000004</v>
      </c>
      <c r="G48" s="13">
        <v>606.77</v>
      </c>
      <c r="H48" s="86">
        <f t="shared" si="7"/>
        <v>3.0022979600000004</v>
      </c>
      <c r="I48" s="13">
        <f>F48/2*G48</f>
        <v>1501.1489800000002</v>
      </c>
      <c r="J48" s="23"/>
      <c r="L48" s="19"/>
      <c r="M48" s="20"/>
      <c r="N48" s="21"/>
    </row>
    <row r="49" spans="1:14" ht="15.75" hidden="1" customHeight="1">
      <c r="A49" s="40">
        <v>22</v>
      </c>
      <c r="B49" s="82" t="s">
        <v>54</v>
      </c>
      <c r="C49" s="83" t="s">
        <v>102</v>
      </c>
      <c r="D49" s="82" t="s">
        <v>141</v>
      </c>
      <c r="E49" s="84">
        <v>1349.3</v>
      </c>
      <c r="F49" s="85">
        <f>SUM(E49*5/1000)</f>
        <v>6.7465000000000002</v>
      </c>
      <c r="G49" s="13">
        <v>1213.55</v>
      </c>
      <c r="H49" s="86">
        <f t="shared" si="7"/>
        <v>8.1872150749999992</v>
      </c>
      <c r="I49" s="13">
        <f>F49/5*G49</f>
        <v>1637.4430149999998</v>
      </c>
      <c r="J49" s="23"/>
      <c r="L49" s="19"/>
      <c r="M49" s="20"/>
      <c r="N49" s="21"/>
    </row>
    <row r="50" spans="1:14" ht="30.75" hidden="1" customHeight="1">
      <c r="A50" s="40">
        <v>13</v>
      </c>
      <c r="B50" s="82" t="s">
        <v>109</v>
      </c>
      <c r="C50" s="83" t="s">
        <v>102</v>
      </c>
      <c r="D50" s="82" t="s">
        <v>41</v>
      </c>
      <c r="E50" s="84">
        <v>1349.3</v>
      </c>
      <c r="F50" s="85">
        <f>SUM(E50*2/1000)</f>
        <v>2.6985999999999999</v>
      </c>
      <c r="G50" s="13">
        <v>1213.55</v>
      </c>
      <c r="H50" s="86">
        <f t="shared" si="7"/>
        <v>3.2748860299999998</v>
      </c>
      <c r="I50" s="13">
        <f>F50/2*G50</f>
        <v>1637.4430149999998</v>
      </c>
      <c r="J50" s="23"/>
      <c r="L50" s="19"/>
      <c r="M50" s="20"/>
      <c r="N50" s="21"/>
    </row>
    <row r="51" spans="1:14" ht="30.75" hidden="1" customHeight="1">
      <c r="A51" s="40">
        <v>14</v>
      </c>
      <c r="B51" s="82" t="s">
        <v>110</v>
      </c>
      <c r="C51" s="83" t="s">
        <v>37</v>
      </c>
      <c r="D51" s="82" t="s">
        <v>41</v>
      </c>
      <c r="E51" s="84">
        <v>40</v>
      </c>
      <c r="F51" s="85">
        <f>SUM(E51*2/100)</f>
        <v>0.8</v>
      </c>
      <c r="G51" s="13">
        <v>2730.49</v>
      </c>
      <c r="H51" s="86">
        <f t="shared" si="7"/>
        <v>2.1843919999999999</v>
      </c>
      <c r="I51" s="13">
        <f t="shared" ref="I51:I52" si="9">F51/2*G51</f>
        <v>1092.1959999999999</v>
      </c>
      <c r="J51" s="23"/>
      <c r="L51" s="19"/>
      <c r="M51" s="20"/>
      <c r="N51" s="21"/>
    </row>
    <row r="52" spans="1:14" ht="15.75" hidden="1" customHeight="1">
      <c r="A52" s="40">
        <v>15</v>
      </c>
      <c r="B52" s="82" t="s">
        <v>38</v>
      </c>
      <c r="C52" s="83" t="s">
        <v>39</v>
      </c>
      <c r="D52" s="82" t="s">
        <v>41</v>
      </c>
      <c r="E52" s="84">
        <v>1</v>
      </c>
      <c r="F52" s="85">
        <v>0.02</v>
      </c>
      <c r="G52" s="13">
        <v>5652.13</v>
      </c>
      <c r="H52" s="86">
        <f t="shared" si="7"/>
        <v>0.11304260000000001</v>
      </c>
      <c r="I52" s="13">
        <f t="shared" si="9"/>
        <v>56.521300000000004</v>
      </c>
      <c r="J52" s="23"/>
      <c r="L52" s="19"/>
      <c r="M52" s="20"/>
      <c r="N52" s="21"/>
    </row>
    <row r="53" spans="1:14" ht="15.75" hidden="1" customHeight="1">
      <c r="A53" s="40">
        <v>9</v>
      </c>
      <c r="B53" s="82" t="s">
        <v>40</v>
      </c>
      <c r="C53" s="83" t="s">
        <v>111</v>
      </c>
      <c r="D53" s="82" t="s">
        <v>69</v>
      </c>
      <c r="E53" s="84">
        <v>238</v>
      </c>
      <c r="F53" s="85">
        <f>SUM(E53)*3</f>
        <v>714</v>
      </c>
      <c r="G53" s="13">
        <v>65.67</v>
      </c>
      <c r="H53" s="86">
        <f t="shared" si="7"/>
        <v>46.888380000000005</v>
      </c>
      <c r="I53" s="13">
        <f>E53*G53</f>
        <v>15629.460000000001</v>
      </c>
      <c r="J53" s="23"/>
      <c r="L53" s="19"/>
      <c r="M53" s="20"/>
      <c r="N53" s="21"/>
    </row>
    <row r="54" spans="1:14" ht="15.75" customHeight="1">
      <c r="A54" s="224" t="s">
        <v>150</v>
      </c>
      <c r="B54" s="225"/>
      <c r="C54" s="225"/>
      <c r="D54" s="225"/>
      <c r="E54" s="225"/>
      <c r="F54" s="225"/>
      <c r="G54" s="225"/>
      <c r="H54" s="225"/>
      <c r="I54" s="226"/>
      <c r="J54" s="23"/>
      <c r="L54" s="19"/>
      <c r="M54" s="20"/>
      <c r="N54" s="21"/>
    </row>
    <row r="55" spans="1:14" ht="15.75" hidden="1" customHeight="1">
      <c r="A55" s="81"/>
      <c r="B55" s="47" t="s">
        <v>42</v>
      </c>
      <c r="C55" s="16"/>
      <c r="D55" s="15"/>
      <c r="E55" s="15"/>
      <c r="F55" s="15"/>
      <c r="G55" s="29"/>
      <c r="H55" s="29"/>
      <c r="I55" s="18"/>
      <c r="J55" s="23"/>
      <c r="L55" s="19"/>
      <c r="M55" s="20"/>
      <c r="N55" s="21"/>
    </row>
    <row r="56" spans="1:14" ht="31.5" hidden="1" customHeight="1">
      <c r="A56" s="40">
        <v>16</v>
      </c>
      <c r="B56" s="82" t="s">
        <v>112</v>
      </c>
      <c r="C56" s="83" t="s">
        <v>89</v>
      </c>
      <c r="D56" s="82" t="s">
        <v>113</v>
      </c>
      <c r="E56" s="84">
        <v>176.9</v>
      </c>
      <c r="F56" s="85">
        <f>SUM(E56*6/100)</f>
        <v>10.614000000000001</v>
      </c>
      <c r="G56" s="13">
        <v>1547.28</v>
      </c>
      <c r="H56" s="86">
        <f>SUM(F56*G56/1000)</f>
        <v>16.422829920000002</v>
      </c>
      <c r="I56" s="13">
        <f>F56/6*G56</f>
        <v>2737.13832</v>
      </c>
      <c r="J56" s="23"/>
      <c r="L56" s="19"/>
      <c r="M56" s="20"/>
      <c r="N56" s="21"/>
    </row>
    <row r="57" spans="1:14" ht="15.75" hidden="1" customHeight="1">
      <c r="A57" s="40">
        <v>17</v>
      </c>
      <c r="B57" s="82" t="s">
        <v>129</v>
      </c>
      <c r="C57" s="83" t="s">
        <v>89</v>
      </c>
      <c r="D57" s="82" t="s">
        <v>113</v>
      </c>
      <c r="E57" s="77">
        <v>56</v>
      </c>
      <c r="F57" s="90">
        <v>3.36</v>
      </c>
      <c r="G57" s="85">
        <v>1547.28</v>
      </c>
      <c r="H57" s="86">
        <f>F57*G57/1000</f>
        <v>5.1988607999999994</v>
      </c>
      <c r="I57" s="13">
        <f>F57/6*G57</f>
        <v>866.47679999999991</v>
      </c>
      <c r="J57" s="23"/>
      <c r="L57" s="19"/>
      <c r="M57" s="20"/>
      <c r="N57" s="21"/>
    </row>
    <row r="58" spans="1:14" ht="15.75" hidden="1" customHeight="1">
      <c r="A58" s="40"/>
      <c r="B58" s="82" t="s">
        <v>130</v>
      </c>
      <c r="C58" s="83" t="s">
        <v>131</v>
      </c>
      <c r="D58" s="82" t="s">
        <v>41</v>
      </c>
      <c r="E58" s="91">
        <v>8</v>
      </c>
      <c r="F58" s="13">
        <v>16</v>
      </c>
      <c r="G58" s="85">
        <v>180.78</v>
      </c>
      <c r="H58" s="86">
        <f>SUM(F58*G58/1000)</f>
        <v>2.8924799999999999</v>
      </c>
      <c r="I58" s="13">
        <v>0</v>
      </c>
      <c r="J58" s="23"/>
      <c r="L58" s="19"/>
      <c r="M58" s="20"/>
      <c r="N58" s="21"/>
    </row>
    <row r="59" spans="1:14" ht="15.75" customHeight="1">
      <c r="A59" s="40"/>
      <c r="B59" s="76" t="s">
        <v>43</v>
      </c>
      <c r="C59" s="76"/>
      <c r="D59" s="76"/>
      <c r="E59" s="76"/>
      <c r="F59" s="76"/>
      <c r="G59" s="76"/>
      <c r="H59" s="76"/>
      <c r="I59" s="35"/>
      <c r="J59" s="23"/>
      <c r="L59" s="19"/>
      <c r="M59" s="20"/>
      <c r="N59" s="21"/>
    </row>
    <row r="60" spans="1:14" ht="15.75" hidden="1" customHeight="1">
      <c r="A60" s="40">
        <v>27</v>
      </c>
      <c r="B60" s="82" t="s">
        <v>142</v>
      </c>
      <c r="C60" s="83"/>
      <c r="D60" s="82" t="s">
        <v>52</v>
      </c>
      <c r="E60" s="84">
        <v>1349.3</v>
      </c>
      <c r="F60" s="86">
        <v>13.493</v>
      </c>
      <c r="G60" s="13">
        <v>793.61</v>
      </c>
      <c r="H60" s="92">
        <f>F60*G60/1000</f>
        <v>10.708179729999999</v>
      </c>
      <c r="I60" s="13">
        <v>0</v>
      </c>
      <c r="J60" s="23"/>
      <c r="L60" s="19"/>
      <c r="M60" s="20"/>
      <c r="N60" s="21"/>
    </row>
    <row r="61" spans="1:14" ht="15.75" customHeight="1">
      <c r="A61" s="40">
        <v>9</v>
      </c>
      <c r="B61" s="93" t="s">
        <v>88</v>
      </c>
      <c r="C61" s="94" t="s">
        <v>26</v>
      </c>
      <c r="D61" s="93"/>
      <c r="E61" s="95">
        <v>270</v>
      </c>
      <c r="F61" s="96">
        <v>2400</v>
      </c>
      <c r="G61" s="97">
        <v>1.4</v>
      </c>
      <c r="H61" s="98">
        <f>F61*G61</f>
        <v>3360</v>
      </c>
      <c r="I61" s="13">
        <f>F61/12*G61</f>
        <v>280</v>
      </c>
      <c r="J61" s="23"/>
      <c r="L61" s="19"/>
      <c r="M61" s="20"/>
      <c r="N61" s="21"/>
    </row>
    <row r="62" spans="1:14" ht="21" customHeight="1">
      <c r="A62" s="40"/>
      <c r="B62" s="76" t="s">
        <v>44</v>
      </c>
      <c r="C62" s="16"/>
      <c r="D62" s="37"/>
      <c r="E62" s="15"/>
      <c r="F62" s="15"/>
      <c r="G62" s="29"/>
      <c r="H62" s="29"/>
      <c r="I62" s="18"/>
      <c r="J62" s="23"/>
      <c r="L62" s="19"/>
    </row>
    <row r="63" spans="1:14" ht="15" customHeight="1">
      <c r="A63" s="40">
        <v>10</v>
      </c>
      <c r="B63" s="151" t="s">
        <v>45</v>
      </c>
      <c r="C63" s="38" t="s">
        <v>111</v>
      </c>
      <c r="D63" s="37" t="s">
        <v>177</v>
      </c>
      <c r="E63" s="17">
        <v>40</v>
      </c>
      <c r="F63" s="139">
        <f>E63</f>
        <v>40</v>
      </c>
      <c r="G63" s="36">
        <v>303.35000000000002</v>
      </c>
      <c r="H63" s="100">
        <f t="shared" ref="H63:H70" si="10">SUM(F63*G63/1000)</f>
        <v>12.134</v>
      </c>
      <c r="I63" s="13">
        <f>G63*6</f>
        <v>1820.1000000000001</v>
      </c>
    </row>
    <row r="64" spans="1:14" ht="23.25" hidden="1" customHeight="1">
      <c r="A64" s="29">
        <v>29</v>
      </c>
      <c r="B64" s="99" t="s">
        <v>46</v>
      </c>
      <c r="C64" s="16" t="s">
        <v>111</v>
      </c>
      <c r="D64" s="99" t="s">
        <v>65</v>
      </c>
      <c r="E64" s="18">
        <v>20</v>
      </c>
      <c r="F64" s="85">
        <v>20</v>
      </c>
      <c r="G64" s="13">
        <v>76.25</v>
      </c>
      <c r="H64" s="100">
        <f t="shared" si="10"/>
        <v>1.5249999999999999</v>
      </c>
      <c r="I64" s="13">
        <v>0</v>
      </c>
    </row>
    <row r="65" spans="1:22" ht="21" hidden="1" customHeight="1">
      <c r="A65" s="29">
        <v>25</v>
      </c>
      <c r="B65" s="99" t="s">
        <v>47</v>
      </c>
      <c r="C65" s="16" t="s">
        <v>114</v>
      </c>
      <c r="D65" s="99" t="s">
        <v>52</v>
      </c>
      <c r="E65" s="84">
        <v>18890</v>
      </c>
      <c r="F65" s="13">
        <f>SUM(E65/100)</f>
        <v>188.9</v>
      </c>
      <c r="G65" s="13">
        <v>212.15</v>
      </c>
      <c r="H65" s="100">
        <f t="shared" si="10"/>
        <v>40.075135000000003</v>
      </c>
      <c r="I65" s="13">
        <f>F65*G65</f>
        <v>40075.135000000002</v>
      </c>
    </row>
    <row r="66" spans="1:22" ht="24.75" hidden="1" customHeight="1">
      <c r="A66" s="29">
        <v>26</v>
      </c>
      <c r="B66" s="99" t="s">
        <v>48</v>
      </c>
      <c r="C66" s="16" t="s">
        <v>115</v>
      </c>
      <c r="D66" s="99"/>
      <c r="E66" s="84">
        <v>18890</v>
      </c>
      <c r="F66" s="13">
        <f>SUM(E66/1000)</f>
        <v>18.89</v>
      </c>
      <c r="G66" s="13">
        <v>165.21</v>
      </c>
      <c r="H66" s="100">
        <f t="shared" si="10"/>
        <v>3.1208169000000003</v>
      </c>
      <c r="I66" s="13">
        <f t="shared" ref="I66:I69" si="11">F66*G66</f>
        <v>3120.8169000000003</v>
      </c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9"/>
    </row>
    <row r="67" spans="1:22" ht="20.25" hidden="1" customHeight="1">
      <c r="A67" s="29">
        <v>27</v>
      </c>
      <c r="B67" s="99" t="s">
        <v>49</v>
      </c>
      <c r="C67" s="16" t="s">
        <v>75</v>
      </c>
      <c r="D67" s="99" t="s">
        <v>52</v>
      </c>
      <c r="E67" s="84">
        <v>3004</v>
      </c>
      <c r="F67" s="13">
        <f>SUM(E67/100)</f>
        <v>30.04</v>
      </c>
      <c r="G67" s="13">
        <v>2074.63</v>
      </c>
      <c r="H67" s="100">
        <f t="shared" si="10"/>
        <v>62.321885200000004</v>
      </c>
      <c r="I67" s="13">
        <f t="shared" si="11"/>
        <v>62321.885200000004</v>
      </c>
      <c r="J67" s="25"/>
      <c r="K67" s="25"/>
      <c r="L67" s="3"/>
      <c r="M67" s="3"/>
      <c r="N67" s="3"/>
      <c r="O67" s="3"/>
      <c r="P67" s="3"/>
      <c r="Q67" s="3"/>
      <c r="R67" s="3"/>
      <c r="S67" s="3"/>
      <c r="T67" s="3"/>
      <c r="U67" s="3"/>
    </row>
    <row r="68" spans="1:22" ht="22.5" hidden="1" customHeight="1">
      <c r="A68" s="29">
        <v>28</v>
      </c>
      <c r="B68" s="101" t="s">
        <v>116</v>
      </c>
      <c r="C68" s="16" t="s">
        <v>33</v>
      </c>
      <c r="D68" s="99"/>
      <c r="E68" s="84">
        <v>15.8</v>
      </c>
      <c r="F68" s="13">
        <f>SUM(E68)</f>
        <v>15.8</v>
      </c>
      <c r="G68" s="13">
        <v>42.67</v>
      </c>
      <c r="H68" s="100">
        <f t="shared" si="10"/>
        <v>0.67418600000000006</v>
      </c>
      <c r="I68" s="13">
        <f t="shared" si="11"/>
        <v>674.18600000000004</v>
      </c>
      <c r="J68" s="3"/>
      <c r="K68" s="3"/>
      <c r="L68" s="3"/>
      <c r="M68" s="3"/>
      <c r="N68" s="3"/>
      <c r="O68" s="3"/>
      <c r="P68" s="3"/>
      <c r="Q68" s="3"/>
      <c r="S68" s="3"/>
      <c r="T68" s="3"/>
      <c r="U68" s="3"/>
    </row>
    <row r="69" spans="1:22" ht="18" hidden="1" customHeight="1">
      <c r="A69" s="29">
        <v>29</v>
      </c>
      <c r="B69" s="101" t="s">
        <v>117</v>
      </c>
      <c r="C69" s="16" t="s">
        <v>33</v>
      </c>
      <c r="D69" s="99"/>
      <c r="E69" s="84">
        <v>15.8</v>
      </c>
      <c r="F69" s="13">
        <f>SUM(E69)</f>
        <v>15.8</v>
      </c>
      <c r="G69" s="13">
        <v>39.81</v>
      </c>
      <c r="H69" s="100">
        <f t="shared" si="10"/>
        <v>0.62899800000000006</v>
      </c>
      <c r="I69" s="13">
        <f t="shared" si="11"/>
        <v>628.99800000000005</v>
      </c>
      <c r="J69" s="5"/>
      <c r="K69" s="5"/>
      <c r="L69" s="5"/>
      <c r="M69" s="5"/>
      <c r="N69" s="5"/>
      <c r="O69" s="5"/>
      <c r="P69" s="5"/>
      <c r="Q69" s="5"/>
      <c r="R69" s="199"/>
      <c r="S69" s="199"/>
      <c r="T69" s="199"/>
      <c r="U69" s="199"/>
    </row>
    <row r="70" spans="1:22" ht="19.5" hidden="1" customHeight="1">
      <c r="A70" s="29">
        <v>13</v>
      </c>
      <c r="B70" s="99" t="s">
        <v>55</v>
      </c>
      <c r="C70" s="16" t="s">
        <v>56</v>
      </c>
      <c r="D70" s="99" t="s">
        <v>52</v>
      </c>
      <c r="E70" s="18">
        <v>15</v>
      </c>
      <c r="F70" s="85">
        <v>15</v>
      </c>
      <c r="G70" s="13">
        <v>49.88</v>
      </c>
      <c r="H70" s="100">
        <f t="shared" si="10"/>
        <v>0.74820000000000009</v>
      </c>
      <c r="I70" s="13">
        <v>0</v>
      </c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1" spans="1:22" ht="19.5" hidden="1" customHeight="1">
      <c r="A71" s="81"/>
      <c r="B71" s="76" t="s">
        <v>118</v>
      </c>
      <c r="C71" s="76"/>
      <c r="D71" s="76"/>
      <c r="E71" s="76"/>
      <c r="F71" s="76"/>
      <c r="G71" s="76"/>
      <c r="H71" s="76"/>
      <c r="I71" s="18"/>
    </row>
    <row r="72" spans="1:22" ht="21" hidden="1" customHeight="1">
      <c r="A72" s="29">
        <v>11</v>
      </c>
      <c r="B72" s="93" t="s">
        <v>119</v>
      </c>
      <c r="C72" s="16"/>
      <c r="D72" s="99"/>
      <c r="E72" s="77"/>
      <c r="F72" s="13">
        <v>1</v>
      </c>
      <c r="G72" s="13">
        <v>27865.200000000001</v>
      </c>
      <c r="H72" s="100">
        <f>G72*F72/1000</f>
        <v>27.865200000000002</v>
      </c>
      <c r="I72" s="13">
        <f>G72</f>
        <v>27865.200000000001</v>
      </c>
    </row>
    <row r="73" spans="1:22" ht="21" customHeight="1">
      <c r="A73" s="29"/>
      <c r="B73" s="162" t="s">
        <v>181</v>
      </c>
      <c r="C73" s="38"/>
      <c r="D73" s="37"/>
      <c r="E73" s="17"/>
      <c r="F73" s="117"/>
      <c r="G73" s="36"/>
      <c r="H73" s="100"/>
      <c r="I73" s="13"/>
    </row>
    <row r="74" spans="1:22" ht="30.75" customHeight="1">
      <c r="A74" s="29">
        <v>11</v>
      </c>
      <c r="B74" s="37" t="s">
        <v>182</v>
      </c>
      <c r="C74" s="40" t="s">
        <v>183</v>
      </c>
      <c r="D74" s="37"/>
      <c r="E74" s="17">
        <v>5162.6000000000004</v>
      </c>
      <c r="F74" s="36">
        <f>E74*12</f>
        <v>61951.200000000004</v>
      </c>
      <c r="G74" s="36">
        <v>2.37</v>
      </c>
      <c r="H74" s="100"/>
      <c r="I74" s="13">
        <f>G74*F74/12</f>
        <v>12235.362000000001</v>
      </c>
    </row>
    <row r="75" spans="1:22" ht="15.75" customHeight="1">
      <c r="A75" s="29"/>
      <c r="B75" s="48" t="s">
        <v>70</v>
      </c>
      <c r="C75" s="48"/>
      <c r="D75" s="48"/>
      <c r="E75" s="18"/>
      <c r="F75" s="18"/>
      <c r="G75" s="29"/>
      <c r="H75" s="29"/>
      <c r="I75" s="18"/>
    </row>
    <row r="76" spans="1:22" ht="17.25" hidden="1" customHeight="1">
      <c r="A76" s="29">
        <v>11</v>
      </c>
      <c r="B76" s="99" t="s">
        <v>71</v>
      </c>
      <c r="C76" s="16" t="s">
        <v>73</v>
      </c>
      <c r="D76" s="99"/>
      <c r="E76" s="18">
        <v>10</v>
      </c>
      <c r="F76" s="13">
        <v>1</v>
      </c>
      <c r="G76" s="13">
        <v>501.62</v>
      </c>
      <c r="H76" s="100">
        <f t="shared" ref="H76:H80" si="12">SUM(F76*G76/1000)</f>
        <v>0.50161999999999995</v>
      </c>
      <c r="I76" s="13">
        <f>G76*0.2</f>
        <v>100.32400000000001</v>
      </c>
    </row>
    <row r="77" spans="1:22" ht="21" hidden="1" customHeight="1">
      <c r="A77" s="29"/>
      <c r="B77" s="99" t="s">
        <v>132</v>
      </c>
      <c r="C77" s="16" t="s">
        <v>31</v>
      </c>
      <c r="D77" s="99"/>
      <c r="E77" s="18">
        <v>1</v>
      </c>
      <c r="F77" s="13">
        <v>1</v>
      </c>
      <c r="G77" s="13">
        <v>99.85</v>
      </c>
      <c r="H77" s="100">
        <f>F77*G77/1000</f>
        <v>9.9849999999999994E-2</v>
      </c>
      <c r="I77" s="13">
        <v>0</v>
      </c>
    </row>
    <row r="78" spans="1:22" ht="18.75" hidden="1" customHeight="1">
      <c r="A78" s="29"/>
      <c r="B78" s="99" t="s">
        <v>133</v>
      </c>
      <c r="C78" s="16" t="s">
        <v>31</v>
      </c>
      <c r="D78" s="99"/>
      <c r="E78" s="18">
        <v>1</v>
      </c>
      <c r="F78" s="13">
        <v>1</v>
      </c>
      <c r="G78" s="13">
        <v>120.26</v>
      </c>
      <c r="H78" s="100">
        <f>F78*G78/1000</f>
        <v>0.12026000000000001</v>
      </c>
      <c r="I78" s="13">
        <v>0</v>
      </c>
    </row>
    <row r="79" spans="1:22" ht="22.5" hidden="1" customHeight="1">
      <c r="A79" s="29">
        <v>19</v>
      </c>
      <c r="B79" s="99" t="s">
        <v>72</v>
      </c>
      <c r="C79" s="16" t="s">
        <v>31</v>
      </c>
      <c r="D79" s="99"/>
      <c r="E79" s="18">
        <v>2</v>
      </c>
      <c r="F79" s="97">
        <v>2</v>
      </c>
      <c r="G79" s="13">
        <v>852.99</v>
      </c>
      <c r="H79" s="100">
        <f>F79*G79/1000</f>
        <v>1.7059800000000001</v>
      </c>
      <c r="I79" s="13">
        <f>G79</f>
        <v>852.99</v>
      </c>
    </row>
    <row r="80" spans="1:22" ht="15.75" hidden="1" customHeight="1">
      <c r="A80" s="29">
        <v>10</v>
      </c>
      <c r="B80" s="99" t="s">
        <v>83</v>
      </c>
      <c r="C80" s="16" t="s">
        <v>111</v>
      </c>
      <c r="D80" s="99"/>
      <c r="E80" s="18">
        <v>1</v>
      </c>
      <c r="F80" s="85">
        <f>SUM(E80)</f>
        <v>1</v>
      </c>
      <c r="G80" s="13">
        <v>358.51</v>
      </c>
      <c r="H80" s="100">
        <f t="shared" si="12"/>
        <v>0.35851</v>
      </c>
      <c r="I80" s="13">
        <f>G80</f>
        <v>358.51</v>
      </c>
    </row>
    <row r="81" spans="1:9" ht="29.25" customHeight="1">
      <c r="A81" s="29">
        <v>12</v>
      </c>
      <c r="B81" s="37" t="s">
        <v>184</v>
      </c>
      <c r="C81" s="38" t="s">
        <v>111</v>
      </c>
      <c r="D81" s="37" t="s">
        <v>233</v>
      </c>
      <c r="E81" s="17">
        <v>1</v>
      </c>
      <c r="F81" s="36">
        <f>E81*12</f>
        <v>12</v>
      </c>
      <c r="G81" s="36">
        <v>55.55</v>
      </c>
      <c r="H81" s="100"/>
      <c r="I81" s="13">
        <f>G81*F81/12</f>
        <v>55.54999999999999</v>
      </c>
    </row>
    <row r="82" spans="1:9" ht="15.75" hidden="1" customHeight="1">
      <c r="A82" s="29"/>
      <c r="B82" s="49" t="s">
        <v>74</v>
      </c>
      <c r="C82" s="38"/>
      <c r="D82" s="29"/>
      <c r="E82" s="18"/>
      <c r="F82" s="18"/>
      <c r="G82" s="36"/>
      <c r="H82" s="36"/>
      <c r="I82" s="18"/>
    </row>
    <row r="83" spans="1:9" ht="15.75" hidden="1" customHeight="1">
      <c r="A83" s="29">
        <v>39</v>
      </c>
      <c r="B83" s="51" t="s">
        <v>120</v>
      </c>
      <c r="C83" s="16" t="s">
        <v>75</v>
      </c>
      <c r="D83" s="99"/>
      <c r="E83" s="18"/>
      <c r="F83" s="13">
        <v>1.35</v>
      </c>
      <c r="G83" s="13">
        <v>2759.44</v>
      </c>
      <c r="H83" s="100">
        <f t="shared" ref="H83" si="13">SUM(F83*G83/1000)</f>
        <v>3.725244</v>
      </c>
      <c r="I83" s="13">
        <v>0</v>
      </c>
    </row>
    <row r="84" spans="1:9" ht="15.75" customHeight="1">
      <c r="A84" s="208" t="s">
        <v>151</v>
      </c>
      <c r="B84" s="209"/>
      <c r="C84" s="209"/>
      <c r="D84" s="209"/>
      <c r="E84" s="209"/>
      <c r="F84" s="209"/>
      <c r="G84" s="209"/>
      <c r="H84" s="209"/>
      <c r="I84" s="210"/>
    </row>
    <row r="85" spans="1:9" ht="15.75" customHeight="1">
      <c r="A85" s="29">
        <v>13</v>
      </c>
      <c r="B85" s="32" t="s">
        <v>121</v>
      </c>
      <c r="C85" s="38" t="s">
        <v>53</v>
      </c>
      <c r="D85" s="63"/>
      <c r="E85" s="36">
        <v>5162.6000000000004</v>
      </c>
      <c r="F85" s="36">
        <f>SUM(E85*12)</f>
        <v>61951.200000000004</v>
      </c>
      <c r="G85" s="36">
        <v>3.22</v>
      </c>
      <c r="H85" s="102">
        <f>SUM(F85*G85/1000)</f>
        <v>199.48286400000003</v>
      </c>
      <c r="I85" s="13">
        <f>F85/12*G85</f>
        <v>16623.572000000004</v>
      </c>
    </row>
    <row r="86" spans="1:9" ht="31.5" customHeight="1">
      <c r="A86" s="29">
        <v>14</v>
      </c>
      <c r="B86" s="37" t="s">
        <v>185</v>
      </c>
      <c r="C86" s="114" t="s">
        <v>186</v>
      </c>
      <c r="D86" s="37"/>
      <c r="E86" s="17">
        <v>5162.6000000000004</v>
      </c>
      <c r="F86" s="36">
        <f>E86*12</f>
        <v>61951.200000000004</v>
      </c>
      <c r="G86" s="36">
        <v>3.64</v>
      </c>
      <c r="H86" s="100">
        <f>F86*G86/1000</f>
        <v>225.50236800000002</v>
      </c>
      <c r="I86" s="13">
        <f>F86/12*G86</f>
        <v>18791.864000000001</v>
      </c>
    </row>
    <row r="87" spans="1:9" ht="15.75" customHeight="1">
      <c r="A87" s="81"/>
      <c r="B87" s="39" t="s">
        <v>78</v>
      </c>
      <c r="C87" s="40"/>
      <c r="D87" s="15"/>
      <c r="E87" s="15"/>
      <c r="F87" s="15"/>
      <c r="G87" s="18"/>
      <c r="H87" s="18"/>
      <c r="I87" s="31">
        <f>I86+I85+I81+I74+I63+I61+I31+I30+I27+I21+I20+I18+I17+I16</f>
        <v>75902.640671599991</v>
      </c>
    </row>
    <row r="88" spans="1:9" ht="15.75" customHeight="1">
      <c r="A88" s="211" t="s">
        <v>58</v>
      </c>
      <c r="B88" s="212"/>
      <c r="C88" s="212"/>
      <c r="D88" s="212"/>
      <c r="E88" s="212"/>
      <c r="F88" s="212"/>
      <c r="G88" s="212"/>
      <c r="H88" s="212"/>
      <c r="I88" s="213"/>
    </row>
    <row r="89" spans="1:9" ht="32.25" customHeight="1">
      <c r="A89" s="29">
        <v>15</v>
      </c>
      <c r="B89" s="66" t="s">
        <v>226</v>
      </c>
      <c r="C89" s="67" t="s">
        <v>227</v>
      </c>
      <c r="D89" s="64"/>
      <c r="E89" s="36"/>
      <c r="F89" s="36">
        <v>7</v>
      </c>
      <c r="G89" s="36">
        <v>26095.37</v>
      </c>
      <c r="H89" s="102">
        <f t="shared" ref="H89:H92" si="14">G89*F89/1000</f>
        <v>182.66758999999999</v>
      </c>
      <c r="I89" s="13">
        <f>G89*0.03</f>
        <v>782.86109999999996</v>
      </c>
    </row>
    <row r="90" spans="1:9" ht="18" customHeight="1">
      <c r="A90" s="29">
        <v>16</v>
      </c>
      <c r="B90" s="66" t="s">
        <v>160</v>
      </c>
      <c r="C90" s="67" t="s">
        <v>111</v>
      </c>
      <c r="D90" s="51"/>
      <c r="E90" s="13"/>
      <c r="F90" s="13">
        <v>35</v>
      </c>
      <c r="G90" s="36">
        <v>207.55</v>
      </c>
      <c r="H90" s="100">
        <f t="shared" si="14"/>
        <v>7.2642499999999997</v>
      </c>
      <c r="I90" s="13">
        <f>G90*1</f>
        <v>207.55</v>
      </c>
    </row>
    <row r="91" spans="1:9" ht="30.75" customHeight="1">
      <c r="A91" s="29">
        <v>17</v>
      </c>
      <c r="B91" s="66" t="s">
        <v>190</v>
      </c>
      <c r="C91" s="67" t="s">
        <v>171</v>
      </c>
      <c r="D91" s="51"/>
      <c r="E91" s="13"/>
      <c r="F91" s="13">
        <v>7</v>
      </c>
      <c r="G91" s="36">
        <v>1367</v>
      </c>
      <c r="H91" s="100">
        <f t="shared" si="14"/>
        <v>9.5690000000000008</v>
      </c>
      <c r="I91" s="13">
        <f>G91*2</f>
        <v>2734</v>
      </c>
    </row>
    <row r="92" spans="1:9" ht="30" customHeight="1">
      <c r="A92" s="29">
        <v>18</v>
      </c>
      <c r="B92" s="66" t="s">
        <v>153</v>
      </c>
      <c r="C92" s="67" t="s">
        <v>154</v>
      </c>
      <c r="D92" s="64"/>
      <c r="E92" s="36"/>
      <c r="F92" s="36">
        <f>160/3</f>
        <v>53.333333333333336</v>
      </c>
      <c r="G92" s="36">
        <v>644.72</v>
      </c>
      <c r="H92" s="102">
        <f t="shared" si="14"/>
        <v>34.385066666666674</v>
      </c>
      <c r="I92" s="13">
        <f>G92*5</f>
        <v>3223.6000000000004</v>
      </c>
    </row>
    <row r="93" spans="1:9" ht="31.5" hidden="1" customHeight="1">
      <c r="A93" s="29">
        <v>17</v>
      </c>
      <c r="B93" s="55"/>
      <c r="C93" s="65"/>
      <c r="D93" s="64"/>
      <c r="E93" s="36"/>
      <c r="F93" s="36">
        <v>9</v>
      </c>
      <c r="G93" s="36"/>
      <c r="H93" s="102">
        <f>G93*F93/1000</f>
        <v>0</v>
      </c>
      <c r="I93" s="13"/>
    </row>
    <row r="94" spans="1:9" ht="31.5" hidden="1" customHeight="1">
      <c r="A94" s="29">
        <v>18</v>
      </c>
      <c r="B94" s="55"/>
      <c r="C94" s="65"/>
      <c r="D94" s="51"/>
      <c r="E94" s="13"/>
      <c r="F94" s="13">
        <v>0.11</v>
      </c>
      <c r="G94" s="13"/>
      <c r="H94" s="100">
        <f>G94*F94/1000</f>
        <v>0</v>
      </c>
      <c r="I94" s="13"/>
    </row>
    <row r="95" spans="1:9" ht="15.75" hidden="1" customHeight="1">
      <c r="A95" s="29">
        <v>19</v>
      </c>
      <c r="B95" s="104"/>
      <c r="C95" s="65"/>
      <c r="D95" s="64"/>
      <c r="E95" s="36"/>
      <c r="F95" s="36">
        <v>4</v>
      </c>
      <c r="G95" s="36"/>
      <c r="H95" s="102">
        <f>G95*F95/1000</f>
        <v>0</v>
      </c>
      <c r="I95" s="13"/>
    </row>
    <row r="96" spans="1:9" ht="31.5" hidden="1" customHeight="1">
      <c r="A96" s="29">
        <v>20</v>
      </c>
      <c r="B96" s="55"/>
      <c r="C96" s="65"/>
      <c r="D96" s="51"/>
      <c r="E96" s="36"/>
      <c r="F96" s="36">
        <v>15</v>
      </c>
      <c r="G96" s="36"/>
      <c r="H96" s="102">
        <f t="shared" ref="H96:H100" si="15">G96*F96/1000</f>
        <v>0</v>
      </c>
      <c r="I96" s="13"/>
    </row>
    <row r="97" spans="1:9" ht="31.5" hidden="1" customHeight="1">
      <c r="A97" s="29">
        <v>21</v>
      </c>
      <c r="B97" s="55"/>
      <c r="C97" s="65"/>
      <c r="D97" s="51"/>
      <c r="E97" s="36"/>
      <c r="F97" s="36">
        <v>10</v>
      </c>
      <c r="G97" s="36"/>
      <c r="H97" s="102">
        <f t="shared" si="15"/>
        <v>0</v>
      </c>
      <c r="I97" s="13"/>
    </row>
    <row r="98" spans="1:9" ht="31.5" hidden="1" customHeight="1">
      <c r="A98" s="29">
        <v>22</v>
      </c>
      <c r="B98" s="66"/>
      <c r="C98" s="67"/>
      <c r="D98" s="64"/>
      <c r="E98" s="36"/>
      <c r="F98" s="36">
        <v>6</v>
      </c>
      <c r="G98" s="36"/>
      <c r="H98" s="102">
        <f t="shared" si="15"/>
        <v>0</v>
      </c>
      <c r="I98" s="13"/>
    </row>
    <row r="99" spans="1:9" ht="15.75" hidden="1" customHeight="1">
      <c r="A99" s="29">
        <v>23</v>
      </c>
      <c r="B99" s="55"/>
      <c r="C99" s="65"/>
      <c r="D99" s="37"/>
      <c r="E99" s="17"/>
      <c r="F99" s="36">
        <v>4</v>
      </c>
      <c r="G99" s="36"/>
      <c r="H99" s="102">
        <f t="shared" si="15"/>
        <v>0</v>
      </c>
      <c r="I99" s="13"/>
    </row>
    <row r="100" spans="1:9" ht="15.75" hidden="1" customHeight="1">
      <c r="A100" s="29">
        <v>24</v>
      </c>
      <c r="B100" s="55"/>
      <c r="C100" s="65"/>
      <c r="D100" s="51"/>
      <c r="E100" s="13"/>
      <c r="F100" s="13">
        <v>2</v>
      </c>
      <c r="G100" s="13"/>
      <c r="H100" s="100">
        <f t="shared" si="15"/>
        <v>0</v>
      </c>
      <c r="I100" s="13"/>
    </row>
    <row r="101" spans="1:9" ht="31.5" hidden="1" customHeight="1">
      <c r="A101" s="29">
        <v>25</v>
      </c>
      <c r="B101" s="55"/>
      <c r="C101" s="65"/>
      <c r="D101" s="64"/>
      <c r="E101" s="36"/>
      <c r="F101" s="36">
        <v>4</v>
      </c>
      <c r="G101" s="36"/>
      <c r="H101" s="102">
        <f>G101*F101/1000</f>
        <v>0</v>
      </c>
      <c r="I101" s="13"/>
    </row>
    <row r="102" spans="1:9" ht="31.5" hidden="1" customHeight="1">
      <c r="A102" s="29">
        <v>26</v>
      </c>
      <c r="B102" s="55"/>
      <c r="C102" s="65"/>
      <c r="D102" s="64"/>
      <c r="E102" s="36"/>
      <c r="F102" s="36">
        <v>2</v>
      </c>
      <c r="G102" s="36"/>
      <c r="H102" s="102">
        <f t="shared" ref="H102:H110" si="16">G102*F102/1000</f>
        <v>0</v>
      </c>
      <c r="I102" s="13"/>
    </row>
    <row r="103" spans="1:9" ht="15.75" hidden="1" customHeight="1">
      <c r="A103" s="29">
        <v>27</v>
      </c>
      <c r="B103" s="55"/>
      <c r="C103" s="65"/>
      <c r="D103" s="64"/>
      <c r="E103" s="36"/>
      <c r="F103" s="36">
        <v>4</v>
      </c>
      <c r="G103" s="36"/>
      <c r="H103" s="102">
        <f t="shared" si="16"/>
        <v>0</v>
      </c>
      <c r="I103" s="13"/>
    </row>
    <row r="104" spans="1:9" ht="15.75" hidden="1" customHeight="1">
      <c r="A104" s="29">
        <v>28</v>
      </c>
      <c r="B104" s="55"/>
      <c r="C104" s="65"/>
      <c r="D104" s="64"/>
      <c r="E104" s="36"/>
      <c r="F104" s="36">
        <v>1</v>
      </c>
      <c r="G104" s="36"/>
      <c r="H104" s="102">
        <f>G104*F104/1000</f>
        <v>0</v>
      </c>
      <c r="I104" s="13"/>
    </row>
    <row r="105" spans="1:9" ht="15.75" hidden="1" customHeight="1">
      <c r="A105" s="29">
        <v>29</v>
      </c>
      <c r="B105" s="55"/>
      <c r="C105" s="65"/>
      <c r="D105" s="64"/>
      <c r="E105" s="36"/>
      <c r="F105" s="36">
        <v>2</v>
      </c>
      <c r="G105" s="36"/>
      <c r="H105" s="102">
        <f>G105*F105/1000</f>
        <v>0</v>
      </c>
      <c r="I105" s="13"/>
    </row>
    <row r="106" spans="1:9" ht="15.75" hidden="1" customHeight="1">
      <c r="A106" s="29">
        <v>30</v>
      </c>
      <c r="B106" s="55"/>
      <c r="C106" s="65"/>
      <c r="D106" s="64"/>
      <c r="E106" s="36"/>
      <c r="F106" s="36">
        <v>1</v>
      </c>
      <c r="G106" s="36"/>
      <c r="H106" s="102">
        <f>G106*F106/1000</f>
        <v>0</v>
      </c>
      <c r="I106" s="13"/>
    </row>
    <row r="107" spans="1:9" ht="15.75" hidden="1" customHeight="1">
      <c r="A107" s="29">
        <v>31</v>
      </c>
      <c r="B107" s="55"/>
      <c r="C107" s="103"/>
      <c r="D107" s="64"/>
      <c r="E107" s="36"/>
      <c r="F107" s="36">
        <v>1</v>
      </c>
      <c r="G107" s="36"/>
      <c r="H107" s="102">
        <f>G107*F107/1000</f>
        <v>0</v>
      </c>
      <c r="I107" s="13"/>
    </row>
    <row r="108" spans="1:9" ht="15.75" hidden="1" customHeight="1">
      <c r="A108" s="29">
        <v>32</v>
      </c>
      <c r="B108" s="55"/>
      <c r="C108" s="65"/>
      <c r="D108" s="64"/>
      <c r="E108" s="36"/>
      <c r="F108" s="36">
        <v>1</v>
      </c>
      <c r="G108" s="36"/>
      <c r="H108" s="102">
        <f t="shared" si="16"/>
        <v>0</v>
      </c>
      <c r="I108" s="13"/>
    </row>
    <row r="109" spans="1:9" ht="15.75" hidden="1" customHeight="1">
      <c r="A109" s="29">
        <v>33</v>
      </c>
      <c r="B109" s="55"/>
      <c r="C109" s="65"/>
      <c r="D109" s="64"/>
      <c r="E109" s="36"/>
      <c r="F109" s="36">
        <f>1/100</f>
        <v>0.01</v>
      </c>
      <c r="G109" s="36"/>
      <c r="H109" s="102">
        <f t="shared" si="16"/>
        <v>0</v>
      </c>
      <c r="I109" s="13"/>
    </row>
    <row r="110" spans="1:9" ht="31.5" hidden="1" customHeight="1">
      <c r="A110" s="29">
        <v>34</v>
      </c>
      <c r="B110" s="55"/>
      <c r="C110" s="65"/>
      <c r="D110" s="64"/>
      <c r="E110" s="36"/>
      <c r="F110" s="36">
        <f>36/10</f>
        <v>3.6</v>
      </c>
      <c r="G110" s="36"/>
      <c r="H110" s="100">
        <f t="shared" si="16"/>
        <v>0</v>
      </c>
      <c r="I110" s="13"/>
    </row>
    <row r="111" spans="1:9" ht="33" customHeight="1">
      <c r="A111" s="29">
        <v>19</v>
      </c>
      <c r="B111" s="66" t="s">
        <v>159</v>
      </c>
      <c r="C111" s="67" t="s">
        <v>154</v>
      </c>
      <c r="D111" s="64"/>
      <c r="E111" s="36"/>
      <c r="F111" s="36"/>
      <c r="G111" s="36">
        <v>878.3</v>
      </c>
      <c r="H111" s="100"/>
      <c r="I111" s="13">
        <f>G111*2</f>
        <v>1756.6</v>
      </c>
    </row>
    <row r="112" spans="1:9" ht="16.5" customHeight="1">
      <c r="A112" s="29">
        <v>20</v>
      </c>
      <c r="B112" s="66" t="s">
        <v>143</v>
      </c>
      <c r="C112" s="67" t="s">
        <v>80</v>
      </c>
      <c r="D112" s="64"/>
      <c r="E112" s="36"/>
      <c r="F112" s="36"/>
      <c r="G112" s="36">
        <v>214.07</v>
      </c>
      <c r="H112" s="100"/>
      <c r="I112" s="13">
        <f>G112*3</f>
        <v>642.21</v>
      </c>
    </row>
    <row r="113" spans="1:9" ht="33" customHeight="1">
      <c r="A113" s="29">
        <v>21</v>
      </c>
      <c r="B113" s="66" t="s">
        <v>134</v>
      </c>
      <c r="C113" s="67" t="s">
        <v>37</v>
      </c>
      <c r="D113" s="64"/>
      <c r="E113" s="36"/>
      <c r="F113" s="36"/>
      <c r="G113" s="36">
        <v>3914.31</v>
      </c>
      <c r="H113" s="100"/>
      <c r="I113" s="13">
        <f>G113*0.02</f>
        <v>78.286199999999994</v>
      </c>
    </row>
    <row r="114" spans="1:9" ht="20.25" customHeight="1">
      <c r="A114" s="29">
        <v>22</v>
      </c>
      <c r="B114" s="66" t="s">
        <v>204</v>
      </c>
      <c r="C114" s="67" t="s">
        <v>30</v>
      </c>
      <c r="D114" s="64"/>
      <c r="E114" s="36"/>
      <c r="F114" s="36"/>
      <c r="G114" s="36">
        <v>830.69</v>
      </c>
      <c r="H114" s="100"/>
      <c r="I114" s="13">
        <f>G114*0.012</f>
        <v>9.96828</v>
      </c>
    </row>
    <row r="115" spans="1:9" ht="33" customHeight="1">
      <c r="A115" s="29">
        <v>23</v>
      </c>
      <c r="B115" s="66" t="s">
        <v>271</v>
      </c>
      <c r="C115" s="67" t="s">
        <v>261</v>
      </c>
      <c r="D115" s="64"/>
      <c r="E115" s="36"/>
      <c r="F115" s="36"/>
      <c r="G115" s="36">
        <v>374</v>
      </c>
      <c r="H115" s="100"/>
      <c r="I115" s="13">
        <f>G115*13</f>
        <v>4862</v>
      </c>
    </row>
    <row r="116" spans="1:9" ht="16.5" customHeight="1">
      <c r="A116" s="29">
        <v>24</v>
      </c>
      <c r="B116" s="66" t="s">
        <v>272</v>
      </c>
      <c r="C116" s="67" t="s">
        <v>273</v>
      </c>
      <c r="D116" s="64"/>
      <c r="E116" s="36"/>
      <c r="F116" s="36"/>
      <c r="G116" s="36">
        <v>1417.7</v>
      </c>
      <c r="H116" s="100"/>
      <c r="I116" s="13">
        <f>G116*0.56</f>
        <v>793.91200000000015</v>
      </c>
    </row>
    <row r="117" spans="1:9" ht="15.75" customHeight="1">
      <c r="A117" s="29">
        <v>25</v>
      </c>
      <c r="B117" s="66" t="s">
        <v>187</v>
      </c>
      <c r="C117" s="105" t="s">
        <v>188</v>
      </c>
      <c r="D117" s="64"/>
      <c r="E117" s="36"/>
      <c r="F117" s="36"/>
      <c r="G117" s="36">
        <v>249.01</v>
      </c>
      <c r="H117" s="100"/>
      <c r="I117" s="13">
        <f>G117*1</f>
        <v>249.01</v>
      </c>
    </row>
    <row r="118" spans="1:9" ht="13.5" customHeight="1">
      <c r="A118" s="29">
        <v>26</v>
      </c>
      <c r="B118" s="66" t="s">
        <v>274</v>
      </c>
      <c r="C118" s="67" t="s">
        <v>26</v>
      </c>
      <c r="D118" s="64"/>
      <c r="E118" s="36"/>
      <c r="F118" s="36"/>
      <c r="G118" s="36">
        <v>17</v>
      </c>
      <c r="H118" s="100"/>
      <c r="I118" s="13">
        <f>G118*81</f>
        <v>1377</v>
      </c>
    </row>
    <row r="119" spans="1:9" ht="13.5" customHeight="1">
      <c r="A119" s="29">
        <v>27</v>
      </c>
      <c r="B119" s="66" t="s">
        <v>194</v>
      </c>
      <c r="C119" s="67" t="s">
        <v>171</v>
      </c>
      <c r="D119" s="64"/>
      <c r="E119" s="36"/>
      <c r="F119" s="36"/>
      <c r="G119" s="36">
        <v>273</v>
      </c>
      <c r="H119" s="100"/>
      <c r="I119" s="13">
        <f>G119*4</f>
        <v>1092</v>
      </c>
    </row>
    <row r="120" spans="1:9" ht="15.75" customHeight="1">
      <c r="A120" s="29"/>
      <c r="B120" s="45" t="s">
        <v>50</v>
      </c>
      <c r="C120" s="41"/>
      <c r="D120" s="53"/>
      <c r="E120" s="41">
        <v>1</v>
      </c>
      <c r="F120" s="41"/>
      <c r="G120" s="41"/>
      <c r="H120" s="41"/>
      <c r="I120" s="31">
        <f>SUM(I89:I119)</f>
        <v>17808.997580000003</v>
      </c>
    </row>
    <row r="121" spans="1:9" ht="15.75" customHeight="1">
      <c r="A121" s="29"/>
      <c r="B121" s="51" t="s">
        <v>76</v>
      </c>
      <c r="C121" s="15"/>
      <c r="D121" s="15"/>
      <c r="E121" s="42"/>
      <c r="F121" s="42"/>
      <c r="G121" s="43"/>
      <c r="H121" s="43"/>
      <c r="I121" s="17">
        <v>0</v>
      </c>
    </row>
    <row r="122" spans="1:9" ht="15.75" customHeight="1">
      <c r="A122" s="54"/>
      <c r="B122" s="46" t="s">
        <v>144</v>
      </c>
      <c r="C122" s="34"/>
      <c r="D122" s="34"/>
      <c r="E122" s="34"/>
      <c r="F122" s="34"/>
      <c r="G122" s="34"/>
      <c r="H122" s="34"/>
      <c r="I122" s="44">
        <f>I87+I120</f>
        <v>93711.638251600001</v>
      </c>
    </row>
    <row r="123" spans="1:9" ht="15.75">
      <c r="A123" s="205" t="s">
        <v>275</v>
      </c>
      <c r="B123" s="205"/>
      <c r="C123" s="205"/>
      <c r="D123" s="205"/>
      <c r="E123" s="205"/>
      <c r="F123" s="205"/>
      <c r="G123" s="205"/>
      <c r="H123" s="205"/>
      <c r="I123" s="205"/>
    </row>
    <row r="124" spans="1:9" ht="15.75">
      <c r="A124" s="61"/>
      <c r="B124" s="206" t="s">
        <v>276</v>
      </c>
      <c r="C124" s="206"/>
      <c r="D124" s="206"/>
      <c r="E124" s="206"/>
      <c r="F124" s="206"/>
      <c r="G124" s="206"/>
      <c r="H124" s="80"/>
      <c r="I124" s="3"/>
    </row>
    <row r="125" spans="1:9">
      <c r="A125" s="74"/>
      <c r="B125" s="204" t="s">
        <v>6</v>
      </c>
      <c r="C125" s="204"/>
      <c r="D125" s="204"/>
      <c r="E125" s="204"/>
      <c r="F125" s="204"/>
      <c r="G125" s="204"/>
      <c r="H125" s="24"/>
      <c r="I125" s="5"/>
    </row>
    <row r="126" spans="1:9">
      <c r="A126" s="10"/>
      <c r="B126" s="10"/>
      <c r="C126" s="10"/>
      <c r="D126" s="10"/>
      <c r="E126" s="10"/>
      <c r="F126" s="10"/>
      <c r="G126" s="10"/>
      <c r="H126" s="10"/>
      <c r="I126" s="10"/>
    </row>
    <row r="127" spans="1:9" ht="15.75">
      <c r="A127" s="207" t="s">
        <v>7</v>
      </c>
      <c r="B127" s="207"/>
      <c r="C127" s="207"/>
      <c r="D127" s="207"/>
      <c r="E127" s="207"/>
      <c r="F127" s="207"/>
      <c r="G127" s="207"/>
      <c r="H127" s="207"/>
      <c r="I127" s="207"/>
    </row>
    <row r="128" spans="1:9" ht="15.75">
      <c r="A128" s="207" t="s">
        <v>8</v>
      </c>
      <c r="B128" s="207"/>
      <c r="C128" s="207"/>
      <c r="D128" s="207"/>
      <c r="E128" s="207"/>
      <c r="F128" s="207"/>
      <c r="G128" s="207"/>
      <c r="H128" s="207"/>
      <c r="I128" s="207"/>
    </row>
    <row r="129" spans="1:9" ht="15.75">
      <c r="A129" s="201" t="s">
        <v>59</v>
      </c>
      <c r="B129" s="201"/>
      <c r="C129" s="201"/>
      <c r="D129" s="201"/>
      <c r="E129" s="201"/>
      <c r="F129" s="201"/>
      <c r="G129" s="201"/>
      <c r="H129" s="201"/>
      <c r="I129" s="201"/>
    </row>
    <row r="130" spans="1:9" ht="15.75">
      <c r="A130" s="11"/>
    </row>
    <row r="131" spans="1:9" ht="15.75">
      <c r="A131" s="202" t="s">
        <v>9</v>
      </c>
      <c r="B131" s="202"/>
      <c r="C131" s="202"/>
      <c r="D131" s="202"/>
      <c r="E131" s="202"/>
      <c r="F131" s="202"/>
      <c r="G131" s="202"/>
      <c r="H131" s="202"/>
      <c r="I131" s="202"/>
    </row>
    <row r="132" spans="1:9" ht="15.75">
      <c r="A132" s="4"/>
    </row>
    <row r="133" spans="1:9" ht="15.75">
      <c r="B133" s="72" t="s">
        <v>10</v>
      </c>
      <c r="C133" s="203" t="s">
        <v>84</v>
      </c>
      <c r="D133" s="203"/>
      <c r="E133" s="203"/>
      <c r="F133" s="78"/>
      <c r="I133" s="73"/>
    </row>
    <row r="134" spans="1:9">
      <c r="A134" s="74"/>
      <c r="C134" s="204" t="s">
        <v>11</v>
      </c>
      <c r="D134" s="204"/>
      <c r="E134" s="204"/>
      <c r="F134" s="24"/>
      <c r="I134" s="71" t="s">
        <v>12</v>
      </c>
    </row>
    <row r="135" spans="1:9" ht="15.75">
      <c r="A135" s="25"/>
      <c r="C135" s="12"/>
      <c r="D135" s="12"/>
      <c r="G135" s="12"/>
      <c r="H135" s="12"/>
    </row>
    <row r="136" spans="1:9" ht="15.75">
      <c r="B136" s="72" t="s">
        <v>13</v>
      </c>
      <c r="C136" s="198"/>
      <c r="D136" s="198"/>
      <c r="E136" s="198"/>
      <c r="F136" s="79"/>
      <c r="I136" s="73"/>
    </row>
    <row r="137" spans="1:9">
      <c r="A137" s="74"/>
      <c r="C137" s="199" t="s">
        <v>11</v>
      </c>
      <c r="D137" s="199"/>
      <c r="E137" s="199"/>
      <c r="F137" s="74"/>
      <c r="I137" s="71" t="s">
        <v>12</v>
      </c>
    </row>
    <row r="138" spans="1:9" ht="15.75">
      <c r="A138" s="4" t="s">
        <v>14</v>
      </c>
    </row>
    <row r="139" spans="1:9">
      <c r="A139" s="200" t="s">
        <v>15</v>
      </c>
      <c r="B139" s="200"/>
      <c r="C139" s="200"/>
      <c r="D139" s="200"/>
      <c r="E139" s="200"/>
      <c r="F139" s="200"/>
      <c r="G139" s="200"/>
      <c r="H139" s="200"/>
      <c r="I139" s="200"/>
    </row>
    <row r="140" spans="1:9" ht="45" customHeight="1">
      <c r="A140" s="197" t="s">
        <v>16</v>
      </c>
      <c r="B140" s="197"/>
      <c r="C140" s="197"/>
      <c r="D140" s="197"/>
      <c r="E140" s="197"/>
      <c r="F140" s="197"/>
      <c r="G140" s="197"/>
      <c r="H140" s="197"/>
      <c r="I140" s="197"/>
    </row>
    <row r="141" spans="1:9" ht="30" customHeight="1">
      <c r="A141" s="197" t="s">
        <v>17</v>
      </c>
      <c r="B141" s="197"/>
      <c r="C141" s="197"/>
      <c r="D141" s="197"/>
      <c r="E141" s="197"/>
      <c r="F141" s="197"/>
      <c r="G141" s="197"/>
      <c r="H141" s="197"/>
      <c r="I141" s="197"/>
    </row>
    <row r="142" spans="1:9" ht="30" customHeight="1">
      <c r="A142" s="197" t="s">
        <v>21</v>
      </c>
      <c r="B142" s="197"/>
      <c r="C142" s="197"/>
      <c r="D142" s="197"/>
      <c r="E142" s="197"/>
      <c r="F142" s="197"/>
      <c r="G142" s="197"/>
      <c r="H142" s="197"/>
      <c r="I142" s="197"/>
    </row>
    <row r="143" spans="1:9" ht="15" customHeight="1">
      <c r="A143" s="197" t="s">
        <v>20</v>
      </c>
      <c r="B143" s="197"/>
      <c r="C143" s="197"/>
      <c r="D143" s="197"/>
      <c r="E143" s="197"/>
      <c r="F143" s="197"/>
      <c r="G143" s="197"/>
      <c r="H143" s="197"/>
      <c r="I143" s="197"/>
    </row>
  </sheetData>
  <autoFilter ref="I12:I64"/>
  <mergeCells count="29">
    <mergeCell ref="A14:I14"/>
    <mergeCell ref="A15:I15"/>
    <mergeCell ref="A28:I28"/>
    <mergeCell ref="A44:I44"/>
    <mergeCell ref="A54:I54"/>
    <mergeCell ref="A3:I3"/>
    <mergeCell ref="A4:I4"/>
    <mergeCell ref="A5:I5"/>
    <mergeCell ref="A8:I8"/>
    <mergeCell ref="A10:I10"/>
    <mergeCell ref="R69:U69"/>
    <mergeCell ref="C137:E137"/>
    <mergeCell ref="A88:I88"/>
    <mergeCell ref="A123:I123"/>
    <mergeCell ref="B124:G124"/>
    <mergeCell ref="B125:G125"/>
    <mergeCell ref="A127:I127"/>
    <mergeCell ref="A128:I128"/>
    <mergeCell ref="A129:I129"/>
    <mergeCell ref="A131:I131"/>
    <mergeCell ref="C133:E133"/>
    <mergeCell ref="C134:E134"/>
    <mergeCell ref="C136:E136"/>
    <mergeCell ref="A84:I84"/>
    <mergeCell ref="A139:I139"/>
    <mergeCell ref="A140:I140"/>
    <mergeCell ref="A141:I141"/>
    <mergeCell ref="A142:I142"/>
    <mergeCell ref="A143:I143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V127"/>
  <sheetViews>
    <sheetView tabSelected="1" topLeftCell="A84" workbookViewId="0">
      <selection activeCell="L103" sqref="L10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4.425781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170</v>
      </c>
      <c r="I1" s="26"/>
      <c r="J1" s="1"/>
      <c r="K1" s="1"/>
      <c r="L1" s="1"/>
      <c r="M1" s="1"/>
    </row>
    <row r="2" spans="1:13" ht="15.75" customHeight="1">
      <c r="A2" s="28" t="s">
        <v>60</v>
      </c>
      <c r="J2" s="2"/>
      <c r="K2" s="2"/>
      <c r="L2" s="2"/>
      <c r="M2" s="2"/>
    </row>
    <row r="3" spans="1:13" ht="15.75" customHeight="1">
      <c r="A3" s="214" t="s">
        <v>161</v>
      </c>
      <c r="B3" s="214"/>
      <c r="C3" s="214"/>
      <c r="D3" s="214"/>
      <c r="E3" s="214"/>
      <c r="F3" s="214"/>
      <c r="G3" s="214"/>
      <c r="H3" s="214"/>
      <c r="I3" s="214"/>
      <c r="J3" s="3"/>
      <c r="K3" s="3"/>
      <c r="L3" s="3"/>
    </row>
    <row r="4" spans="1:13" ht="31.5" customHeight="1">
      <c r="A4" s="215" t="s">
        <v>122</v>
      </c>
      <c r="B4" s="215"/>
      <c r="C4" s="215"/>
      <c r="D4" s="215"/>
      <c r="E4" s="215"/>
      <c r="F4" s="215"/>
      <c r="G4" s="215"/>
      <c r="H4" s="215"/>
      <c r="I4" s="215"/>
    </row>
    <row r="5" spans="1:13" ht="15.75" customHeight="1">
      <c r="A5" s="214" t="s">
        <v>278</v>
      </c>
      <c r="B5" s="218"/>
      <c r="C5" s="218"/>
      <c r="D5" s="218"/>
      <c r="E5" s="218"/>
      <c r="F5" s="218"/>
      <c r="G5" s="218"/>
      <c r="H5" s="218"/>
      <c r="I5" s="218"/>
      <c r="J5" s="2"/>
      <c r="K5" s="2"/>
      <c r="L5" s="2"/>
      <c r="M5" s="2"/>
    </row>
    <row r="6" spans="1:13" ht="15.75" customHeight="1">
      <c r="A6" s="2"/>
      <c r="B6" s="75"/>
      <c r="C6" s="75"/>
      <c r="D6" s="75"/>
      <c r="E6" s="75"/>
      <c r="F6" s="75"/>
      <c r="G6" s="75"/>
      <c r="H6" s="75"/>
      <c r="I6" s="30">
        <v>43738</v>
      </c>
      <c r="J6" s="2"/>
      <c r="K6" s="2"/>
      <c r="L6" s="2"/>
      <c r="M6" s="2"/>
    </row>
    <row r="7" spans="1:13" ht="15.75" customHeight="1">
      <c r="B7" s="72"/>
      <c r="C7" s="72"/>
      <c r="D7" s="72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16" t="s">
        <v>270</v>
      </c>
      <c r="B8" s="216"/>
      <c r="C8" s="216"/>
      <c r="D8" s="216"/>
      <c r="E8" s="216"/>
      <c r="F8" s="216"/>
      <c r="G8" s="216"/>
      <c r="H8" s="216"/>
      <c r="I8" s="216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17" t="s">
        <v>136</v>
      </c>
      <c r="B10" s="217"/>
      <c r="C10" s="217"/>
      <c r="D10" s="217"/>
      <c r="E10" s="217"/>
      <c r="F10" s="217"/>
      <c r="G10" s="217"/>
      <c r="H10" s="217"/>
      <c r="I10" s="217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219" t="s">
        <v>57</v>
      </c>
      <c r="B14" s="219"/>
      <c r="C14" s="219"/>
      <c r="D14" s="219"/>
      <c r="E14" s="219"/>
      <c r="F14" s="219"/>
      <c r="G14" s="219"/>
      <c r="H14" s="219"/>
      <c r="I14" s="219"/>
      <c r="J14" s="8"/>
      <c r="K14" s="8"/>
      <c r="L14" s="8"/>
      <c r="M14" s="8"/>
    </row>
    <row r="15" spans="1:13" ht="15.75" customHeight="1">
      <c r="A15" s="220" t="s">
        <v>4</v>
      </c>
      <c r="B15" s="220"/>
      <c r="C15" s="220"/>
      <c r="D15" s="220"/>
      <c r="E15" s="220"/>
      <c r="F15" s="220"/>
      <c r="G15" s="220"/>
      <c r="H15" s="220"/>
      <c r="I15" s="220"/>
      <c r="J15" s="8"/>
      <c r="K15" s="8"/>
      <c r="L15" s="8"/>
      <c r="M15" s="8"/>
    </row>
    <row r="16" spans="1:13" ht="15.75" customHeight="1">
      <c r="A16" s="29">
        <v>1</v>
      </c>
      <c r="B16" s="32" t="s">
        <v>82</v>
      </c>
      <c r="C16" s="138" t="s">
        <v>89</v>
      </c>
      <c r="D16" s="32" t="s">
        <v>230</v>
      </c>
      <c r="E16" s="152">
        <v>129.88</v>
      </c>
      <c r="F16" s="139">
        <f>SUM(E16*156/100)</f>
        <v>202.61279999999999</v>
      </c>
      <c r="G16" s="139">
        <v>239.2</v>
      </c>
      <c r="H16" s="86">
        <f t="shared" ref="H16:H26" si="0">SUM(F16*G16/1000)</f>
        <v>48.464981759999993</v>
      </c>
      <c r="I16" s="13">
        <f>F16/12*G16</f>
        <v>4038.7484799999997</v>
      </c>
      <c r="J16" s="8"/>
      <c r="K16" s="8"/>
      <c r="L16" s="8"/>
      <c r="M16" s="8"/>
    </row>
    <row r="17" spans="1:13" ht="15.75" customHeight="1">
      <c r="A17" s="29">
        <v>2</v>
      </c>
      <c r="B17" s="32" t="s">
        <v>85</v>
      </c>
      <c r="C17" s="138" t="s">
        <v>89</v>
      </c>
      <c r="D17" s="32" t="s">
        <v>231</v>
      </c>
      <c r="E17" s="152">
        <v>519.52</v>
      </c>
      <c r="F17" s="139">
        <f>SUM(E17*104/100)</f>
        <v>540.30079999999998</v>
      </c>
      <c r="G17" s="139">
        <v>239.2</v>
      </c>
      <c r="H17" s="86">
        <f t="shared" si="0"/>
        <v>129.23995135999999</v>
      </c>
      <c r="I17" s="13">
        <f>F17/12*G17</f>
        <v>10769.995946666666</v>
      </c>
      <c r="J17" s="22"/>
      <c r="K17" s="8"/>
      <c r="L17" s="8"/>
      <c r="M17" s="8"/>
    </row>
    <row r="18" spans="1:13" ht="15.75" customHeight="1">
      <c r="A18" s="29">
        <v>3</v>
      </c>
      <c r="B18" s="32" t="s">
        <v>86</v>
      </c>
      <c r="C18" s="138" t="s">
        <v>89</v>
      </c>
      <c r="D18" s="32" t="s">
        <v>232</v>
      </c>
      <c r="E18" s="152">
        <f>SUM(E16+E17)</f>
        <v>649.4</v>
      </c>
      <c r="F18" s="139">
        <f>SUM(E18*18/100)</f>
        <v>116.892</v>
      </c>
      <c r="G18" s="139">
        <v>688.14</v>
      </c>
      <c r="H18" s="86">
        <f t="shared" si="0"/>
        <v>80.438060879999995</v>
      </c>
      <c r="I18" s="13">
        <f>F18/12*G18</f>
        <v>6703.1717399999998</v>
      </c>
      <c r="J18" s="22"/>
      <c r="K18" s="8"/>
      <c r="L18" s="8"/>
      <c r="M18" s="8"/>
    </row>
    <row r="19" spans="1:13" ht="25.5" hidden="1" customHeight="1">
      <c r="A19" s="29">
        <v>4</v>
      </c>
      <c r="B19" s="82" t="s">
        <v>90</v>
      </c>
      <c r="C19" s="83" t="s">
        <v>91</v>
      </c>
      <c r="D19" s="82" t="s">
        <v>92</v>
      </c>
      <c r="E19" s="84">
        <v>124.8</v>
      </c>
      <c r="F19" s="85">
        <f>SUM(E19/10)</f>
        <v>12.48</v>
      </c>
      <c r="G19" s="85">
        <v>170.16</v>
      </c>
      <c r="H19" s="86">
        <f t="shared" si="0"/>
        <v>2.1235967999999996</v>
      </c>
      <c r="I19" s="13">
        <f>F19/2*G19</f>
        <v>1061.7983999999999</v>
      </c>
      <c r="J19" s="22"/>
      <c r="K19" s="8"/>
      <c r="L19" s="8"/>
      <c r="M19" s="8"/>
    </row>
    <row r="20" spans="1:13" ht="15" customHeight="1">
      <c r="A20" s="29">
        <v>4</v>
      </c>
      <c r="B20" s="32" t="s">
        <v>95</v>
      </c>
      <c r="C20" s="138" t="s">
        <v>89</v>
      </c>
      <c r="D20" s="32" t="s">
        <v>243</v>
      </c>
      <c r="E20" s="152">
        <v>57.5</v>
      </c>
      <c r="F20" s="139">
        <f>SUM(E20*12/100)</f>
        <v>6.9</v>
      </c>
      <c r="G20" s="139">
        <v>297.19</v>
      </c>
      <c r="H20" s="86">
        <f t="shared" si="0"/>
        <v>2.050611</v>
      </c>
      <c r="I20" s="13">
        <f>F20*G20/12</f>
        <v>170.88424999999998</v>
      </c>
      <c r="J20" s="22"/>
      <c r="K20" s="8"/>
      <c r="L20" s="8"/>
      <c r="M20" s="8"/>
    </row>
    <row r="21" spans="1:13" ht="16.5" customHeight="1">
      <c r="A21" s="29">
        <v>5</v>
      </c>
      <c r="B21" s="32" t="s">
        <v>96</v>
      </c>
      <c r="C21" s="138" t="s">
        <v>89</v>
      </c>
      <c r="D21" s="32" t="s">
        <v>243</v>
      </c>
      <c r="E21" s="152">
        <v>13.41</v>
      </c>
      <c r="F21" s="139">
        <f>SUM(E21*12/100)</f>
        <v>1.6092000000000002</v>
      </c>
      <c r="G21" s="139">
        <v>294.77999999999997</v>
      </c>
      <c r="H21" s="86">
        <f t="shared" si="0"/>
        <v>0.47435997600000002</v>
      </c>
      <c r="I21" s="13">
        <f>F21*G21/12</f>
        <v>39.529997999999999</v>
      </c>
      <c r="J21" s="22"/>
      <c r="K21" s="8"/>
      <c r="L21" s="8"/>
      <c r="M21" s="8"/>
    </row>
    <row r="22" spans="1:13" ht="25.5" hidden="1" customHeight="1">
      <c r="A22" s="29">
        <v>7</v>
      </c>
      <c r="B22" s="82" t="s">
        <v>97</v>
      </c>
      <c r="C22" s="83" t="s">
        <v>51</v>
      </c>
      <c r="D22" s="82" t="s">
        <v>92</v>
      </c>
      <c r="E22" s="84">
        <v>820.5</v>
      </c>
      <c r="F22" s="85">
        <f>SUM(E22/100)</f>
        <v>8.2050000000000001</v>
      </c>
      <c r="G22" s="85">
        <v>269.26</v>
      </c>
      <c r="H22" s="86">
        <f t="shared" si="0"/>
        <v>2.2092782999999998</v>
      </c>
      <c r="I22" s="13">
        <f t="shared" ref="I22:I26" si="1">F22*G22</f>
        <v>2209.2782999999999</v>
      </c>
      <c r="J22" s="22"/>
      <c r="K22" s="8"/>
      <c r="L22" s="8"/>
      <c r="M22" s="8"/>
    </row>
    <row r="23" spans="1:13" ht="21.75" hidden="1" customHeight="1">
      <c r="A23" s="29">
        <v>8</v>
      </c>
      <c r="B23" s="82" t="s">
        <v>98</v>
      </c>
      <c r="C23" s="83" t="s">
        <v>51</v>
      </c>
      <c r="D23" s="82" t="s">
        <v>92</v>
      </c>
      <c r="E23" s="87">
        <v>60.25</v>
      </c>
      <c r="F23" s="85">
        <f>SUM(E23/100)</f>
        <v>0.60250000000000004</v>
      </c>
      <c r="G23" s="85">
        <v>44.29</v>
      </c>
      <c r="H23" s="86">
        <f t="shared" si="0"/>
        <v>2.6684724999999999E-2</v>
      </c>
      <c r="I23" s="13">
        <f t="shared" si="1"/>
        <v>26.684725</v>
      </c>
      <c r="J23" s="22"/>
      <c r="K23" s="8"/>
      <c r="L23" s="8"/>
      <c r="M23" s="8"/>
    </row>
    <row r="24" spans="1:13" ht="27" hidden="1" customHeight="1">
      <c r="A24" s="29">
        <v>9</v>
      </c>
      <c r="B24" s="82" t="s">
        <v>93</v>
      </c>
      <c r="C24" s="83" t="s">
        <v>51</v>
      </c>
      <c r="D24" s="82" t="s">
        <v>94</v>
      </c>
      <c r="E24" s="84">
        <v>19.149999999999999</v>
      </c>
      <c r="F24" s="85">
        <f>E24/100</f>
        <v>0.19149999999999998</v>
      </c>
      <c r="G24" s="85">
        <v>389.72</v>
      </c>
      <c r="H24" s="86">
        <f t="shared" si="0"/>
        <v>7.4631379999999997E-2</v>
      </c>
      <c r="I24" s="13">
        <f t="shared" si="1"/>
        <v>74.631379999999993</v>
      </c>
      <c r="J24" s="22"/>
      <c r="K24" s="8"/>
      <c r="L24" s="8"/>
      <c r="M24" s="8"/>
    </row>
    <row r="25" spans="1:13" ht="27" hidden="1" customHeight="1">
      <c r="A25" s="29">
        <v>10</v>
      </c>
      <c r="B25" s="82" t="s">
        <v>100</v>
      </c>
      <c r="C25" s="83" t="s">
        <v>51</v>
      </c>
      <c r="D25" s="82" t="s">
        <v>52</v>
      </c>
      <c r="E25" s="84">
        <v>31.5</v>
      </c>
      <c r="F25" s="85">
        <v>0.32</v>
      </c>
      <c r="G25" s="85">
        <v>216.12</v>
      </c>
      <c r="H25" s="86">
        <f t="shared" si="0"/>
        <v>6.9158399999999995E-2</v>
      </c>
      <c r="I25" s="13">
        <f t="shared" si="1"/>
        <v>69.1584</v>
      </c>
      <c r="J25" s="22"/>
      <c r="K25" s="8"/>
      <c r="L25" s="8"/>
      <c r="M25" s="8"/>
    </row>
    <row r="26" spans="1:13" ht="21.75" hidden="1" customHeight="1">
      <c r="A26" s="29">
        <v>11</v>
      </c>
      <c r="B26" s="82" t="s">
        <v>99</v>
      </c>
      <c r="C26" s="83" t="s">
        <v>51</v>
      </c>
      <c r="D26" s="82" t="s">
        <v>92</v>
      </c>
      <c r="E26" s="84">
        <v>37.5</v>
      </c>
      <c r="F26" s="85">
        <f>SUM(E26/100)</f>
        <v>0.375</v>
      </c>
      <c r="G26" s="85">
        <v>520.79999999999995</v>
      </c>
      <c r="H26" s="86">
        <f t="shared" si="0"/>
        <v>0.19529999999999997</v>
      </c>
      <c r="I26" s="13">
        <f t="shared" si="1"/>
        <v>195.29999999999998</v>
      </c>
      <c r="J26" s="22"/>
      <c r="K26" s="8"/>
      <c r="L26" s="8"/>
      <c r="M26" s="8"/>
    </row>
    <row r="27" spans="1:13" ht="15.75" customHeight="1">
      <c r="A27" s="29">
        <v>6</v>
      </c>
      <c r="B27" s="32" t="s">
        <v>229</v>
      </c>
      <c r="C27" s="138" t="s">
        <v>26</v>
      </c>
      <c r="D27" s="32" t="s">
        <v>234</v>
      </c>
      <c r="E27" s="175">
        <v>4.88</v>
      </c>
      <c r="F27" s="139">
        <f>E27*258</f>
        <v>1259.04</v>
      </c>
      <c r="G27" s="139">
        <v>10.39</v>
      </c>
      <c r="H27" s="86">
        <f t="shared" ref="H27" si="2">SUM(F27*G27/1000)</f>
        <v>13.081425600000001</v>
      </c>
      <c r="I27" s="13">
        <f>F27/12*G27</f>
        <v>1090.1188</v>
      </c>
      <c r="J27" s="22"/>
      <c r="K27" s="8"/>
      <c r="L27" s="8"/>
      <c r="M27" s="8"/>
    </row>
    <row r="28" spans="1:13" ht="15.75" customHeight="1">
      <c r="A28" s="220" t="s">
        <v>81</v>
      </c>
      <c r="B28" s="220"/>
      <c r="C28" s="220"/>
      <c r="D28" s="220"/>
      <c r="E28" s="220"/>
      <c r="F28" s="220"/>
      <c r="G28" s="220"/>
      <c r="H28" s="220"/>
      <c r="I28" s="220"/>
      <c r="J28" s="22"/>
      <c r="K28" s="8"/>
      <c r="L28" s="8"/>
      <c r="M28" s="8"/>
    </row>
    <row r="29" spans="1:13" ht="15.75" customHeight="1">
      <c r="A29" s="40"/>
      <c r="B29" s="50" t="s">
        <v>29</v>
      </c>
      <c r="C29" s="50"/>
      <c r="D29" s="50"/>
      <c r="E29" s="50"/>
      <c r="F29" s="50"/>
      <c r="G29" s="50"/>
      <c r="H29" s="50"/>
      <c r="I29" s="18"/>
      <c r="J29" s="22"/>
      <c r="K29" s="8"/>
      <c r="L29" s="8"/>
      <c r="M29" s="8"/>
    </row>
    <row r="30" spans="1:13" ht="15.75" customHeight="1">
      <c r="A30" s="40">
        <v>7</v>
      </c>
      <c r="B30" s="32" t="s">
        <v>101</v>
      </c>
      <c r="C30" s="138" t="s">
        <v>102</v>
      </c>
      <c r="D30" s="32" t="s">
        <v>231</v>
      </c>
      <c r="E30" s="139">
        <v>1304.45</v>
      </c>
      <c r="F30" s="139">
        <f>SUM(E30*52/1000)</f>
        <v>67.831400000000002</v>
      </c>
      <c r="G30" s="139">
        <v>212.62</v>
      </c>
      <c r="H30" s="86">
        <f t="shared" ref="H30:H31" si="3">SUM(F30*G30/1000)</f>
        <v>14.422312268000001</v>
      </c>
      <c r="I30" s="13">
        <f>F30/6*G30</f>
        <v>2403.7187113333334</v>
      </c>
      <c r="J30" s="22"/>
      <c r="K30" s="8"/>
      <c r="L30" s="8"/>
      <c r="M30" s="8"/>
    </row>
    <row r="31" spans="1:13" ht="31.5" customHeight="1">
      <c r="A31" s="40">
        <v>8</v>
      </c>
      <c r="B31" s="32" t="s">
        <v>140</v>
      </c>
      <c r="C31" s="138" t="s">
        <v>102</v>
      </c>
      <c r="D31" s="32" t="s">
        <v>231</v>
      </c>
      <c r="E31" s="139">
        <v>287.83999999999997</v>
      </c>
      <c r="F31" s="139">
        <f>SUM(E31*52/1000)</f>
        <v>14.967679999999998</v>
      </c>
      <c r="G31" s="139">
        <v>352.77</v>
      </c>
      <c r="H31" s="86">
        <f t="shared" si="3"/>
        <v>5.2801484735999997</v>
      </c>
      <c r="I31" s="13">
        <f t="shared" ref="I31" si="4">F31/6*G31</f>
        <v>880.02474559999985</v>
      </c>
      <c r="J31" s="22"/>
      <c r="K31" s="8"/>
      <c r="L31" s="8"/>
      <c r="M31" s="8"/>
    </row>
    <row r="32" spans="1:13" ht="15.75" hidden="1" customHeight="1">
      <c r="A32" s="40">
        <v>16</v>
      </c>
      <c r="B32" s="82" t="s">
        <v>28</v>
      </c>
      <c r="C32" s="83" t="s">
        <v>102</v>
      </c>
      <c r="D32" s="82" t="s">
        <v>52</v>
      </c>
      <c r="E32" s="85">
        <v>1304.45</v>
      </c>
      <c r="F32" s="85">
        <f>SUM(E32/1000)</f>
        <v>1.3044500000000001</v>
      </c>
      <c r="G32" s="85">
        <v>3020.33</v>
      </c>
      <c r="H32" s="86">
        <f t="shared" ref="H32:H34" si="5">SUM(F32*G32/1000)</f>
        <v>3.9398694685</v>
      </c>
      <c r="I32" s="13">
        <f>F32*G32</f>
        <v>3939.8694685</v>
      </c>
      <c r="J32" s="22"/>
      <c r="K32" s="8"/>
      <c r="L32" s="8"/>
      <c r="M32" s="8"/>
    </row>
    <row r="33" spans="1:14" ht="15.75" hidden="1" customHeight="1">
      <c r="A33" s="40">
        <v>4</v>
      </c>
      <c r="B33" s="82" t="s">
        <v>63</v>
      </c>
      <c r="C33" s="83" t="s">
        <v>33</v>
      </c>
      <c r="D33" s="82" t="s">
        <v>65</v>
      </c>
      <c r="E33" s="84"/>
      <c r="F33" s="85">
        <v>3</v>
      </c>
      <c r="G33" s="85">
        <v>191.32</v>
      </c>
      <c r="H33" s="86">
        <f t="shared" si="5"/>
        <v>0.57396000000000003</v>
      </c>
      <c r="I33" s="13">
        <v>0</v>
      </c>
      <c r="J33" s="23"/>
    </row>
    <row r="34" spans="1:14" ht="15.75" hidden="1" customHeight="1">
      <c r="A34" s="29">
        <v>8</v>
      </c>
      <c r="B34" s="82" t="s">
        <v>64</v>
      </c>
      <c r="C34" s="83" t="s">
        <v>32</v>
      </c>
      <c r="D34" s="82" t="s">
        <v>65</v>
      </c>
      <c r="E34" s="84"/>
      <c r="F34" s="85">
        <v>2</v>
      </c>
      <c r="G34" s="85">
        <v>1136.32</v>
      </c>
      <c r="H34" s="86">
        <f t="shared" si="5"/>
        <v>2.27264</v>
      </c>
      <c r="I34" s="13">
        <v>0</v>
      </c>
      <c r="J34" s="23"/>
    </row>
    <row r="35" spans="1:14" ht="15.75" hidden="1" customHeight="1">
      <c r="A35" s="40"/>
      <c r="B35" s="48" t="s">
        <v>5</v>
      </c>
      <c r="C35" s="48"/>
      <c r="D35" s="48"/>
      <c r="E35" s="13"/>
      <c r="F35" s="13"/>
      <c r="G35" s="14"/>
      <c r="H35" s="14"/>
      <c r="I35" s="18"/>
      <c r="J35" s="23"/>
    </row>
    <row r="36" spans="1:14" ht="15.75" hidden="1" customHeight="1">
      <c r="A36" s="33">
        <v>6</v>
      </c>
      <c r="B36" s="82" t="s">
        <v>27</v>
      </c>
      <c r="C36" s="83" t="s">
        <v>32</v>
      </c>
      <c r="D36" s="82"/>
      <c r="E36" s="84"/>
      <c r="F36" s="85">
        <v>10</v>
      </c>
      <c r="G36" s="85">
        <v>1527.22</v>
      </c>
      <c r="H36" s="86">
        <f t="shared" ref="H36:H43" si="6">SUM(F36*G36/1000)</f>
        <v>15.272200000000002</v>
      </c>
      <c r="I36" s="13">
        <f>F36/6*G36</f>
        <v>2545.3666666666668</v>
      </c>
      <c r="J36" s="23"/>
    </row>
    <row r="37" spans="1:14" ht="15.75" hidden="1" customHeight="1">
      <c r="A37" s="33">
        <v>7</v>
      </c>
      <c r="B37" s="82" t="s">
        <v>123</v>
      </c>
      <c r="C37" s="83" t="s">
        <v>30</v>
      </c>
      <c r="D37" s="82" t="s">
        <v>124</v>
      </c>
      <c r="E37" s="85">
        <v>495</v>
      </c>
      <c r="F37" s="85">
        <f>SUM(E37*12/1000)</f>
        <v>5.94</v>
      </c>
      <c r="G37" s="85">
        <v>2102.71</v>
      </c>
      <c r="H37" s="86">
        <f t="shared" si="6"/>
        <v>12.4900974</v>
      </c>
      <c r="I37" s="13">
        <f>F37/6*G37</f>
        <v>2081.6829000000002</v>
      </c>
      <c r="J37" s="23"/>
    </row>
    <row r="38" spans="1:14" ht="15.75" hidden="1" customHeight="1">
      <c r="A38" s="33">
        <v>8</v>
      </c>
      <c r="B38" s="82" t="s">
        <v>125</v>
      </c>
      <c r="C38" s="83" t="s">
        <v>30</v>
      </c>
      <c r="D38" s="82" t="s">
        <v>106</v>
      </c>
      <c r="E38" s="84">
        <v>287.83999999999997</v>
      </c>
      <c r="F38" s="85">
        <v>8.64</v>
      </c>
      <c r="G38" s="85">
        <v>2102.71</v>
      </c>
      <c r="H38" s="86">
        <f>G38*F38/1000</f>
        <v>18.167414400000002</v>
      </c>
      <c r="I38" s="13">
        <f>F38/6*G38</f>
        <v>3027.9024000000004</v>
      </c>
      <c r="J38" s="23"/>
    </row>
    <row r="39" spans="1:14" ht="15.75" hidden="1" customHeight="1">
      <c r="A39" s="33">
        <v>7</v>
      </c>
      <c r="B39" s="82" t="s">
        <v>87</v>
      </c>
      <c r="C39" s="83" t="s">
        <v>126</v>
      </c>
      <c r="D39" s="82" t="s">
        <v>65</v>
      </c>
      <c r="E39" s="84"/>
      <c r="F39" s="85">
        <v>80</v>
      </c>
      <c r="G39" s="85">
        <v>199.44</v>
      </c>
      <c r="H39" s="86">
        <f>G39*F39/1000</f>
        <v>15.955200000000001</v>
      </c>
      <c r="I39" s="13">
        <v>0</v>
      </c>
      <c r="J39" s="23"/>
    </row>
    <row r="40" spans="1:14" ht="15.75" hidden="1" customHeight="1">
      <c r="A40" s="33">
        <v>9</v>
      </c>
      <c r="B40" s="82" t="s">
        <v>66</v>
      </c>
      <c r="C40" s="83" t="s">
        <v>30</v>
      </c>
      <c r="D40" s="82" t="s">
        <v>107</v>
      </c>
      <c r="E40" s="85">
        <v>287.83999999999997</v>
      </c>
      <c r="F40" s="85">
        <f>SUM(E40*155/1000)</f>
        <v>44.615199999999994</v>
      </c>
      <c r="G40" s="85">
        <v>350.75</v>
      </c>
      <c r="H40" s="86">
        <f t="shared" si="6"/>
        <v>15.648781399999997</v>
      </c>
      <c r="I40" s="13">
        <f>F40/6*G40</f>
        <v>2608.1302333333329</v>
      </c>
      <c r="J40" s="23"/>
    </row>
    <row r="41" spans="1:14" ht="47.25" hidden="1" customHeight="1">
      <c r="A41" s="33">
        <v>10</v>
      </c>
      <c r="B41" s="82" t="s">
        <v>79</v>
      </c>
      <c r="C41" s="83" t="s">
        <v>102</v>
      </c>
      <c r="D41" s="82" t="s">
        <v>127</v>
      </c>
      <c r="E41" s="85">
        <v>89.43</v>
      </c>
      <c r="F41" s="85">
        <f>SUM(E41*24/1000)</f>
        <v>2.1463200000000002</v>
      </c>
      <c r="G41" s="85">
        <v>5803.28</v>
      </c>
      <c r="H41" s="86">
        <f t="shared" si="6"/>
        <v>12.455695929600001</v>
      </c>
      <c r="I41" s="13">
        <f>F41/6*G41</f>
        <v>2075.9493216000001</v>
      </c>
      <c r="J41" s="23"/>
      <c r="L41" s="19"/>
      <c r="M41" s="20"/>
      <c r="N41" s="21"/>
    </row>
    <row r="42" spans="1:14" ht="15.75" hidden="1" customHeight="1">
      <c r="A42" s="33">
        <v>11</v>
      </c>
      <c r="B42" s="82" t="s">
        <v>108</v>
      </c>
      <c r="C42" s="83" t="s">
        <v>102</v>
      </c>
      <c r="D42" s="82" t="s">
        <v>67</v>
      </c>
      <c r="E42" s="85">
        <v>130.08000000000001</v>
      </c>
      <c r="F42" s="85">
        <f>SUM(E42*45/1000)</f>
        <v>5.8536000000000001</v>
      </c>
      <c r="G42" s="85">
        <v>428.7</v>
      </c>
      <c r="H42" s="86">
        <f t="shared" si="6"/>
        <v>2.5094383200000001</v>
      </c>
      <c r="I42" s="13">
        <f>F42/6*G42</f>
        <v>418.23971999999998</v>
      </c>
      <c r="J42" s="23"/>
      <c r="L42" s="19"/>
      <c r="M42" s="20"/>
      <c r="N42" s="21"/>
    </row>
    <row r="43" spans="1:14" ht="15.75" hidden="1" customHeight="1">
      <c r="A43" s="33">
        <v>12</v>
      </c>
      <c r="B43" s="82" t="s">
        <v>68</v>
      </c>
      <c r="C43" s="83" t="s">
        <v>33</v>
      </c>
      <c r="D43" s="82"/>
      <c r="E43" s="84"/>
      <c r="F43" s="85">
        <v>0.9</v>
      </c>
      <c r="G43" s="85">
        <v>798</v>
      </c>
      <c r="H43" s="86">
        <f t="shared" si="6"/>
        <v>0.71820000000000006</v>
      </c>
      <c r="I43" s="13">
        <f>F43/6*G43</f>
        <v>119.69999999999999</v>
      </c>
      <c r="J43" s="23"/>
      <c r="L43" s="19"/>
      <c r="M43" s="20"/>
      <c r="N43" s="21"/>
    </row>
    <row r="44" spans="1:14" ht="15.75" customHeight="1">
      <c r="A44" s="224" t="s">
        <v>137</v>
      </c>
      <c r="B44" s="225"/>
      <c r="C44" s="225"/>
      <c r="D44" s="225"/>
      <c r="E44" s="225"/>
      <c r="F44" s="225"/>
      <c r="G44" s="225"/>
      <c r="H44" s="225"/>
      <c r="I44" s="226"/>
      <c r="J44" s="23"/>
      <c r="L44" s="19"/>
      <c r="M44" s="20"/>
      <c r="N44" s="21"/>
    </row>
    <row r="45" spans="1:14" ht="15.75" customHeight="1">
      <c r="A45" s="40">
        <v>9</v>
      </c>
      <c r="B45" s="32" t="s">
        <v>128</v>
      </c>
      <c r="C45" s="138" t="s">
        <v>102</v>
      </c>
      <c r="D45" s="32" t="s">
        <v>243</v>
      </c>
      <c r="E45" s="152">
        <v>1369</v>
      </c>
      <c r="F45" s="139">
        <f>SUM(E45*2/1000)</f>
        <v>2.738</v>
      </c>
      <c r="G45" s="36">
        <v>1158.7</v>
      </c>
      <c r="H45" s="86">
        <f t="shared" ref="H45:H53" si="7">SUM(F45*G45/1000)</f>
        <v>3.1725206000000004</v>
      </c>
      <c r="I45" s="13">
        <f t="shared" ref="I45:I47" si="8">F45/2*G45</f>
        <v>1586.2603000000001</v>
      </c>
      <c r="J45" s="23"/>
      <c r="L45" s="19"/>
      <c r="M45" s="20"/>
      <c r="N45" s="21"/>
    </row>
    <row r="46" spans="1:14" ht="15.75" customHeight="1">
      <c r="A46" s="40">
        <v>10</v>
      </c>
      <c r="B46" s="32" t="s">
        <v>222</v>
      </c>
      <c r="C46" s="138" t="s">
        <v>102</v>
      </c>
      <c r="D46" s="32" t="s">
        <v>243</v>
      </c>
      <c r="E46" s="152">
        <v>185.3</v>
      </c>
      <c r="F46" s="139">
        <f>SUM(E46*2/1000)</f>
        <v>0.37060000000000004</v>
      </c>
      <c r="G46" s="36">
        <v>790.38</v>
      </c>
      <c r="H46" s="86">
        <f t="shared" si="7"/>
        <v>0.29291482800000007</v>
      </c>
      <c r="I46" s="13">
        <f t="shared" si="8"/>
        <v>146.45741400000003</v>
      </c>
      <c r="J46" s="23"/>
      <c r="L46" s="19"/>
      <c r="M46" s="20"/>
      <c r="N46" s="21"/>
    </row>
    <row r="47" spans="1:14" ht="15.75" customHeight="1">
      <c r="A47" s="40">
        <v>11</v>
      </c>
      <c r="B47" s="32" t="s">
        <v>35</v>
      </c>
      <c r="C47" s="138" t="s">
        <v>102</v>
      </c>
      <c r="D47" s="32" t="s">
        <v>243</v>
      </c>
      <c r="E47" s="152">
        <v>4985.21</v>
      </c>
      <c r="F47" s="139">
        <f>SUM(E47*2/1000)</f>
        <v>9.9704200000000007</v>
      </c>
      <c r="G47" s="36">
        <v>790.38</v>
      </c>
      <c r="H47" s="86">
        <f t="shared" si="7"/>
        <v>7.8804205596000001</v>
      </c>
      <c r="I47" s="13">
        <f t="shared" si="8"/>
        <v>3940.2102798000001</v>
      </c>
      <c r="J47" s="23"/>
      <c r="L47" s="19"/>
      <c r="M47" s="20"/>
      <c r="N47" s="21"/>
    </row>
    <row r="48" spans="1:14" ht="15.75" customHeight="1">
      <c r="A48" s="40">
        <v>12</v>
      </c>
      <c r="B48" s="32" t="s">
        <v>36</v>
      </c>
      <c r="C48" s="138" t="s">
        <v>102</v>
      </c>
      <c r="D48" s="32" t="s">
        <v>243</v>
      </c>
      <c r="E48" s="152">
        <v>2474</v>
      </c>
      <c r="F48" s="139">
        <f>SUM(E48*2/1000)</f>
        <v>4.9480000000000004</v>
      </c>
      <c r="G48" s="36">
        <v>827.65</v>
      </c>
      <c r="H48" s="86">
        <f t="shared" si="7"/>
        <v>4.0952122000000006</v>
      </c>
      <c r="I48" s="13">
        <f>F48/2*G48</f>
        <v>2047.6061000000002</v>
      </c>
      <c r="J48" s="23"/>
      <c r="L48" s="19"/>
      <c r="M48" s="20"/>
      <c r="N48" s="21"/>
    </row>
    <row r="49" spans="1:14" ht="15.75" customHeight="1">
      <c r="A49" s="40">
        <v>13</v>
      </c>
      <c r="B49" s="32" t="s">
        <v>54</v>
      </c>
      <c r="C49" s="138" t="s">
        <v>102</v>
      </c>
      <c r="D49" s="32" t="s">
        <v>243</v>
      </c>
      <c r="E49" s="152">
        <v>5162.6000000000004</v>
      </c>
      <c r="F49" s="139">
        <f>SUM(E49*5/1000)</f>
        <v>25.812999999999999</v>
      </c>
      <c r="G49" s="36">
        <v>1655.27</v>
      </c>
      <c r="H49" s="86">
        <f t="shared" si="7"/>
        <v>42.727484509999996</v>
      </c>
      <c r="I49" s="13">
        <f>F49/5*G49</f>
        <v>8545.496901999999</v>
      </c>
      <c r="J49" s="23"/>
      <c r="L49" s="19"/>
      <c r="M49" s="20"/>
      <c r="N49" s="21"/>
    </row>
    <row r="50" spans="1:14" ht="30.75" customHeight="1">
      <c r="A50" s="40">
        <v>14</v>
      </c>
      <c r="B50" s="32" t="s">
        <v>109</v>
      </c>
      <c r="C50" s="138" t="s">
        <v>102</v>
      </c>
      <c r="D50" s="32" t="s">
        <v>243</v>
      </c>
      <c r="E50" s="152">
        <v>5162.6000000000004</v>
      </c>
      <c r="F50" s="139">
        <f>SUM(E50*2/1000)</f>
        <v>10.325200000000001</v>
      </c>
      <c r="G50" s="36">
        <v>1655.27</v>
      </c>
      <c r="H50" s="86">
        <f t="shared" si="7"/>
        <v>17.090993804</v>
      </c>
      <c r="I50" s="13">
        <f>F50/2*G50</f>
        <v>8545.4969020000008</v>
      </c>
      <c r="J50" s="23"/>
      <c r="L50" s="19"/>
      <c r="M50" s="20"/>
      <c r="N50" s="21"/>
    </row>
    <row r="51" spans="1:14" ht="30.75" customHeight="1">
      <c r="A51" s="40">
        <v>15</v>
      </c>
      <c r="B51" s="32" t="s">
        <v>110</v>
      </c>
      <c r="C51" s="138" t="s">
        <v>37</v>
      </c>
      <c r="D51" s="32" t="s">
        <v>243</v>
      </c>
      <c r="E51" s="152">
        <v>40</v>
      </c>
      <c r="F51" s="139">
        <f>SUM(E51*2/100)</f>
        <v>0.8</v>
      </c>
      <c r="G51" s="36">
        <v>3724.37</v>
      </c>
      <c r="H51" s="86">
        <f t="shared" si="7"/>
        <v>2.9794960000000001</v>
      </c>
      <c r="I51" s="13">
        <f t="shared" ref="I51:I52" si="9">F51/2*G51</f>
        <v>1489.748</v>
      </c>
      <c r="J51" s="23"/>
      <c r="L51" s="19"/>
      <c r="M51" s="20"/>
      <c r="N51" s="21"/>
    </row>
    <row r="52" spans="1:14" ht="15.75" customHeight="1">
      <c r="A52" s="40">
        <v>16</v>
      </c>
      <c r="B52" s="32" t="s">
        <v>38</v>
      </c>
      <c r="C52" s="138" t="s">
        <v>39</v>
      </c>
      <c r="D52" s="32" t="s">
        <v>243</v>
      </c>
      <c r="E52" s="152">
        <v>1</v>
      </c>
      <c r="F52" s="139">
        <v>0.02</v>
      </c>
      <c r="G52" s="36">
        <v>7709.44</v>
      </c>
      <c r="H52" s="86">
        <f t="shared" si="7"/>
        <v>0.15418879999999999</v>
      </c>
      <c r="I52" s="13">
        <f t="shared" si="9"/>
        <v>77.094399999999993</v>
      </c>
      <c r="J52" s="23"/>
      <c r="L52" s="19"/>
      <c r="M52" s="20"/>
      <c r="N52" s="21"/>
    </row>
    <row r="53" spans="1:14" ht="14.25" customHeight="1">
      <c r="A53" s="40">
        <v>17</v>
      </c>
      <c r="B53" s="32" t="s">
        <v>40</v>
      </c>
      <c r="C53" s="138" t="s">
        <v>111</v>
      </c>
      <c r="D53" s="183">
        <v>43717</v>
      </c>
      <c r="E53" s="152">
        <v>238</v>
      </c>
      <c r="F53" s="139">
        <f>SUM(E53)*3</f>
        <v>714</v>
      </c>
      <c r="G53" s="172">
        <v>89.59</v>
      </c>
      <c r="H53" s="86">
        <f t="shared" si="7"/>
        <v>63.967260000000003</v>
      </c>
      <c r="I53" s="13">
        <f>E53*G53</f>
        <v>21322.420000000002</v>
      </c>
      <c r="J53" s="23"/>
      <c r="L53" s="19"/>
      <c r="M53" s="20"/>
      <c r="N53" s="21"/>
    </row>
    <row r="54" spans="1:14" ht="15.75" customHeight="1">
      <c r="A54" s="224" t="s">
        <v>138</v>
      </c>
      <c r="B54" s="225"/>
      <c r="C54" s="225"/>
      <c r="D54" s="225"/>
      <c r="E54" s="225"/>
      <c r="F54" s="225"/>
      <c r="G54" s="225"/>
      <c r="H54" s="225"/>
      <c r="I54" s="226"/>
      <c r="J54" s="23"/>
      <c r="L54" s="19"/>
      <c r="M54" s="20"/>
      <c r="N54" s="21"/>
    </row>
    <row r="55" spans="1:14" ht="15.75" hidden="1" customHeight="1">
      <c r="A55" s="186"/>
      <c r="B55" s="47" t="s">
        <v>42</v>
      </c>
      <c r="C55" s="16"/>
      <c r="D55" s="15"/>
      <c r="E55" s="15"/>
      <c r="F55" s="15"/>
      <c r="G55" s="29"/>
      <c r="H55" s="29"/>
      <c r="I55" s="18"/>
      <c r="J55" s="23"/>
      <c r="L55" s="19"/>
      <c r="M55" s="20"/>
      <c r="N55" s="21"/>
    </row>
    <row r="56" spans="1:14" ht="31.5" hidden="1" customHeight="1">
      <c r="A56" s="40">
        <v>16</v>
      </c>
      <c r="B56" s="82" t="s">
        <v>112</v>
      </c>
      <c r="C56" s="83" t="s">
        <v>89</v>
      </c>
      <c r="D56" s="82" t="s">
        <v>113</v>
      </c>
      <c r="E56" s="84">
        <v>176.9</v>
      </c>
      <c r="F56" s="85">
        <f>SUM(E56*6/100)</f>
        <v>10.614000000000001</v>
      </c>
      <c r="G56" s="13">
        <v>1547.28</v>
      </c>
      <c r="H56" s="86">
        <f>SUM(F56*G56/1000)</f>
        <v>16.422829920000002</v>
      </c>
      <c r="I56" s="13">
        <f>F56/6*G56</f>
        <v>2737.13832</v>
      </c>
      <c r="J56" s="23"/>
      <c r="L56" s="19"/>
      <c r="M56" s="20"/>
      <c r="N56" s="21"/>
    </row>
    <row r="57" spans="1:14" ht="15.75" hidden="1" customHeight="1">
      <c r="A57" s="40">
        <v>17</v>
      </c>
      <c r="B57" s="82" t="s">
        <v>129</v>
      </c>
      <c r="C57" s="83" t="s">
        <v>89</v>
      </c>
      <c r="D57" s="82" t="s">
        <v>113</v>
      </c>
      <c r="E57" s="77">
        <v>56</v>
      </c>
      <c r="F57" s="90">
        <v>3.36</v>
      </c>
      <c r="G57" s="85">
        <v>1547.28</v>
      </c>
      <c r="H57" s="86">
        <f>F57*G57/1000</f>
        <v>5.1988607999999994</v>
      </c>
      <c r="I57" s="13">
        <f>F57/6*G57</f>
        <v>866.47679999999991</v>
      </c>
      <c r="J57" s="23"/>
      <c r="L57" s="19"/>
      <c r="M57" s="20"/>
      <c r="N57" s="21"/>
    </row>
    <row r="58" spans="1:14" ht="15.75" hidden="1" customHeight="1">
      <c r="A58" s="40"/>
      <c r="B58" s="82" t="s">
        <v>130</v>
      </c>
      <c r="C58" s="83" t="s">
        <v>131</v>
      </c>
      <c r="D58" s="82" t="s">
        <v>41</v>
      </c>
      <c r="E58" s="91">
        <v>8</v>
      </c>
      <c r="F58" s="13">
        <v>16</v>
      </c>
      <c r="G58" s="85">
        <v>180.78</v>
      </c>
      <c r="H58" s="86">
        <f>SUM(F58*G58/1000)</f>
        <v>2.8924799999999999</v>
      </c>
      <c r="I58" s="13">
        <v>0</v>
      </c>
      <c r="J58" s="23"/>
      <c r="L58" s="19"/>
      <c r="M58" s="20"/>
      <c r="N58" s="21"/>
    </row>
    <row r="59" spans="1:14" ht="15.75" customHeight="1">
      <c r="A59" s="40"/>
      <c r="B59" s="185" t="s">
        <v>43</v>
      </c>
      <c r="C59" s="185"/>
      <c r="D59" s="185"/>
      <c r="E59" s="185"/>
      <c r="F59" s="185"/>
      <c r="G59" s="185"/>
      <c r="H59" s="185"/>
      <c r="I59" s="35"/>
      <c r="J59" s="23"/>
      <c r="L59" s="19"/>
      <c r="M59" s="20"/>
      <c r="N59" s="21"/>
    </row>
    <row r="60" spans="1:14" ht="15.75" hidden="1" customHeight="1">
      <c r="A60" s="40">
        <v>27</v>
      </c>
      <c r="B60" s="82" t="s">
        <v>142</v>
      </c>
      <c r="C60" s="83"/>
      <c r="D60" s="82" t="s">
        <v>52</v>
      </c>
      <c r="E60" s="84">
        <v>1349.3</v>
      </c>
      <c r="F60" s="86">
        <v>13.493</v>
      </c>
      <c r="G60" s="13">
        <v>793.61</v>
      </c>
      <c r="H60" s="92">
        <f>F60*G60/1000</f>
        <v>10.708179729999999</v>
      </c>
      <c r="I60" s="13">
        <v>0</v>
      </c>
      <c r="J60" s="23"/>
      <c r="L60" s="19"/>
      <c r="M60" s="20"/>
      <c r="N60" s="21"/>
    </row>
    <row r="61" spans="1:14" ht="15.75" customHeight="1">
      <c r="A61" s="40">
        <v>18</v>
      </c>
      <c r="B61" s="93" t="s">
        <v>88</v>
      </c>
      <c r="C61" s="94" t="s">
        <v>26</v>
      </c>
      <c r="D61" s="93"/>
      <c r="E61" s="95">
        <v>270</v>
      </c>
      <c r="F61" s="96">
        <v>2400</v>
      </c>
      <c r="G61" s="97">
        <v>1.4</v>
      </c>
      <c r="H61" s="98">
        <f>F61*G61</f>
        <v>3360</v>
      </c>
      <c r="I61" s="13">
        <f>F61/12*G61</f>
        <v>280</v>
      </c>
      <c r="J61" s="23"/>
      <c r="L61" s="19"/>
      <c r="M61" s="20"/>
      <c r="N61" s="21"/>
    </row>
    <row r="62" spans="1:14" ht="15.75" customHeight="1">
      <c r="A62" s="40"/>
      <c r="B62" s="185" t="s">
        <v>44</v>
      </c>
      <c r="C62" s="16"/>
      <c r="D62" s="37"/>
      <c r="E62" s="15"/>
      <c r="F62" s="15"/>
      <c r="G62" s="29"/>
      <c r="H62" s="29"/>
      <c r="I62" s="18"/>
      <c r="J62" s="23"/>
      <c r="L62" s="19"/>
    </row>
    <row r="63" spans="1:14" ht="15.75" customHeight="1">
      <c r="A63" s="40">
        <v>19</v>
      </c>
      <c r="B63" s="151" t="s">
        <v>45</v>
      </c>
      <c r="C63" s="38" t="s">
        <v>111</v>
      </c>
      <c r="D63" s="37" t="s">
        <v>279</v>
      </c>
      <c r="E63" s="17">
        <v>40</v>
      </c>
      <c r="F63" s="139">
        <f>E63</f>
        <v>40</v>
      </c>
      <c r="G63" s="36">
        <v>303.35000000000002</v>
      </c>
      <c r="H63" s="100">
        <f t="shared" ref="H63:H70" si="10">SUM(F63*G63/1000)</f>
        <v>12.134</v>
      </c>
      <c r="I63" s="13">
        <f>G63*14</f>
        <v>4246.9000000000005</v>
      </c>
    </row>
    <row r="64" spans="1:14" ht="15.75" hidden="1" customHeight="1">
      <c r="A64" s="29">
        <v>29</v>
      </c>
      <c r="B64" s="99" t="s">
        <v>46</v>
      </c>
      <c r="C64" s="16" t="s">
        <v>111</v>
      </c>
      <c r="D64" s="99" t="s">
        <v>65</v>
      </c>
      <c r="E64" s="18">
        <v>20</v>
      </c>
      <c r="F64" s="85">
        <v>20</v>
      </c>
      <c r="G64" s="13">
        <v>76.25</v>
      </c>
      <c r="H64" s="100">
        <f t="shared" si="10"/>
        <v>1.5249999999999999</v>
      </c>
      <c r="I64" s="13">
        <v>0</v>
      </c>
    </row>
    <row r="65" spans="1:22" ht="15.75" hidden="1" customHeight="1">
      <c r="A65" s="29">
        <v>25</v>
      </c>
      <c r="B65" s="99" t="s">
        <v>47</v>
      </c>
      <c r="C65" s="16" t="s">
        <v>114</v>
      </c>
      <c r="D65" s="99" t="s">
        <v>52</v>
      </c>
      <c r="E65" s="84">
        <v>18890</v>
      </c>
      <c r="F65" s="13">
        <f>SUM(E65/100)</f>
        <v>188.9</v>
      </c>
      <c r="G65" s="13">
        <v>212.15</v>
      </c>
      <c r="H65" s="100">
        <f t="shared" si="10"/>
        <v>40.075135000000003</v>
      </c>
      <c r="I65" s="13">
        <f>F65*G65</f>
        <v>40075.135000000002</v>
      </c>
    </row>
    <row r="66" spans="1:22" ht="15.75" hidden="1" customHeight="1">
      <c r="A66" s="29">
        <v>26</v>
      </c>
      <c r="B66" s="99" t="s">
        <v>48</v>
      </c>
      <c r="C66" s="16" t="s">
        <v>115</v>
      </c>
      <c r="D66" s="99"/>
      <c r="E66" s="84">
        <v>18890</v>
      </c>
      <c r="F66" s="13">
        <f>SUM(E66/1000)</f>
        <v>18.89</v>
      </c>
      <c r="G66" s="13">
        <v>165.21</v>
      </c>
      <c r="H66" s="100">
        <f t="shared" si="10"/>
        <v>3.1208169000000003</v>
      </c>
      <c r="I66" s="13">
        <f t="shared" ref="I66:I69" si="11">F66*G66</f>
        <v>3120.8169000000003</v>
      </c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9"/>
    </row>
    <row r="67" spans="1:22" ht="15.75" hidden="1" customHeight="1">
      <c r="A67" s="29">
        <v>27</v>
      </c>
      <c r="B67" s="99" t="s">
        <v>49</v>
      </c>
      <c r="C67" s="16" t="s">
        <v>75</v>
      </c>
      <c r="D67" s="99" t="s">
        <v>52</v>
      </c>
      <c r="E67" s="84">
        <v>3004</v>
      </c>
      <c r="F67" s="13">
        <f>SUM(E67/100)</f>
        <v>30.04</v>
      </c>
      <c r="G67" s="13">
        <v>2074.63</v>
      </c>
      <c r="H67" s="100">
        <f t="shared" si="10"/>
        <v>62.321885200000004</v>
      </c>
      <c r="I67" s="13">
        <f t="shared" si="11"/>
        <v>62321.885200000004</v>
      </c>
      <c r="J67" s="25"/>
      <c r="K67" s="25"/>
      <c r="L67" s="3"/>
      <c r="M67" s="3"/>
      <c r="N67" s="3"/>
      <c r="O67" s="3"/>
      <c r="P67" s="3"/>
      <c r="Q67" s="3"/>
      <c r="R67" s="3"/>
      <c r="S67" s="3"/>
      <c r="T67" s="3"/>
      <c r="U67" s="3"/>
    </row>
    <row r="68" spans="1:22" ht="15.75" hidden="1" customHeight="1">
      <c r="A68" s="29">
        <v>28</v>
      </c>
      <c r="B68" s="101" t="s">
        <v>116</v>
      </c>
      <c r="C68" s="16" t="s">
        <v>33</v>
      </c>
      <c r="D68" s="99"/>
      <c r="E68" s="84">
        <v>15.8</v>
      </c>
      <c r="F68" s="13">
        <f>SUM(E68)</f>
        <v>15.8</v>
      </c>
      <c r="G68" s="13">
        <v>42.67</v>
      </c>
      <c r="H68" s="100">
        <f t="shared" si="10"/>
        <v>0.67418600000000006</v>
      </c>
      <c r="I68" s="13">
        <f t="shared" si="11"/>
        <v>674.18600000000004</v>
      </c>
      <c r="J68" s="3"/>
      <c r="K68" s="3"/>
      <c r="L68" s="3"/>
      <c r="M68" s="3"/>
      <c r="N68" s="3"/>
      <c r="O68" s="3"/>
      <c r="P68" s="3"/>
      <c r="Q68" s="3"/>
      <c r="S68" s="3"/>
      <c r="T68" s="3"/>
      <c r="U68" s="3"/>
    </row>
    <row r="69" spans="1:22" ht="15.75" hidden="1" customHeight="1">
      <c r="A69" s="29">
        <v>29</v>
      </c>
      <c r="B69" s="101" t="s">
        <v>117</v>
      </c>
      <c r="C69" s="16" t="s">
        <v>33</v>
      </c>
      <c r="D69" s="99"/>
      <c r="E69" s="84">
        <v>15.8</v>
      </c>
      <c r="F69" s="13">
        <f>SUM(E69)</f>
        <v>15.8</v>
      </c>
      <c r="G69" s="13">
        <v>39.81</v>
      </c>
      <c r="H69" s="100">
        <f t="shared" si="10"/>
        <v>0.62899800000000006</v>
      </c>
      <c r="I69" s="13">
        <f t="shared" si="11"/>
        <v>628.99800000000005</v>
      </c>
      <c r="J69" s="5"/>
      <c r="K69" s="5"/>
      <c r="L69" s="5"/>
      <c r="M69" s="5"/>
      <c r="N69" s="5"/>
      <c r="O69" s="5"/>
      <c r="P69" s="5"/>
      <c r="Q69" s="5"/>
      <c r="R69" s="199"/>
      <c r="S69" s="199"/>
      <c r="T69" s="199"/>
      <c r="U69" s="199"/>
    </row>
    <row r="70" spans="1:22" ht="15.75" customHeight="1">
      <c r="A70" s="29">
        <v>20</v>
      </c>
      <c r="B70" s="37" t="s">
        <v>55</v>
      </c>
      <c r="C70" s="38" t="s">
        <v>56</v>
      </c>
      <c r="D70" s="37" t="s">
        <v>233</v>
      </c>
      <c r="E70" s="17">
        <v>8</v>
      </c>
      <c r="F70" s="139">
        <f>E70</f>
        <v>8</v>
      </c>
      <c r="G70" s="36">
        <v>68.040000000000006</v>
      </c>
      <c r="H70" s="100">
        <f t="shared" si="10"/>
        <v>0.54432000000000003</v>
      </c>
      <c r="I70" s="13">
        <f>G70*15</f>
        <v>1020.6000000000001</v>
      </c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1" spans="1:22" ht="15.75" hidden="1" customHeight="1">
      <c r="A71" s="186"/>
      <c r="B71" s="185" t="s">
        <v>118</v>
      </c>
      <c r="C71" s="185"/>
      <c r="D71" s="185"/>
      <c r="E71" s="185"/>
      <c r="F71" s="185"/>
      <c r="G71" s="185"/>
      <c r="H71" s="185"/>
      <c r="I71" s="18"/>
    </row>
    <row r="72" spans="1:22" ht="15.75" hidden="1" customHeight="1">
      <c r="A72" s="29">
        <v>11</v>
      </c>
      <c r="B72" s="82" t="s">
        <v>119</v>
      </c>
      <c r="C72" s="16"/>
      <c r="D72" s="99"/>
      <c r="E72" s="77"/>
      <c r="F72" s="13">
        <v>1</v>
      </c>
      <c r="G72" s="13">
        <v>27865.200000000001</v>
      </c>
      <c r="H72" s="100">
        <f>G72*F72/1000</f>
        <v>27.865200000000002</v>
      </c>
      <c r="I72" s="13">
        <f>G72</f>
        <v>27865.200000000001</v>
      </c>
    </row>
    <row r="73" spans="1:22" ht="18" customHeight="1">
      <c r="A73" s="29"/>
      <c r="B73" s="48" t="s">
        <v>70</v>
      </c>
      <c r="C73" s="48"/>
      <c r="D73" s="48"/>
      <c r="E73" s="18"/>
      <c r="F73" s="18"/>
      <c r="G73" s="29"/>
      <c r="H73" s="29"/>
      <c r="I73" s="18"/>
    </row>
    <row r="74" spans="1:22" ht="18" hidden="1" customHeight="1">
      <c r="A74" s="29">
        <v>17</v>
      </c>
      <c r="B74" s="99" t="s">
        <v>71</v>
      </c>
      <c r="C74" s="16" t="s">
        <v>73</v>
      </c>
      <c r="D74" s="99"/>
      <c r="E74" s="18">
        <v>10</v>
      </c>
      <c r="F74" s="13">
        <v>1</v>
      </c>
      <c r="G74" s="13">
        <v>501.62</v>
      </c>
      <c r="H74" s="100">
        <f t="shared" ref="H74:H78" si="12">SUM(F74*G74/1000)</f>
        <v>0.50161999999999995</v>
      </c>
      <c r="I74" s="13">
        <f>G74*0.2</f>
        <v>100.32400000000001</v>
      </c>
    </row>
    <row r="75" spans="1:22" ht="30" hidden="1" customHeight="1">
      <c r="A75" s="29"/>
      <c r="B75" s="99" t="s">
        <v>132</v>
      </c>
      <c r="C75" s="16" t="s">
        <v>31</v>
      </c>
      <c r="D75" s="99"/>
      <c r="E75" s="18">
        <v>1</v>
      </c>
      <c r="F75" s="13">
        <v>1</v>
      </c>
      <c r="G75" s="13">
        <v>99.85</v>
      </c>
      <c r="H75" s="100">
        <f>F75*G75/1000</f>
        <v>9.9849999999999994E-2</v>
      </c>
      <c r="I75" s="13">
        <v>0</v>
      </c>
    </row>
    <row r="76" spans="1:22" ht="32.25" hidden="1" customHeight="1">
      <c r="A76" s="29"/>
      <c r="B76" s="99" t="s">
        <v>133</v>
      </c>
      <c r="C76" s="16" t="s">
        <v>31</v>
      </c>
      <c r="D76" s="99"/>
      <c r="E76" s="18">
        <v>1</v>
      </c>
      <c r="F76" s="13">
        <v>1</v>
      </c>
      <c r="G76" s="13">
        <v>120.26</v>
      </c>
      <c r="H76" s="100">
        <f>F76*G76/1000</f>
        <v>0.12026000000000001</v>
      </c>
      <c r="I76" s="13">
        <v>0</v>
      </c>
    </row>
    <row r="77" spans="1:22" ht="33.75" hidden="1" customHeight="1">
      <c r="A77" s="29">
        <v>19</v>
      </c>
      <c r="B77" s="99" t="s">
        <v>72</v>
      </c>
      <c r="C77" s="16" t="s">
        <v>31</v>
      </c>
      <c r="D77" s="99"/>
      <c r="E77" s="18">
        <v>2</v>
      </c>
      <c r="F77" s="97">
        <v>2</v>
      </c>
      <c r="G77" s="13">
        <v>852.99</v>
      </c>
      <c r="H77" s="100">
        <f>F77*G77/1000</f>
        <v>1.7059800000000001</v>
      </c>
      <c r="I77" s="13">
        <f>G77</f>
        <v>852.99</v>
      </c>
    </row>
    <row r="78" spans="1:22" ht="34.5" hidden="1" customHeight="1">
      <c r="A78" s="29">
        <v>10</v>
      </c>
      <c r="B78" s="99" t="s">
        <v>83</v>
      </c>
      <c r="C78" s="16" t="s">
        <v>111</v>
      </c>
      <c r="D78" s="99"/>
      <c r="E78" s="18">
        <v>1</v>
      </c>
      <c r="F78" s="85">
        <f>SUM(E78)</f>
        <v>1</v>
      </c>
      <c r="G78" s="13">
        <v>358.51</v>
      </c>
      <c r="H78" s="100">
        <f t="shared" si="12"/>
        <v>0.35851</v>
      </c>
      <c r="I78" s="13">
        <f>G78</f>
        <v>358.51</v>
      </c>
    </row>
    <row r="79" spans="1:22" ht="34.5" customHeight="1">
      <c r="A79" s="29">
        <v>21</v>
      </c>
      <c r="B79" s="37" t="s">
        <v>184</v>
      </c>
      <c r="C79" s="38" t="s">
        <v>111</v>
      </c>
      <c r="D79" s="37" t="s">
        <v>233</v>
      </c>
      <c r="E79" s="17">
        <v>1</v>
      </c>
      <c r="F79" s="36">
        <f>E79*12</f>
        <v>12</v>
      </c>
      <c r="G79" s="36">
        <v>55.55</v>
      </c>
      <c r="H79" s="100"/>
      <c r="I79" s="13">
        <f>G79*1</f>
        <v>55.55</v>
      </c>
    </row>
    <row r="80" spans="1:22" ht="18" customHeight="1">
      <c r="A80" s="29"/>
      <c r="B80" s="162" t="s">
        <v>181</v>
      </c>
      <c r="C80" s="38"/>
      <c r="D80" s="37"/>
      <c r="E80" s="17"/>
      <c r="F80" s="117"/>
      <c r="G80" s="36"/>
      <c r="H80" s="100"/>
      <c r="I80" s="13"/>
    </row>
    <row r="81" spans="1:9" ht="31.5" customHeight="1">
      <c r="A81" s="29">
        <v>22</v>
      </c>
      <c r="B81" s="37" t="s">
        <v>182</v>
      </c>
      <c r="C81" s="40" t="s">
        <v>183</v>
      </c>
      <c r="D81" s="37"/>
      <c r="E81" s="17">
        <v>5162.6000000000004</v>
      </c>
      <c r="F81" s="36">
        <f>E81*12</f>
        <v>61951.200000000004</v>
      </c>
      <c r="G81" s="36">
        <v>2.37</v>
      </c>
      <c r="H81" s="100"/>
      <c r="I81" s="13">
        <f>G81*F81/12</f>
        <v>12235.362000000001</v>
      </c>
    </row>
    <row r="82" spans="1:9" ht="30.75" hidden="1" customHeight="1">
      <c r="A82" s="29"/>
      <c r="B82" s="49" t="s">
        <v>74</v>
      </c>
      <c r="C82" s="38"/>
      <c r="D82" s="29"/>
      <c r="E82" s="18"/>
      <c r="F82" s="18"/>
      <c r="G82" s="36"/>
      <c r="H82" s="36"/>
      <c r="I82" s="18"/>
    </row>
    <row r="83" spans="1:9" ht="22.5" hidden="1" customHeight="1">
      <c r="A83" s="29">
        <v>39</v>
      </c>
      <c r="B83" s="51" t="s">
        <v>120</v>
      </c>
      <c r="C83" s="16" t="s">
        <v>75</v>
      </c>
      <c r="D83" s="99"/>
      <c r="E83" s="18"/>
      <c r="F83" s="13">
        <v>1.35</v>
      </c>
      <c r="G83" s="13">
        <v>2759.44</v>
      </c>
      <c r="H83" s="100">
        <f t="shared" ref="H83" si="13">SUM(F83*G83/1000)</f>
        <v>3.725244</v>
      </c>
      <c r="I83" s="13">
        <v>0</v>
      </c>
    </row>
    <row r="84" spans="1:9" ht="15.75" customHeight="1">
      <c r="A84" s="208" t="s">
        <v>139</v>
      </c>
      <c r="B84" s="209"/>
      <c r="C84" s="209"/>
      <c r="D84" s="209"/>
      <c r="E84" s="209"/>
      <c r="F84" s="209"/>
      <c r="G84" s="209"/>
      <c r="H84" s="209"/>
      <c r="I84" s="210"/>
    </row>
    <row r="85" spans="1:9" ht="15.75" customHeight="1">
      <c r="A85" s="29">
        <v>23</v>
      </c>
      <c r="B85" s="32" t="s">
        <v>121</v>
      </c>
      <c r="C85" s="38" t="s">
        <v>53</v>
      </c>
      <c r="D85" s="63"/>
      <c r="E85" s="36">
        <v>5162.6000000000004</v>
      </c>
      <c r="F85" s="36">
        <f>SUM(E85*12)</f>
        <v>61951.200000000004</v>
      </c>
      <c r="G85" s="36">
        <v>3.22</v>
      </c>
      <c r="H85" s="102">
        <f>SUM(F85*G85/1000)</f>
        <v>199.48286400000003</v>
      </c>
      <c r="I85" s="13">
        <f>F85/12*G85</f>
        <v>16623.572000000004</v>
      </c>
    </row>
    <row r="86" spans="1:9" ht="31.5" customHeight="1">
      <c r="A86" s="29">
        <v>24</v>
      </c>
      <c r="B86" s="37" t="s">
        <v>185</v>
      </c>
      <c r="C86" s="114" t="s">
        <v>186</v>
      </c>
      <c r="D86" s="37"/>
      <c r="E86" s="17">
        <v>5162.6000000000004</v>
      </c>
      <c r="F86" s="36">
        <f>E86*12</f>
        <v>61951.200000000004</v>
      </c>
      <c r="G86" s="36">
        <v>3.64</v>
      </c>
      <c r="H86" s="100">
        <f>F86*G86/1000</f>
        <v>225.50236800000002</v>
      </c>
      <c r="I86" s="13">
        <f>F86/12*G86</f>
        <v>18791.864000000001</v>
      </c>
    </row>
    <row r="87" spans="1:9" ht="15.75" customHeight="1">
      <c r="A87" s="186"/>
      <c r="B87" s="39" t="s">
        <v>78</v>
      </c>
      <c r="C87" s="40"/>
      <c r="D87" s="15"/>
      <c r="E87" s="15"/>
      <c r="F87" s="15"/>
      <c r="G87" s="18"/>
      <c r="H87" s="18"/>
      <c r="I87" s="31">
        <f>I86+I85+I81+I79+I70+I63+I61+I52+I51+I50+I49+I48+I47+I46+I45+I31+I30+I27+I21+I20+I18+I17+I16+I53</f>
        <v>127050.83096940001</v>
      </c>
    </row>
    <row r="88" spans="1:9" ht="15.75" customHeight="1">
      <c r="A88" s="211" t="s">
        <v>58</v>
      </c>
      <c r="B88" s="212"/>
      <c r="C88" s="212"/>
      <c r="D88" s="212"/>
      <c r="E88" s="212"/>
      <c r="F88" s="212"/>
      <c r="G88" s="212"/>
      <c r="H88" s="212"/>
      <c r="I88" s="213"/>
    </row>
    <row r="89" spans="1:9" ht="15.75" customHeight="1">
      <c r="A89" s="29">
        <v>25</v>
      </c>
      <c r="B89" s="66" t="s">
        <v>160</v>
      </c>
      <c r="C89" s="67" t="s">
        <v>111</v>
      </c>
      <c r="D89" s="64"/>
      <c r="E89" s="36"/>
      <c r="F89" s="36">
        <v>7</v>
      </c>
      <c r="G89" s="36">
        <v>207.55</v>
      </c>
      <c r="H89" s="102">
        <f t="shared" ref="H89:H91" si="14">G89*F89/1000</f>
        <v>1.4528500000000002</v>
      </c>
      <c r="I89" s="13">
        <f>G89*1</f>
        <v>207.55</v>
      </c>
    </row>
    <row r="90" spans="1:9" ht="18.75" customHeight="1">
      <c r="A90" s="29">
        <v>26</v>
      </c>
      <c r="B90" s="66" t="s">
        <v>280</v>
      </c>
      <c r="C90" s="67" t="s">
        <v>80</v>
      </c>
      <c r="D90" s="51"/>
      <c r="E90" s="36"/>
      <c r="F90" s="36">
        <v>35</v>
      </c>
      <c r="G90" s="36">
        <v>259.52999999999997</v>
      </c>
      <c r="H90" s="102">
        <f t="shared" si="14"/>
        <v>9.0835499999999989</v>
      </c>
      <c r="I90" s="13">
        <f>G90*1</f>
        <v>259.52999999999997</v>
      </c>
    </row>
    <row r="91" spans="1:9" ht="31.5" customHeight="1">
      <c r="A91" s="29">
        <v>27</v>
      </c>
      <c r="B91" s="66" t="s">
        <v>134</v>
      </c>
      <c r="C91" s="67" t="s">
        <v>37</v>
      </c>
      <c r="D91" s="51"/>
      <c r="E91" s="13"/>
      <c r="F91" s="13">
        <v>7</v>
      </c>
      <c r="G91" s="36">
        <v>3914.31</v>
      </c>
      <c r="H91" s="100">
        <f t="shared" si="14"/>
        <v>27.400169999999999</v>
      </c>
      <c r="I91" s="13">
        <f>G91*0.03</f>
        <v>117.4293</v>
      </c>
    </row>
    <row r="92" spans="1:9" ht="31.5" customHeight="1">
      <c r="A92" s="29">
        <v>28</v>
      </c>
      <c r="B92" s="66" t="s">
        <v>147</v>
      </c>
      <c r="C92" s="67" t="s">
        <v>148</v>
      </c>
      <c r="D92" s="64"/>
      <c r="E92" s="36"/>
      <c r="F92" s="36">
        <v>9</v>
      </c>
      <c r="G92" s="36">
        <v>59.21</v>
      </c>
      <c r="H92" s="102">
        <f>G92*F92/1000</f>
        <v>0.53288999999999997</v>
      </c>
      <c r="I92" s="13">
        <f>G92*2</f>
        <v>118.42</v>
      </c>
    </row>
    <row r="93" spans="1:9" ht="20.25" hidden="1" customHeight="1">
      <c r="A93" s="29">
        <v>23</v>
      </c>
      <c r="B93" s="55"/>
      <c r="C93" s="65"/>
      <c r="D93" s="51"/>
      <c r="E93" s="13"/>
      <c r="F93" s="13">
        <v>0.11</v>
      </c>
      <c r="G93" s="13"/>
      <c r="H93" s="100">
        <f>G93*F93/1000</f>
        <v>0</v>
      </c>
      <c r="I93" s="13"/>
    </row>
    <row r="94" spans="1:9" ht="15.75" hidden="1" customHeight="1">
      <c r="A94" s="29">
        <v>24</v>
      </c>
      <c r="B94" s="55"/>
      <c r="C94" s="65"/>
      <c r="D94" s="51"/>
      <c r="E94" s="36"/>
      <c r="F94" s="36">
        <v>15</v>
      </c>
      <c r="G94" s="36"/>
      <c r="H94" s="102">
        <f t="shared" ref="H94" si="15">G94*F94/1000</f>
        <v>0</v>
      </c>
      <c r="I94" s="13"/>
    </row>
    <row r="95" spans="1:9" ht="19.5" hidden="1" customHeight="1">
      <c r="A95" s="29">
        <v>25</v>
      </c>
      <c r="B95" s="55"/>
      <c r="C95" s="65"/>
      <c r="D95" s="64"/>
      <c r="E95" s="36"/>
      <c r="F95" s="36">
        <v>4</v>
      </c>
      <c r="G95" s="36"/>
      <c r="H95" s="102">
        <f>G95*F95/1000</f>
        <v>0</v>
      </c>
      <c r="I95" s="13"/>
    </row>
    <row r="96" spans="1:9" ht="15.75" hidden="1" customHeight="1">
      <c r="A96" s="29">
        <v>26</v>
      </c>
      <c r="B96" s="66"/>
      <c r="C96" s="67"/>
      <c r="D96" s="64"/>
      <c r="E96" s="36"/>
      <c r="F96" s="36">
        <v>1</v>
      </c>
      <c r="G96" s="36"/>
      <c r="H96" s="100">
        <f t="shared" ref="H96:H99" si="16">G96*F96/1000</f>
        <v>0</v>
      </c>
      <c r="I96" s="13"/>
    </row>
    <row r="97" spans="1:9" ht="15" hidden="1" customHeight="1">
      <c r="A97" s="29">
        <v>27</v>
      </c>
      <c r="B97" s="66"/>
      <c r="C97" s="67"/>
      <c r="D97" s="64"/>
      <c r="E97" s="36"/>
      <c r="F97" s="36">
        <f>1.25/10</f>
        <v>0.125</v>
      </c>
      <c r="G97" s="36"/>
      <c r="H97" s="100">
        <f t="shared" si="16"/>
        <v>0</v>
      </c>
      <c r="I97" s="13"/>
    </row>
    <row r="98" spans="1:9" ht="21" hidden="1" customHeight="1">
      <c r="A98" s="29">
        <v>28</v>
      </c>
      <c r="B98" s="66"/>
      <c r="C98" s="105"/>
      <c r="D98" s="64"/>
      <c r="E98" s="36"/>
      <c r="F98" s="36">
        <f>3/10</f>
        <v>0.3</v>
      </c>
      <c r="G98" s="36"/>
      <c r="H98" s="100">
        <f t="shared" si="16"/>
        <v>0</v>
      </c>
      <c r="I98" s="13"/>
    </row>
    <row r="99" spans="1:9" ht="15.75" hidden="1" customHeight="1">
      <c r="A99" s="29">
        <v>29</v>
      </c>
      <c r="B99" s="66"/>
      <c r="C99" s="67"/>
      <c r="D99" s="64"/>
      <c r="E99" s="36"/>
      <c r="F99" s="36">
        <f>0.8/10</f>
        <v>0.08</v>
      </c>
      <c r="G99" s="36"/>
      <c r="H99" s="100">
        <f t="shared" si="16"/>
        <v>0</v>
      </c>
      <c r="I99" s="13"/>
    </row>
    <row r="100" spans="1:9" ht="15.75" customHeight="1">
      <c r="A100" s="29">
        <v>29</v>
      </c>
      <c r="B100" s="66" t="s">
        <v>281</v>
      </c>
      <c r="C100" s="67" t="s">
        <v>111</v>
      </c>
      <c r="D100" s="64"/>
      <c r="E100" s="36"/>
      <c r="F100" s="36"/>
      <c r="G100" s="36">
        <v>87.32</v>
      </c>
      <c r="H100" s="100"/>
      <c r="I100" s="13">
        <f>G100*1</f>
        <v>87.32</v>
      </c>
    </row>
    <row r="101" spans="1:9" ht="15.75" customHeight="1">
      <c r="A101" s="29">
        <v>30</v>
      </c>
      <c r="B101" s="66" t="s">
        <v>194</v>
      </c>
      <c r="C101" s="67" t="s">
        <v>171</v>
      </c>
      <c r="D101" s="64"/>
      <c r="E101" s="36"/>
      <c r="F101" s="36"/>
      <c r="G101" s="36">
        <v>273</v>
      </c>
      <c r="H101" s="100"/>
      <c r="I101" s="13">
        <f>G101*8</f>
        <v>2184</v>
      </c>
    </row>
    <row r="102" spans="1:9" ht="29.25" customHeight="1">
      <c r="A102" s="29">
        <v>31</v>
      </c>
      <c r="B102" s="66" t="s">
        <v>190</v>
      </c>
      <c r="C102" s="67" t="s">
        <v>171</v>
      </c>
      <c r="D102" s="37" t="s">
        <v>282</v>
      </c>
      <c r="E102" s="36"/>
      <c r="F102" s="36"/>
      <c r="G102" s="126">
        <v>1367</v>
      </c>
      <c r="H102" s="100"/>
      <c r="I102" s="13">
        <f>G102*8</f>
        <v>10936</v>
      </c>
    </row>
    <row r="103" spans="1:9" ht="18" customHeight="1">
      <c r="A103" s="29">
        <v>32</v>
      </c>
      <c r="B103" s="66" t="s">
        <v>322</v>
      </c>
      <c r="C103" s="67" t="s">
        <v>26</v>
      </c>
      <c r="D103" s="37"/>
      <c r="E103" s="36"/>
      <c r="F103" s="36">
        <v>1</v>
      </c>
      <c r="G103" s="36">
        <v>3904</v>
      </c>
      <c r="H103" s="100"/>
      <c r="I103" s="13">
        <f>G103*18</f>
        <v>70272</v>
      </c>
    </row>
    <row r="104" spans="1:9" ht="15.75" customHeight="1">
      <c r="A104" s="29"/>
      <c r="B104" s="45" t="s">
        <v>50</v>
      </c>
      <c r="C104" s="41"/>
      <c r="D104" s="53"/>
      <c r="E104" s="41">
        <v>1</v>
      </c>
      <c r="F104" s="41"/>
      <c r="G104" s="41"/>
      <c r="H104" s="41"/>
      <c r="I104" s="31">
        <f>SUM(I89:I103)</f>
        <v>84182.249299999996</v>
      </c>
    </row>
    <row r="105" spans="1:9" ht="15.75" customHeight="1">
      <c r="A105" s="29"/>
      <c r="B105" s="51" t="s">
        <v>76</v>
      </c>
      <c r="C105" s="15"/>
      <c r="D105" s="15"/>
      <c r="E105" s="42"/>
      <c r="F105" s="42"/>
      <c r="G105" s="43"/>
      <c r="H105" s="43"/>
      <c r="I105" s="17">
        <v>0</v>
      </c>
    </row>
    <row r="106" spans="1:9" ht="15.75" customHeight="1">
      <c r="A106" s="54"/>
      <c r="B106" s="46" t="s">
        <v>144</v>
      </c>
      <c r="C106" s="34"/>
      <c r="D106" s="34"/>
      <c r="E106" s="34"/>
      <c r="F106" s="34"/>
      <c r="G106" s="34"/>
      <c r="H106" s="34"/>
      <c r="I106" s="44">
        <f>I87+I104</f>
        <v>211233.0802694</v>
      </c>
    </row>
    <row r="107" spans="1:9" ht="15.75">
      <c r="A107" s="205" t="s">
        <v>329</v>
      </c>
      <c r="B107" s="205"/>
      <c r="C107" s="205"/>
      <c r="D107" s="205"/>
      <c r="E107" s="205"/>
      <c r="F107" s="205"/>
      <c r="G107" s="205"/>
      <c r="H107" s="205"/>
      <c r="I107" s="205"/>
    </row>
    <row r="108" spans="1:9" ht="15.75">
      <c r="A108" s="61"/>
      <c r="B108" s="206" t="s">
        <v>330</v>
      </c>
      <c r="C108" s="206"/>
      <c r="D108" s="206"/>
      <c r="E108" s="206"/>
      <c r="F108" s="206"/>
      <c r="G108" s="206"/>
      <c r="H108" s="80"/>
      <c r="I108" s="3"/>
    </row>
    <row r="109" spans="1:9">
      <c r="A109" s="74"/>
      <c r="B109" s="204" t="s">
        <v>6</v>
      </c>
      <c r="C109" s="204"/>
      <c r="D109" s="204"/>
      <c r="E109" s="204"/>
      <c r="F109" s="204"/>
      <c r="G109" s="204"/>
      <c r="H109" s="24"/>
      <c r="I109" s="5"/>
    </row>
    <row r="110" spans="1:9">
      <c r="A110" s="10"/>
      <c r="B110" s="10"/>
      <c r="C110" s="10"/>
      <c r="D110" s="10"/>
      <c r="E110" s="10"/>
      <c r="F110" s="10"/>
      <c r="G110" s="10"/>
      <c r="H110" s="10"/>
      <c r="I110" s="10"/>
    </row>
    <row r="111" spans="1:9" ht="15.75">
      <c r="A111" s="207" t="s">
        <v>7</v>
      </c>
      <c r="B111" s="207"/>
      <c r="C111" s="207"/>
      <c r="D111" s="207"/>
      <c r="E111" s="207"/>
      <c r="F111" s="207"/>
      <c r="G111" s="207"/>
      <c r="H111" s="207"/>
      <c r="I111" s="207"/>
    </row>
    <row r="112" spans="1:9" ht="15.75">
      <c r="A112" s="207" t="s">
        <v>8</v>
      </c>
      <c r="B112" s="207"/>
      <c r="C112" s="207"/>
      <c r="D112" s="207"/>
      <c r="E112" s="207"/>
      <c r="F112" s="207"/>
      <c r="G112" s="207"/>
      <c r="H112" s="207"/>
      <c r="I112" s="207"/>
    </row>
    <row r="113" spans="1:9" ht="15.75">
      <c r="A113" s="201" t="s">
        <v>59</v>
      </c>
      <c r="B113" s="201"/>
      <c r="C113" s="201"/>
      <c r="D113" s="201"/>
      <c r="E113" s="201"/>
      <c r="F113" s="201"/>
      <c r="G113" s="201"/>
      <c r="H113" s="201"/>
      <c r="I113" s="201"/>
    </row>
    <row r="114" spans="1:9" ht="15.75">
      <c r="A114" s="11"/>
    </row>
    <row r="115" spans="1:9" ht="15.75">
      <c r="A115" s="202" t="s">
        <v>9</v>
      </c>
      <c r="B115" s="202"/>
      <c r="C115" s="202"/>
      <c r="D115" s="202"/>
      <c r="E115" s="202"/>
      <c r="F115" s="202"/>
      <c r="G115" s="202"/>
      <c r="H115" s="202"/>
      <c r="I115" s="202"/>
    </row>
    <row r="116" spans="1:9" ht="15.75">
      <c r="A116" s="4"/>
    </row>
    <row r="117" spans="1:9" ht="15.75">
      <c r="B117" s="72" t="s">
        <v>10</v>
      </c>
      <c r="C117" s="203" t="s">
        <v>84</v>
      </c>
      <c r="D117" s="203"/>
      <c r="E117" s="203"/>
      <c r="F117" s="78"/>
      <c r="I117" s="73"/>
    </row>
    <row r="118" spans="1:9">
      <c r="A118" s="74"/>
      <c r="C118" s="204" t="s">
        <v>11</v>
      </c>
      <c r="D118" s="204"/>
      <c r="E118" s="204"/>
      <c r="F118" s="24"/>
      <c r="I118" s="71" t="s">
        <v>12</v>
      </c>
    </row>
    <row r="119" spans="1:9" ht="15.75">
      <c r="A119" s="25"/>
      <c r="C119" s="12"/>
      <c r="D119" s="12"/>
      <c r="G119" s="12"/>
      <c r="H119" s="12"/>
    </row>
    <row r="120" spans="1:9" ht="15.75">
      <c r="B120" s="72" t="s">
        <v>13</v>
      </c>
      <c r="C120" s="198"/>
      <c r="D120" s="198"/>
      <c r="E120" s="198"/>
      <c r="F120" s="79"/>
      <c r="I120" s="73"/>
    </row>
    <row r="121" spans="1:9">
      <c r="A121" s="74"/>
      <c r="C121" s="199" t="s">
        <v>11</v>
      </c>
      <c r="D121" s="199"/>
      <c r="E121" s="199"/>
      <c r="F121" s="74"/>
      <c r="I121" s="71" t="s">
        <v>12</v>
      </c>
    </row>
    <row r="122" spans="1:9" ht="15.75">
      <c r="A122" s="4" t="s">
        <v>14</v>
      </c>
    </row>
    <row r="123" spans="1:9">
      <c r="A123" s="200" t="s">
        <v>15</v>
      </c>
      <c r="B123" s="200"/>
      <c r="C123" s="200"/>
      <c r="D123" s="200"/>
      <c r="E123" s="200"/>
      <c r="F123" s="200"/>
      <c r="G123" s="200"/>
      <c r="H123" s="200"/>
      <c r="I123" s="200"/>
    </row>
    <row r="124" spans="1:9" ht="45" customHeight="1">
      <c r="A124" s="197" t="s">
        <v>16</v>
      </c>
      <c r="B124" s="197"/>
      <c r="C124" s="197"/>
      <c r="D124" s="197"/>
      <c r="E124" s="197"/>
      <c r="F124" s="197"/>
      <c r="G124" s="197"/>
      <c r="H124" s="197"/>
      <c r="I124" s="197"/>
    </row>
    <row r="125" spans="1:9" ht="30" customHeight="1">
      <c r="A125" s="197" t="s">
        <v>17</v>
      </c>
      <c r="B125" s="197"/>
      <c r="C125" s="197"/>
      <c r="D125" s="197"/>
      <c r="E125" s="197"/>
      <c r="F125" s="197"/>
      <c r="G125" s="197"/>
      <c r="H125" s="197"/>
      <c r="I125" s="197"/>
    </row>
    <row r="126" spans="1:9" ht="30" customHeight="1">
      <c r="A126" s="197" t="s">
        <v>21</v>
      </c>
      <c r="B126" s="197"/>
      <c r="C126" s="197"/>
      <c r="D126" s="197"/>
      <c r="E126" s="197"/>
      <c r="F126" s="197"/>
      <c r="G126" s="197"/>
      <c r="H126" s="197"/>
      <c r="I126" s="197"/>
    </row>
    <row r="127" spans="1:9" ht="15" customHeight="1">
      <c r="A127" s="197" t="s">
        <v>20</v>
      </c>
      <c r="B127" s="197"/>
      <c r="C127" s="197"/>
      <c r="D127" s="197"/>
      <c r="E127" s="197"/>
      <c r="F127" s="197"/>
      <c r="G127" s="197"/>
      <c r="H127" s="197"/>
      <c r="I127" s="197"/>
    </row>
  </sheetData>
  <autoFilter ref="I12:I64"/>
  <mergeCells count="29">
    <mergeCell ref="A14:I14"/>
    <mergeCell ref="A15:I15"/>
    <mergeCell ref="A28:I28"/>
    <mergeCell ref="A44:I44"/>
    <mergeCell ref="A54:I54"/>
    <mergeCell ref="A3:I3"/>
    <mergeCell ref="A4:I4"/>
    <mergeCell ref="A5:I5"/>
    <mergeCell ref="A8:I8"/>
    <mergeCell ref="A10:I10"/>
    <mergeCell ref="R69:U69"/>
    <mergeCell ref="C121:E121"/>
    <mergeCell ref="A88:I88"/>
    <mergeCell ref="A107:I107"/>
    <mergeCell ref="B108:G108"/>
    <mergeCell ref="B109:G109"/>
    <mergeCell ref="A111:I111"/>
    <mergeCell ref="A112:I112"/>
    <mergeCell ref="A113:I113"/>
    <mergeCell ref="A115:I115"/>
    <mergeCell ref="C117:E117"/>
    <mergeCell ref="C118:E118"/>
    <mergeCell ref="C120:E120"/>
    <mergeCell ref="A84:I84"/>
    <mergeCell ref="A123:I123"/>
    <mergeCell ref="A124:I124"/>
    <mergeCell ref="A125:I125"/>
    <mergeCell ref="A126:I126"/>
    <mergeCell ref="A127:I127"/>
  </mergeCells>
  <pageMargins left="0.70866141732283472" right="0.23622047244094491" top="0.27559055118110237" bottom="0.27559055118110237" header="0.31496062992125984" footer="0.31496062992125984"/>
  <pageSetup paperSize="9" scale="63" orientation="portrait" r:id="rId1"/>
  <rowBreaks count="1" manualBreakCount="1">
    <brk id="109" max="8" man="1"/>
  </rowBreaks>
  <colBreaks count="1" manualBreakCount="1">
    <brk id="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V130"/>
  <sheetViews>
    <sheetView topLeftCell="A87" workbookViewId="0">
      <selection activeCell="I113" sqref="I11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2.285156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170</v>
      </c>
      <c r="I1" s="26"/>
      <c r="J1" s="1"/>
      <c r="K1" s="1"/>
      <c r="L1" s="1"/>
      <c r="M1" s="1"/>
    </row>
    <row r="2" spans="1:13" ht="15.75" customHeight="1">
      <c r="A2" s="28" t="s">
        <v>60</v>
      </c>
      <c r="J2" s="2"/>
      <c r="K2" s="2"/>
      <c r="L2" s="2"/>
      <c r="M2" s="2"/>
    </row>
    <row r="3" spans="1:13" ht="15.75" customHeight="1">
      <c r="A3" s="214" t="s">
        <v>162</v>
      </c>
      <c r="B3" s="214"/>
      <c r="C3" s="214"/>
      <c r="D3" s="214"/>
      <c r="E3" s="214"/>
      <c r="F3" s="214"/>
      <c r="G3" s="214"/>
      <c r="H3" s="214"/>
      <c r="I3" s="214"/>
      <c r="J3" s="3"/>
      <c r="K3" s="3"/>
      <c r="L3" s="3"/>
    </row>
    <row r="4" spans="1:13" ht="31.5" customHeight="1">
      <c r="A4" s="215" t="s">
        <v>122</v>
      </c>
      <c r="B4" s="215"/>
      <c r="C4" s="215"/>
      <c r="D4" s="215"/>
      <c r="E4" s="215"/>
      <c r="F4" s="215"/>
      <c r="G4" s="215"/>
      <c r="H4" s="215"/>
      <c r="I4" s="215"/>
    </row>
    <row r="5" spans="1:13" ht="15.75" customHeight="1">
      <c r="A5" s="214" t="s">
        <v>283</v>
      </c>
      <c r="B5" s="218"/>
      <c r="C5" s="218"/>
      <c r="D5" s="218"/>
      <c r="E5" s="218"/>
      <c r="F5" s="218"/>
      <c r="G5" s="218"/>
      <c r="H5" s="218"/>
      <c r="I5" s="218"/>
      <c r="J5" s="2"/>
      <c r="K5" s="2"/>
      <c r="L5" s="2"/>
      <c r="M5" s="2"/>
    </row>
    <row r="6" spans="1:13" ht="15.75" customHeight="1">
      <c r="A6" s="2"/>
      <c r="B6" s="75"/>
      <c r="C6" s="75"/>
      <c r="D6" s="75"/>
      <c r="E6" s="75"/>
      <c r="F6" s="75"/>
      <c r="G6" s="75"/>
      <c r="H6" s="75"/>
      <c r="I6" s="30">
        <v>43769</v>
      </c>
      <c r="J6" s="2"/>
      <c r="K6" s="2"/>
      <c r="L6" s="2"/>
      <c r="M6" s="2"/>
    </row>
    <row r="7" spans="1:13" ht="15.75" customHeight="1">
      <c r="B7" s="72"/>
      <c r="C7" s="72"/>
      <c r="D7" s="72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16" t="s">
        <v>270</v>
      </c>
      <c r="B8" s="216"/>
      <c r="C8" s="216"/>
      <c r="D8" s="216"/>
      <c r="E8" s="216"/>
      <c r="F8" s="216"/>
      <c r="G8" s="216"/>
      <c r="H8" s="216"/>
      <c r="I8" s="216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17" t="s">
        <v>136</v>
      </c>
      <c r="B10" s="217"/>
      <c r="C10" s="217"/>
      <c r="D10" s="217"/>
      <c r="E10" s="217"/>
      <c r="F10" s="217"/>
      <c r="G10" s="217"/>
      <c r="H10" s="217"/>
      <c r="I10" s="217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219" t="s">
        <v>57</v>
      </c>
      <c r="B14" s="219"/>
      <c r="C14" s="219"/>
      <c r="D14" s="219"/>
      <c r="E14" s="219"/>
      <c r="F14" s="219"/>
      <c r="G14" s="219"/>
      <c r="H14" s="219"/>
      <c r="I14" s="219"/>
      <c r="J14" s="8"/>
      <c r="K14" s="8"/>
      <c r="L14" s="8"/>
      <c r="M14" s="8"/>
    </row>
    <row r="15" spans="1:13" ht="15.75" customHeight="1">
      <c r="A15" s="220" t="s">
        <v>4</v>
      </c>
      <c r="B15" s="220"/>
      <c r="C15" s="220"/>
      <c r="D15" s="220"/>
      <c r="E15" s="220"/>
      <c r="F15" s="220"/>
      <c r="G15" s="220"/>
      <c r="H15" s="220"/>
      <c r="I15" s="220"/>
      <c r="J15" s="8"/>
      <c r="K15" s="8"/>
      <c r="L15" s="8"/>
      <c r="M15" s="8"/>
    </row>
    <row r="16" spans="1:13" ht="15.75" customHeight="1">
      <c r="A16" s="29">
        <v>1</v>
      </c>
      <c r="B16" s="32" t="s">
        <v>82</v>
      </c>
      <c r="C16" s="138" t="s">
        <v>89</v>
      </c>
      <c r="D16" s="32" t="s">
        <v>230</v>
      </c>
      <c r="E16" s="152">
        <v>129.88</v>
      </c>
      <c r="F16" s="139">
        <f>SUM(E16*156/100)</f>
        <v>202.61279999999999</v>
      </c>
      <c r="G16" s="139">
        <v>239.2</v>
      </c>
      <c r="H16" s="86">
        <f t="shared" ref="H16:H26" si="0">SUM(F16*G16/1000)</f>
        <v>48.464981759999993</v>
      </c>
      <c r="I16" s="13">
        <f>F16/12*G16</f>
        <v>4038.7484799999997</v>
      </c>
      <c r="J16" s="8"/>
      <c r="K16" s="8"/>
      <c r="L16" s="8"/>
      <c r="M16" s="8"/>
    </row>
    <row r="17" spans="1:13" ht="15.75" customHeight="1">
      <c r="A17" s="29">
        <v>2</v>
      </c>
      <c r="B17" s="32" t="s">
        <v>85</v>
      </c>
      <c r="C17" s="138" t="s">
        <v>89</v>
      </c>
      <c r="D17" s="32" t="s">
        <v>231</v>
      </c>
      <c r="E17" s="152">
        <v>519.52</v>
      </c>
      <c r="F17" s="139">
        <f>SUM(E17*104/100)</f>
        <v>540.30079999999998</v>
      </c>
      <c r="G17" s="139">
        <v>239.2</v>
      </c>
      <c r="H17" s="86">
        <f t="shared" si="0"/>
        <v>129.23995135999999</v>
      </c>
      <c r="I17" s="13">
        <f>F17/12*G17</f>
        <v>10769.995946666666</v>
      </c>
      <c r="J17" s="22"/>
      <c r="K17" s="8"/>
      <c r="L17" s="8"/>
      <c r="M17" s="8"/>
    </row>
    <row r="18" spans="1:13" ht="15.75" customHeight="1">
      <c r="A18" s="29">
        <v>3</v>
      </c>
      <c r="B18" s="32" t="s">
        <v>86</v>
      </c>
      <c r="C18" s="138" t="s">
        <v>89</v>
      </c>
      <c r="D18" s="32" t="s">
        <v>232</v>
      </c>
      <c r="E18" s="152">
        <f>SUM(E16+E17)</f>
        <v>649.4</v>
      </c>
      <c r="F18" s="139">
        <f>SUM(E18*18/100)</f>
        <v>116.892</v>
      </c>
      <c r="G18" s="139">
        <v>688.14</v>
      </c>
      <c r="H18" s="86">
        <f t="shared" si="0"/>
        <v>80.438060879999995</v>
      </c>
      <c r="I18" s="13">
        <f>F18/12*G18</f>
        <v>6703.1717399999998</v>
      </c>
      <c r="J18" s="22"/>
      <c r="K18" s="8"/>
      <c r="L18" s="8"/>
      <c r="M18" s="8"/>
    </row>
    <row r="19" spans="1:13" ht="15.75" hidden="1" customHeight="1">
      <c r="A19" s="29">
        <v>4</v>
      </c>
      <c r="B19" s="82" t="s">
        <v>90</v>
      </c>
      <c r="C19" s="83" t="s">
        <v>91</v>
      </c>
      <c r="D19" s="82" t="s">
        <v>92</v>
      </c>
      <c r="E19" s="84">
        <v>124.8</v>
      </c>
      <c r="F19" s="85">
        <f>SUM(E19/10)</f>
        <v>12.48</v>
      </c>
      <c r="G19" s="85">
        <v>170.16</v>
      </c>
      <c r="H19" s="86">
        <f t="shared" si="0"/>
        <v>2.1235967999999996</v>
      </c>
      <c r="I19" s="13">
        <f>F19/2*G19</f>
        <v>1061.7983999999999</v>
      </c>
      <c r="J19" s="22"/>
      <c r="K19" s="8"/>
      <c r="L19" s="8"/>
      <c r="M19" s="8"/>
    </row>
    <row r="20" spans="1:13" ht="15.75" customHeight="1">
      <c r="A20" s="29">
        <v>4</v>
      </c>
      <c r="B20" s="32" t="s">
        <v>95</v>
      </c>
      <c r="C20" s="138" t="s">
        <v>89</v>
      </c>
      <c r="D20" s="32" t="s">
        <v>243</v>
      </c>
      <c r="E20" s="152">
        <v>57.5</v>
      </c>
      <c r="F20" s="139">
        <f>SUM(E20*12/100)</f>
        <v>6.9</v>
      </c>
      <c r="G20" s="139">
        <v>297.19</v>
      </c>
      <c r="H20" s="86">
        <f t="shared" si="0"/>
        <v>2.050611</v>
      </c>
      <c r="I20" s="13">
        <f>F20*G20/12</f>
        <v>170.88424999999998</v>
      </c>
      <c r="J20" s="22"/>
      <c r="K20" s="8"/>
      <c r="L20" s="8"/>
      <c r="M20" s="8"/>
    </row>
    <row r="21" spans="1:13" ht="15.75" customHeight="1">
      <c r="A21" s="29">
        <v>5</v>
      </c>
      <c r="B21" s="32" t="s">
        <v>96</v>
      </c>
      <c r="C21" s="138" t="s">
        <v>89</v>
      </c>
      <c r="D21" s="32" t="s">
        <v>243</v>
      </c>
      <c r="E21" s="152">
        <v>13.41</v>
      </c>
      <c r="F21" s="139">
        <f>SUM(E21*12/100)</f>
        <v>1.6092000000000002</v>
      </c>
      <c r="G21" s="139">
        <v>294.77999999999997</v>
      </c>
      <c r="H21" s="86">
        <f t="shared" si="0"/>
        <v>0.47435997600000002</v>
      </c>
      <c r="I21" s="13">
        <f>F21*G21/12</f>
        <v>39.529997999999999</v>
      </c>
      <c r="J21" s="22"/>
      <c r="K21" s="8"/>
      <c r="L21" s="8"/>
      <c r="M21" s="8"/>
    </row>
    <row r="22" spans="1:13" ht="15.75" hidden="1" customHeight="1">
      <c r="A22" s="29">
        <v>7</v>
      </c>
      <c r="B22" s="82" t="s">
        <v>97</v>
      </c>
      <c r="C22" s="83" t="s">
        <v>51</v>
      </c>
      <c r="D22" s="82" t="s">
        <v>92</v>
      </c>
      <c r="E22" s="84">
        <v>820.5</v>
      </c>
      <c r="F22" s="85">
        <f>SUM(E22/100)</f>
        <v>8.2050000000000001</v>
      </c>
      <c r="G22" s="85">
        <v>269.26</v>
      </c>
      <c r="H22" s="86">
        <f t="shared" si="0"/>
        <v>2.2092782999999998</v>
      </c>
      <c r="I22" s="13">
        <f t="shared" ref="I22:I26" si="1">F22*G22</f>
        <v>2209.2782999999999</v>
      </c>
      <c r="J22" s="22"/>
      <c r="K22" s="8"/>
      <c r="L22" s="8"/>
      <c r="M22" s="8"/>
    </row>
    <row r="23" spans="1:13" ht="15.75" hidden="1" customHeight="1">
      <c r="A23" s="29">
        <v>8</v>
      </c>
      <c r="B23" s="82" t="s">
        <v>98</v>
      </c>
      <c r="C23" s="83" t="s">
        <v>51</v>
      </c>
      <c r="D23" s="82" t="s">
        <v>92</v>
      </c>
      <c r="E23" s="87">
        <v>60.25</v>
      </c>
      <c r="F23" s="85">
        <f>SUM(E23/100)</f>
        <v>0.60250000000000004</v>
      </c>
      <c r="G23" s="85">
        <v>44.29</v>
      </c>
      <c r="H23" s="86">
        <f t="shared" si="0"/>
        <v>2.6684724999999999E-2</v>
      </c>
      <c r="I23" s="13">
        <f t="shared" si="1"/>
        <v>26.684725</v>
      </c>
      <c r="J23" s="22"/>
      <c r="K23" s="8"/>
      <c r="L23" s="8"/>
      <c r="M23" s="8"/>
    </row>
    <row r="24" spans="1:13" ht="15.75" hidden="1" customHeight="1">
      <c r="A24" s="29">
        <v>9</v>
      </c>
      <c r="B24" s="82" t="s">
        <v>93</v>
      </c>
      <c r="C24" s="83" t="s">
        <v>51</v>
      </c>
      <c r="D24" s="82" t="s">
        <v>94</v>
      </c>
      <c r="E24" s="84">
        <v>19.149999999999999</v>
      </c>
      <c r="F24" s="85">
        <f>E24/100</f>
        <v>0.19149999999999998</v>
      </c>
      <c r="G24" s="85">
        <v>389.72</v>
      </c>
      <c r="H24" s="86">
        <f t="shared" si="0"/>
        <v>7.4631379999999997E-2</v>
      </c>
      <c r="I24" s="13">
        <f t="shared" si="1"/>
        <v>74.631379999999993</v>
      </c>
      <c r="J24" s="22"/>
      <c r="K24" s="8"/>
      <c r="L24" s="8"/>
      <c r="M24" s="8"/>
    </row>
    <row r="25" spans="1:13" ht="15.75" hidden="1" customHeight="1">
      <c r="A25" s="29">
        <v>10</v>
      </c>
      <c r="B25" s="82" t="s">
        <v>100</v>
      </c>
      <c r="C25" s="83" t="s">
        <v>51</v>
      </c>
      <c r="D25" s="82" t="s">
        <v>52</v>
      </c>
      <c r="E25" s="84">
        <v>31.5</v>
      </c>
      <c r="F25" s="85">
        <v>0.32</v>
      </c>
      <c r="G25" s="85">
        <v>216.12</v>
      </c>
      <c r="H25" s="86">
        <f t="shared" si="0"/>
        <v>6.9158399999999995E-2</v>
      </c>
      <c r="I25" s="13">
        <f t="shared" si="1"/>
        <v>69.1584</v>
      </c>
      <c r="J25" s="22"/>
      <c r="K25" s="8"/>
      <c r="L25" s="8"/>
      <c r="M25" s="8"/>
    </row>
    <row r="26" spans="1:13" ht="15.75" hidden="1" customHeight="1">
      <c r="A26" s="29">
        <v>11</v>
      </c>
      <c r="B26" s="82" t="s">
        <v>99</v>
      </c>
      <c r="C26" s="83" t="s">
        <v>51</v>
      </c>
      <c r="D26" s="82" t="s">
        <v>92</v>
      </c>
      <c r="E26" s="84">
        <v>37.5</v>
      </c>
      <c r="F26" s="85">
        <f>SUM(E26/100)</f>
        <v>0.375</v>
      </c>
      <c r="G26" s="85">
        <v>520.79999999999995</v>
      </c>
      <c r="H26" s="86">
        <f t="shared" si="0"/>
        <v>0.19529999999999997</v>
      </c>
      <c r="I26" s="13">
        <f t="shared" si="1"/>
        <v>195.29999999999998</v>
      </c>
      <c r="J26" s="22"/>
      <c r="K26" s="8"/>
      <c r="L26" s="8"/>
      <c r="M26" s="8"/>
    </row>
    <row r="27" spans="1:13" ht="15.75" customHeight="1">
      <c r="A27" s="29">
        <v>6</v>
      </c>
      <c r="B27" s="32" t="s">
        <v>229</v>
      </c>
      <c r="C27" s="138" t="s">
        <v>26</v>
      </c>
      <c r="D27" s="32" t="s">
        <v>234</v>
      </c>
      <c r="E27" s="175">
        <v>4.88</v>
      </c>
      <c r="F27" s="139">
        <f>E27*258</f>
        <v>1259.04</v>
      </c>
      <c r="G27" s="139">
        <v>10.39</v>
      </c>
      <c r="H27" s="86">
        <f t="shared" ref="H27" si="2">SUM(F27*G27/1000)</f>
        <v>13.081425600000001</v>
      </c>
      <c r="I27" s="13">
        <f>F27/12*G27</f>
        <v>1090.1188</v>
      </c>
      <c r="J27" s="22"/>
      <c r="K27" s="8"/>
      <c r="L27" s="8"/>
      <c r="M27" s="8"/>
    </row>
    <row r="28" spans="1:13" ht="15.75" customHeight="1">
      <c r="A28" s="220" t="s">
        <v>81</v>
      </c>
      <c r="B28" s="220"/>
      <c r="C28" s="220"/>
      <c r="D28" s="220"/>
      <c r="E28" s="220"/>
      <c r="F28" s="220"/>
      <c r="G28" s="220"/>
      <c r="H28" s="220"/>
      <c r="I28" s="220"/>
      <c r="J28" s="22"/>
      <c r="K28" s="8"/>
      <c r="L28" s="8"/>
      <c r="M28" s="8"/>
    </row>
    <row r="29" spans="1:13" ht="15.75" customHeight="1">
      <c r="A29" s="40"/>
      <c r="B29" s="50" t="s">
        <v>29</v>
      </c>
      <c r="C29" s="50"/>
      <c r="D29" s="50"/>
      <c r="E29" s="50"/>
      <c r="F29" s="50"/>
      <c r="G29" s="50"/>
      <c r="H29" s="50"/>
      <c r="I29" s="18"/>
      <c r="J29" s="22"/>
      <c r="K29" s="8"/>
      <c r="L29" s="8"/>
      <c r="M29" s="8"/>
    </row>
    <row r="30" spans="1:13" ht="15.75" customHeight="1">
      <c r="A30" s="40">
        <v>7</v>
      </c>
      <c r="B30" s="32" t="s">
        <v>101</v>
      </c>
      <c r="C30" s="138" t="s">
        <v>102</v>
      </c>
      <c r="D30" s="32" t="s">
        <v>231</v>
      </c>
      <c r="E30" s="139">
        <v>1304.45</v>
      </c>
      <c r="F30" s="139">
        <f>SUM(E30*52/1000)</f>
        <v>67.831400000000002</v>
      </c>
      <c r="G30" s="139">
        <v>212.62</v>
      </c>
      <c r="H30" s="86">
        <f t="shared" ref="H30:H31" si="3">SUM(F30*G30/1000)</f>
        <v>14.422312268000001</v>
      </c>
      <c r="I30" s="13">
        <f>F30/6*G30</f>
        <v>2403.7187113333334</v>
      </c>
      <c r="J30" s="22"/>
      <c r="K30" s="8"/>
      <c r="L30" s="8"/>
      <c r="M30" s="8"/>
    </row>
    <row r="31" spans="1:13" ht="31.5" customHeight="1">
      <c r="A31" s="40">
        <v>8</v>
      </c>
      <c r="B31" s="32" t="s">
        <v>140</v>
      </c>
      <c r="C31" s="138" t="s">
        <v>102</v>
      </c>
      <c r="D31" s="32" t="s">
        <v>231</v>
      </c>
      <c r="E31" s="139">
        <v>287.83999999999997</v>
      </c>
      <c r="F31" s="139">
        <f>SUM(E31*52/1000)</f>
        <v>14.967679999999998</v>
      </c>
      <c r="G31" s="139">
        <v>352.77</v>
      </c>
      <c r="H31" s="86">
        <f t="shared" si="3"/>
        <v>5.2801484735999997</v>
      </c>
      <c r="I31" s="13">
        <f t="shared" ref="I31" si="4">F31/6*G31</f>
        <v>880.02474559999985</v>
      </c>
      <c r="J31" s="22"/>
      <c r="K31" s="8"/>
      <c r="L31" s="8"/>
      <c r="M31" s="8"/>
    </row>
    <row r="32" spans="1:13" ht="15.75" hidden="1" customHeight="1">
      <c r="A32" s="40">
        <v>16</v>
      </c>
      <c r="B32" s="82" t="s">
        <v>28</v>
      </c>
      <c r="C32" s="83" t="s">
        <v>102</v>
      </c>
      <c r="D32" s="82" t="s">
        <v>52</v>
      </c>
      <c r="E32" s="85">
        <v>1304.45</v>
      </c>
      <c r="F32" s="85">
        <f>SUM(E32/1000)</f>
        <v>1.3044500000000001</v>
      </c>
      <c r="G32" s="85">
        <v>3020.33</v>
      </c>
      <c r="H32" s="86">
        <f t="shared" ref="H32:H34" si="5">SUM(F32*G32/1000)</f>
        <v>3.9398694685</v>
      </c>
      <c r="I32" s="13">
        <f>F32*G32</f>
        <v>3939.8694685</v>
      </c>
      <c r="J32" s="22"/>
      <c r="K32" s="8"/>
      <c r="L32" s="8"/>
      <c r="M32" s="8"/>
    </row>
    <row r="33" spans="1:14" ht="15.75" customHeight="1">
      <c r="A33" s="40">
        <v>9</v>
      </c>
      <c r="B33" s="32" t="s">
        <v>63</v>
      </c>
      <c r="C33" s="138" t="s">
        <v>33</v>
      </c>
      <c r="D33" s="32"/>
      <c r="E33" s="152"/>
      <c r="F33" s="139">
        <v>2</v>
      </c>
      <c r="G33" s="139">
        <v>260.95</v>
      </c>
      <c r="H33" s="86">
        <f t="shared" si="5"/>
        <v>0.52190000000000003</v>
      </c>
      <c r="I33" s="13">
        <f>G33*1</f>
        <v>260.95</v>
      </c>
      <c r="J33" s="23"/>
    </row>
    <row r="34" spans="1:14" ht="15.75" hidden="1" customHeight="1">
      <c r="A34" s="29">
        <v>8</v>
      </c>
      <c r="B34" s="82" t="s">
        <v>64</v>
      </c>
      <c r="C34" s="83" t="s">
        <v>32</v>
      </c>
      <c r="D34" s="82" t="s">
        <v>65</v>
      </c>
      <c r="E34" s="84"/>
      <c r="F34" s="85">
        <v>2</v>
      </c>
      <c r="G34" s="85">
        <v>1136.32</v>
      </c>
      <c r="H34" s="86">
        <f t="shared" si="5"/>
        <v>2.27264</v>
      </c>
      <c r="I34" s="13">
        <v>0</v>
      </c>
      <c r="J34" s="23"/>
    </row>
    <row r="35" spans="1:14" ht="15.75" customHeight="1">
      <c r="A35" s="40"/>
      <c r="B35" s="48" t="s">
        <v>5</v>
      </c>
      <c r="C35" s="48"/>
      <c r="D35" s="48"/>
      <c r="E35" s="13"/>
      <c r="F35" s="13"/>
      <c r="G35" s="14"/>
      <c r="H35" s="14"/>
      <c r="I35" s="18"/>
      <c r="J35" s="23"/>
    </row>
    <row r="36" spans="1:14" ht="15.75" hidden="1" customHeight="1">
      <c r="A36" s="33">
        <v>6</v>
      </c>
      <c r="B36" s="82" t="s">
        <v>27</v>
      </c>
      <c r="C36" s="83" t="s">
        <v>32</v>
      </c>
      <c r="D36" s="82"/>
      <c r="E36" s="84"/>
      <c r="F36" s="85">
        <v>10</v>
      </c>
      <c r="G36" s="85">
        <v>1527.22</v>
      </c>
      <c r="H36" s="86">
        <f t="shared" ref="H36:H43" si="6">SUM(F36*G36/1000)</f>
        <v>15.272200000000002</v>
      </c>
      <c r="I36" s="13">
        <f>F36/6*G36</f>
        <v>2545.3666666666668</v>
      </c>
      <c r="J36" s="23"/>
    </row>
    <row r="37" spans="1:14" ht="15.75" hidden="1" customHeight="1">
      <c r="A37" s="33">
        <v>7</v>
      </c>
      <c r="B37" s="82" t="s">
        <v>123</v>
      </c>
      <c r="C37" s="83" t="s">
        <v>30</v>
      </c>
      <c r="D37" s="82" t="s">
        <v>124</v>
      </c>
      <c r="E37" s="85">
        <v>495</v>
      </c>
      <c r="F37" s="85">
        <f>SUM(E37*12/1000)</f>
        <v>5.94</v>
      </c>
      <c r="G37" s="85">
        <v>2102.71</v>
      </c>
      <c r="H37" s="86">
        <f t="shared" si="6"/>
        <v>12.4900974</v>
      </c>
      <c r="I37" s="13">
        <f>F37/6*G37</f>
        <v>2081.6829000000002</v>
      </c>
      <c r="J37" s="23"/>
    </row>
    <row r="38" spans="1:14" ht="15.75" hidden="1" customHeight="1">
      <c r="A38" s="33">
        <v>8</v>
      </c>
      <c r="B38" s="82" t="s">
        <v>125</v>
      </c>
      <c r="C38" s="83" t="s">
        <v>30</v>
      </c>
      <c r="D38" s="82" t="s">
        <v>106</v>
      </c>
      <c r="E38" s="84">
        <v>287.83999999999997</v>
      </c>
      <c r="F38" s="85">
        <v>8.64</v>
      </c>
      <c r="G38" s="85">
        <v>2102.71</v>
      </c>
      <c r="H38" s="86">
        <f>G38*F38/1000</f>
        <v>18.167414400000002</v>
      </c>
      <c r="I38" s="13">
        <f>F38/6*G38</f>
        <v>3027.9024000000004</v>
      </c>
      <c r="J38" s="23"/>
    </row>
    <row r="39" spans="1:14" ht="15.75" hidden="1" customHeight="1">
      <c r="A39" s="33">
        <v>7</v>
      </c>
      <c r="B39" s="82" t="s">
        <v>87</v>
      </c>
      <c r="C39" s="83" t="s">
        <v>126</v>
      </c>
      <c r="D39" s="82" t="s">
        <v>65</v>
      </c>
      <c r="E39" s="84"/>
      <c r="F39" s="85">
        <v>80</v>
      </c>
      <c r="G39" s="85">
        <v>199.44</v>
      </c>
      <c r="H39" s="86">
        <f>G39*F39/1000</f>
        <v>15.955200000000001</v>
      </c>
      <c r="I39" s="13">
        <v>0</v>
      </c>
      <c r="J39" s="23"/>
    </row>
    <row r="40" spans="1:14" ht="15.75" hidden="1" customHeight="1">
      <c r="A40" s="33">
        <v>9</v>
      </c>
      <c r="B40" s="82" t="s">
        <v>66</v>
      </c>
      <c r="C40" s="83" t="s">
        <v>30</v>
      </c>
      <c r="D40" s="82" t="s">
        <v>107</v>
      </c>
      <c r="E40" s="85">
        <v>287.83999999999997</v>
      </c>
      <c r="F40" s="85">
        <f>SUM(E40*155/1000)</f>
        <v>44.615199999999994</v>
      </c>
      <c r="G40" s="85">
        <v>350.75</v>
      </c>
      <c r="H40" s="86">
        <f t="shared" si="6"/>
        <v>15.648781399999997</v>
      </c>
      <c r="I40" s="13">
        <f>F40/6*G40</f>
        <v>2608.1302333333329</v>
      </c>
      <c r="J40" s="23"/>
    </row>
    <row r="41" spans="1:14" ht="47.25" hidden="1" customHeight="1">
      <c r="A41" s="33">
        <v>10</v>
      </c>
      <c r="B41" s="82" t="s">
        <v>79</v>
      </c>
      <c r="C41" s="83" t="s">
        <v>102</v>
      </c>
      <c r="D41" s="82" t="s">
        <v>127</v>
      </c>
      <c r="E41" s="85">
        <v>89.43</v>
      </c>
      <c r="F41" s="85">
        <f>SUM(E41*24/1000)</f>
        <v>2.1463200000000002</v>
      </c>
      <c r="G41" s="85">
        <v>5803.28</v>
      </c>
      <c r="H41" s="86">
        <f t="shared" si="6"/>
        <v>12.455695929600001</v>
      </c>
      <c r="I41" s="13">
        <f>F41/6*G41</f>
        <v>2075.9493216000001</v>
      </c>
      <c r="J41" s="23"/>
      <c r="L41" s="19"/>
      <c r="M41" s="20"/>
      <c r="N41" s="21"/>
    </row>
    <row r="42" spans="1:14" ht="15.75" hidden="1" customHeight="1">
      <c r="A42" s="33">
        <v>11</v>
      </c>
      <c r="B42" s="82" t="s">
        <v>108</v>
      </c>
      <c r="C42" s="83" t="s">
        <v>102</v>
      </c>
      <c r="D42" s="82" t="s">
        <v>67</v>
      </c>
      <c r="E42" s="85">
        <v>130.08000000000001</v>
      </c>
      <c r="F42" s="85">
        <f>SUM(E42*45/1000)</f>
        <v>5.8536000000000001</v>
      </c>
      <c r="G42" s="85">
        <v>428.7</v>
      </c>
      <c r="H42" s="86">
        <f t="shared" si="6"/>
        <v>2.5094383200000001</v>
      </c>
      <c r="I42" s="13">
        <f>F42/6*G42</f>
        <v>418.23971999999998</v>
      </c>
      <c r="J42" s="23"/>
      <c r="L42" s="19"/>
      <c r="M42" s="20"/>
      <c r="N42" s="21"/>
    </row>
    <row r="43" spans="1:14" ht="15.75" hidden="1" customHeight="1">
      <c r="A43" s="33">
        <v>12</v>
      </c>
      <c r="B43" s="82" t="s">
        <v>68</v>
      </c>
      <c r="C43" s="83" t="s">
        <v>33</v>
      </c>
      <c r="D43" s="82"/>
      <c r="E43" s="84"/>
      <c r="F43" s="85">
        <v>0.9</v>
      </c>
      <c r="G43" s="85">
        <v>798</v>
      </c>
      <c r="H43" s="86">
        <f t="shared" si="6"/>
        <v>0.71820000000000006</v>
      </c>
      <c r="I43" s="13">
        <f>F43/6*G43</f>
        <v>119.69999999999999</v>
      </c>
      <c r="J43" s="23"/>
      <c r="L43" s="19"/>
      <c r="M43" s="20"/>
      <c r="N43" s="21"/>
    </row>
    <row r="44" spans="1:14" ht="27.75" customHeight="1">
      <c r="A44" s="195">
        <v>10</v>
      </c>
      <c r="B44" s="155" t="s">
        <v>179</v>
      </c>
      <c r="C44" s="156" t="s">
        <v>102</v>
      </c>
      <c r="D44" s="155" t="s">
        <v>243</v>
      </c>
      <c r="E44" s="158">
        <v>0.6</v>
      </c>
      <c r="F44" s="157">
        <v>0.01</v>
      </c>
      <c r="G44" s="157">
        <v>18798.34</v>
      </c>
      <c r="H44" s="97"/>
      <c r="I44" s="196">
        <f>G44*0.6/1000</f>
        <v>11.279003999999999</v>
      </c>
      <c r="J44" s="23"/>
      <c r="L44" s="19"/>
      <c r="M44" s="20"/>
      <c r="N44" s="21"/>
    </row>
    <row r="45" spans="1:14" ht="15.75" hidden="1" customHeight="1">
      <c r="A45" s="224" t="s">
        <v>137</v>
      </c>
      <c r="B45" s="225"/>
      <c r="C45" s="225"/>
      <c r="D45" s="225"/>
      <c r="E45" s="225"/>
      <c r="F45" s="225"/>
      <c r="G45" s="225"/>
      <c r="H45" s="225"/>
      <c r="I45" s="226"/>
      <c r="J45" s="23"/>
      <c r="L45" s="19"/>
      <c r="M45" s="20"/>
      <c r="N45" s="21"/>
    </row>
    <row r="46" spans="1:14" ht="15.75" hidden="1" customHeight="1">
      <c r="A46" s="40">
        <v>9</v>
      </c>
      <c r="B46" s="82" t="s">
        <v>128</v>
      </c>
      <c r="C46" s="83" t="s">
        <v>102</v>
      </c>
      <c r="D46" s="82" t="s">
        <v>41</v>
      </c>
      <c r="E46" s="84">
        <v>1369</v>
      </c>
      <c r="F46" s="85">
        <f>SUM(E46*2/1000)</f>
        <v>2.738</v>
      </c>
      <c r="G46" s="13">
        <v>849.49</v>
      </c>
      <c r="H46" s="86">
        <f t="shared" ref="H46:H54" si="7">SUM(F46*G46/1000)</f>
        <v>2.3259036200000001</v>
      </c>
      <c r="I46" s="13">
        <f t="shared" ref="I46:I48" si="8">F46/2*G46</f>
        <v>1162.95181</v>
      </c>
      <c r="J46" s="23"/>
      <c r="L46" s="19"/>
      <c r="M46" s="20"/>
      <c r="N46" s="21"/>
    </row>
    <row r="47" spans="1:14" ht="15.75" hidden="1" customHeight="1">
      <c r="A47" s="40">
        <v>10</v>
      </c>
      <c r="B47" s="82" t="s">
        <v>34</v>
      </c>
      <c r="C47" s="83" t="s">
        <v>102</v>
      </c>
      <c r="D47" s="82" t="s">
        <v>41</v>
      </c>
      <c r="E47" s="84">
        <v>1418</v>
      </c>
      <c r="F47" s="85">
        <f>SUM(E47*2/1000)</f>
        <v>2.8359999999999999</v>
      </c>
      <c r="G47" s="13">
        <v>579.48</v>
      </c>
      <c r="H47" s="86">
        <f t="shared" si="7"/>
        <v>1.6434052799999999</v>
      </c>
      <c r="I47" s="13">
        <f t="shared" si="8"/>
        <v>821.70263999999997</v>
      </c>
      <c r="J47" s="23"/>
      <c r="L47" s="19"/>
      <c r="M47" s="20"/>
      <c r="N47" s="21"/>
    </row>
    <row r="48" spans="1:14" ht="15.75" hidden="1" customHeight="1">
      <c r="A48" s="40">
        <v>11</v>
      </c>
      <c r="B48" s="82" t="s">
        <v>35</v>
      </c>
      <c r="C48" s="83" t="s">
        <v>102</v>
      </c>
      <c r="D48" s="82" t="s">
        <v>41</v>
      </c>
      <c r="E48" s="84">
        <v>4985.21</v>
      </c>
      <c r="F48" s="85">
        <f>SUM(E48*2/1000)</f>
        <v>9.9704200000000007</v>
      </c>
      <c r="G48" s="13">
        <v>579.48</v>
      </c>
      <c r="H48" s="86">
        <f t="shared" si="7"/>
        <v>5.7776589816000001</v>
      </c>
      <c r="I48" s="13">
        <f t="shared" si="8"/>
        <v>2888.8294908000003</v>
      </c>
      <c r="J48" s="23"/>
      <c r="L48" s="19"/>
      <c r="M48" s="20"/>
      <c r="N48" s="21"/>
    </row>
    <row r="49" spans="1:14" ht="15.75" hidden="1" customHeight="1">
      <c r="A49" s="40">
        <v>12</v>
      </c>
      <c r="B49" s="82" t="s">
        <v>36</v>
      </c>
      <c r="C49" s="83" t="s">
        <v>102</v>
      </c>
      <c r="D49" s="82" t="s">
        <v>41</v>
      </c>
      <c r="E49" s="84">
        <v>2474</v>
      </c>
      <c r="F49" s="85">
        <f>SUM(E49*2/1000)</f>
        <v>4.9480000000000004</v>
      </c>
      <c r="G49" s="13">
        <v>606.77</v>
      </c>
      <c r="H49" s="86">
        <f t="shared" si="7"/>
        <v>3.0022979600000004</v>
      </c>
      <c r="I49" s="13">
        <f>F49/2*G49</f>
        <v>1501.1489800000002</v>
      </c>
      <c r="J49" s="23"/>
      <c r="L49" s="19"/>
      <c r="M49" s="20"/>
      <c r="N49" s="21"/>
    </row>
    <row r="50" spans="1:14" ht="15.75" hidden="1" customHeight="1">
      <c r="A50" s="40">
        <v>13</v>
      </c>
      <c r="B50" s="82" t="s">
        <v>54</v>
      </c>
      <c r="C50" s="83" t="s">
        <v>102</v>
      </c>
      <c r="D50" s="82" t="s">
        <v>141</v>
      </c>
      <c r="E50" s="84">
        <v>1349.3</v>
      </c>
      <c r="F50" s="85">
        <f>SUM(E50*5/1000)</f>
        <v>6.7465000000000002</v>
      </c>
      <c r="G50" s="13">
        <v>1213.55</v>
      </c>
      <c r="H50" s="86">
        <f t="shared" si="7"/>
        <v>8.1872150749999992</v>
      </c>
      <c r="I50" s="13">
        <f>F50/5*G50</f>
        <v>1637.4430149999998</v>
      </c>
      <c r="J50" s="23"/>
      <c r="L50" s="19"/>
      <c r="M50" s="20"/>
      <c r="N50" s="21"/>
    </row>
    <row r="51" spans="1:14" ht="30.75" hidden="1" customHeight="1">
      <c r="A51" s="40">
        <v>9</v>
      </c>
      <c r="B51" s="82" t="s">
        <v>109</v>
      </c>
      <c r="C51" s="83" t="s">
        <v>102</v>
      </c>
      <c r="D51" s="82" t="s">
        <v>41</v>
      </c>
      <c r="E51" s="84">
        <v>1349.3</v>
      </c>
      <c r="F51" s="85">
        <f>SUM(E51*2/1000)</f>
        <v>2.6985999999999999</v>
      </c>
      <c r="G51" s="13">
        <v>1213.55</v>
      </c>
      <c r="H51" s="86">
        <f t="shared" si="7"/>
        <v>3.2748860299999998</v>
      </c>
      <c r="I51" s="13">
        <f>F51/2*G51</f>
        <v>1637.4430149999998</v>
      </c>
      <c r="J51" s="23"/>
      <c r="L51" s="19"/>
      <c r="M51" s="20"/>
      <c r="N51" s="21"/>
    </row>
    <row r="52" spans="1:14" ht="30.75" hidden="1" customHeight="1">
      <c r="A52" s="40">
        <v>10</v>
      </c>
      <c r="B52" s="82" t="s">
        <v>110</v>
      </c>
      <c r="C52" s="83" t="s">
        <v>37</v>
      </c>
      <c r="D52" s="82" t="s">
        <v>41</v>
      </c>
      <c r="E52" s="84">
        <v>40</v>
      </c>
      <c r="F52" s="85">
        <f>SUM(E52*2/100)</f>
        <v>0.8</v>
      </c>
      <c r="G52" s="13">
        <v>2730.49</v>
      </c>
      <c r="H52" s="86">
        <f t="shared" si="7"/>
        <v>2.1843919999999999</v>
      </c>
      <c r="I52" s="13">
        <f t="shared" ref="I52:I53" si="9">F52/2*G52</f>
        <v>1092.1959999999999</v>
      </c>
      <c r="J52" s="23"/>
      <c r="L52" s="19"/>
      <c r="M52" s="20"/>
      <c r="N52" s="21"/>
    </row>
    <row r="53" spans="1:14" ht="15.75" hidden="1" customHeight="1">
      <c r="A53" s="40">
        <v>11</v>
      </c>
      <c r="B53" s="82" t="s">
        <v>38</v>
      </c>
      <c r="C53" s="83" t="s">
        <v>39</v>
      </c>
      <c r="D53" s="82" t="s">
        <v>41</v>
      </c>
      <c r="E53" s="84">
        <v>1</v>
      </c>
      <c r="F53" s="85">
        <v>0.02</v>
      </c>
      <c r="G53" s="13">
        <v>5652.13</v>
      </c>
      <c r="H53" s="86">
        <f t="shared" si="7"/>
        <v>0.11304260000000001</v>
      </c>
      <c r="I53" s="13">
        <f t="shared" si="9"/>
        <v>56.521300000000004</v>
      </c>
      <c r="J53" s="23"/>
      <c r="L53" s="19"/>
      <c r="M53" s="20"/>
      <c r="N53" s="21"/>
    </row>
    <row r="54" spans="1:14" ht="15.75" hidden="1" customHeight="1">
      <c r="A54" s="40">
        <v>12</v>
      </c>
      <c r="B54" s="82" t="s">
        <v>40</v>
      </c>
      <c r="C54" s="83" t="s">
        <v>111</v>
      </c>
      <c r="D54" s="82" t="s">
        <v>69</v>
      </c>
      <c r="E54" s="84">
        <v>238</v>
      </c>
      <c r="F54" s="85">
        <f>SUM(E54)*3</f>
        <v>714</v>
      </c>
      <c r="G54" s="13">
        <v>65.67</v>
      </c>
      <c r="H54" s="86">
        <f t="shared" si="7"/>
        <v>46.888380000000005</v>
      </c>
      <c r="I54" s="13">
        <f>E54*G54</f>
        <v>15629.460000000001</v>
      </c>
      <c r="J54" s="23"/>
      <c r="L54" s="19"/>
      <c r="M54" s="20"/>
      <c r="N54" s="21"/>
    </row>
    <row r="55" spans="1:14" ht="15.75" customHeight="1">
      <c r="A55" s="224" t="s">
        <v>150</v>
      </c>
      <c r="B55" s="225"/>
      <c r="C55" s="225"/>
      <c r="D55" s="225"/>
      <c r="E55" s="225"/>
      <c r="F55" s="225"/>
      <c r="G55" s="225"/>
      <c r="H55" s="225"/>
      <c r="I55" s="226"/>
      <c r="J55" s="23"/>
      <c r="L55" s="19"/>
      <c r="M55" s="20"/>
      <c r="N55" s="21"/>
    </row>
    <row r="56" spans="1:14" ht="15.75" hidden="1" customHeight="1">
      <c r="A56" s="81"/>
      <c r="B56" s="47" t="s">
        <v>42</v>
      </c>
      <c r="C56" s="16"/>
      <c r="D56" s="15"/>
      <c r="E56" s="15"/>
      <c r="F56" s="15"/>
      <c r="G56" s="29"/>
      <c r="H56" s="29"/>
      <c r="I56" s="18"/>
      <c r="J56" s="23"/>
      <c r="L56" s="19"/>
      <c r="M56" s="20"/>
      <c r="N56" s="21"/>
    </row>
    <row r="57" spans="1:14" ht="37.5" hidden="1" customHeight="1">
      <c r="A57" s="40">
        <v>13</v>
      </c>
      <c r="B57" s="82" t="s">
        <v>112</v>
      </c>
      <c r="C57" s="83" t="s">
        <v>89</v>
      </c>
      <c r="D57" s="82" t="s">
        <v>113</v>
      </c>
      <c r="E57" s="84">
        <v>176.9</v>
      </c>
      <c r="F57" s="85">
        <f>SUM(E57*6/100)</f>
        <v>10.614000000000001</v>
      </c>
      <c r="G57" s="13">
        <v>1547.28</v>
      </c>
      <c r="H57" s="86">
        <f>SUM(F57*G57/1000)</f>
        <v>16.422829920000002</v>
      </c>
      <c r="I57" s="13">
        <f>G57*0.0431</f>
        <v>66.687767999999991</v>
      </c>
      <c r="J57" s="23"/>
      <c r="L57" s="19"/>
      <c r="M57" s="20"/>
      <c r="N57" s="21"/>
    </row>
    <row r="58" spans="1:14" ht="20.25" hidden="1" customHeight="1">
      <c r="A58" s="40">
        <v>17</v>
      </c>
      <c r="B58" s="82" t="s">
        <v>129</v>
      </c>
      <c r="C58" s="83" t="s">
        <v>89</v>
      </c>
      <c r="D58" s="82" t="s">
        <v>113</v>
      </c>
      <c r="E58" s="77">
        <v>56</v>
      </c>
      <c r="F58" s="90">
        <v>3.36</v>
      </c>
      <c r="G58" s="85">
        <v>1547.28</v>
      </c>
      <c r="H58" s="86">
        <f>F58*G58/1000</f>
        <v>5.1988607999999994</v>
      </c>
      <c r="I58" s="13">
        <f>F58/6*G58</f>
        <v>866.47679999999991</v>
      </c>
      <c r="J58" s="23"/>
      <c r="L58" s="19"/>
      <c r="M58" s="20"/>
      <c r="N58" s="21"/>
    </row>
    <row r="59" spans="1:14" ht="20.25" hidden="1" customHeight="1">
      <c r="A59" s="40"/>
      <c r="B59" s="82" t="s">
        <v>130</v>
      </c>
      <c r="C59" s="83" t="s">
        <v>131</v>
      </c>
      <c r="D59" s="82" t="s">
        <v>41</v>
      </c>
      <c r="E59" s="91">
        <v>8</v>
      </c>
      <c r="F59" s="13">
        <v>16</v>
      </c>
      <c r="G59" s="85">
        <v>180.78</v>
      </c>
      <c r="H59" s="86">
        <f>SUM(F59*G59/1000)</f>
        <v>2.8924799999999999</v>
      </c>
      <c r="I59" s="13">
        <v>0</v>
      </c>
      <c r="J59" s="23"/>
      <c r="L59" s="19"/>
      <c r="M59" s="20"/>
      <c r="N59" s="21"/>
    </row>
    <row r="60" spans="1:14" ht="15.75" customHeight="1">
      <c r="A60" s="40"/>
      <c r="B60" s="76" t="s">
        <v>43</v>
      </c>
      <c r="C60" s="76"/>
      <c r="D60" s="76"/>
      <c r="E60" s="76"/>
      <c r="F60" s="76"/>
      <c r="G60" s="76"/>
      <c r="H60" s="76"/>
      <c r="I60" s="35"/>
      <c r="J60" s="23"/>
      <c r="L60" s="19"/>
      <c r="M60" s="20"/>
      <c r="N60" s="21"/>
    </row>
    <row r="61" spans="1:14" ht="15.75" hidden="1" customHeight="1">
      <c r="A61" s="40">
        <v>27</v>
      </c>
      <c r="B61" s="82" t="s">
        <v>142</v>
      </c>
      <c r="C61" s="83"/>
      <c r="D61" s="82" t="s">
        <v>52</v>
      </c>
      <c r="E61" s="84">
        <v>1349.3</v>
      </c>
      <c r="F61" s="86">
        <v>13.493</v>
      </c>
      <c r="G61" s="13">
        <v>793.61</v>
      </c>
      <c r="H61" s="92">
        <f>F61*G61/1000</f>
        <v>10.708179729999999</v>
      </c>
      <c r="I61" s="13">
        <v>0</v>
      </c>
      <c r="J61" s="23"/>
      <c r="L61" s="19"/>
      <c r="M61" s="20"/>
      <c r="N61" s="21"/>
    </row>
    <row r="62" spans="1:14" ht="15.75" customHeight="1">
      <c r="A62" s="40">
        <v>11</v>
      </c>
      <c r="B62" s="93" t="s">
        <v>88</v>
      </c>
      <c r="C62" s="94" t="s">
        <v>26</v>
      </c>
      <c r="D62" s="93"/>
      <c r="E62" s="95">
        <v>270</v>
      </c>
      <c r="F62" s="96">
        <v>2400</v>
      </c>
      <c r="G62" s="97">
        <v>1.4</v>
      </c>
      <c r="H62" s="98">
        <f>F62*G62</f>
        <v>3360</v>
      </c>
      <c r="I62" s="13">
        <f>F62/12*G62</f>
        <v>280</v>
      </c>
      <c r="J62" s="23"/>
      <c r="L62" s="19"/>
      <c r="M62" s="20"/>
      <c r="N62" s="21"/>
    </row>
    <row r="63" spans="1:14" ht="15.75" customHeight="1">
      <c r="A63" s="40"/>
      <c r="B63" s="76" t="s">
        <v>44</v>
      </c>
      <c r="C63" s="16"/>
      <c r="D63" s="37"/>
      <c r="E63" s="15"/>
      <c r="F63" s="15"/>
      <c r="G63" s="29"/>
      <c r="H63" s="29"/>
      <c r="I63" s="18"/>
      <c r="J63" s="23"/>
      <c r="L63" s="19"/>
    </row>
    <row r="64" spans="1:14" ht="15.75" customHeight="1">
      <c r="A64" s="40">
        <v>12</v>
      </c>
      <c r="B64" s="151" t="s">
        <v>45</v>
      </c>
      <c r="C64" s="38" t="s">
        <v>111</v>
      </c>
      <c r="D64" s="37" t="s">
        <v>298</v>
      </c>
      <c r="E64" s="17">
        <v>40</v>
      </c>
      <c r="F64" s="139">
        <f>E64</f>
        <v>40</v>
      </c>
      <c r="G64" s="36">
        <v>303.35000000000002</v>
      </c>
      <c r="H64" s="100">
        <f t="shared" ref="H64:H71" si="10">SUM(F64*G64/1000)</f>
        <v>12.134</v>
      </c>
      <c r="I64" s="13">
        <f>G64*9</f>
        <v>2730.15</v>
      </c>
    </row>
    <row r="65" spans="1:22" ht="15.75" hidden="1" customHeight="1">
      <c r="A65" s="29">
        <v>29</v>
      </c>
      <c r="B65" s="99" t="s">
        <v>46</v>
      </c>
      <c r="C65" s="16" t="s">
        <v>111</v>
      </c>
      <c r="D65" s="99" t="s">
        <v>65</v>
      </c>
      <c r="E65" s="18">
        <v>20</v>
      </c>
      <c r="F65" s="85">
        <v>20</v>
      </c>
      <c r="G65" s="13">
        <v>76.25</v>
      </c>
      <c r="H65" s="100">
        <f t="shared" si="10"/>
        <v>1.5249999999999999</v>
      </c>
      <c r="I65" s="13">
        <v>0</v>
      </c>
    </row>
    <row r="66" spans="1:22" ht="15.75" hidden="1" customHeight="1">
      <c r="A66" s="29">
        <v>25</v>
      </c>
      <c r="B66" s="99" t="s">
        <v>47</v>
      </c>
      <c r="C66" s="16" t="s">
        <v>114</v>
      </c>
      <c r="D66" s="99" t="s">
        <v>52</v>
      </c>
      <c r="E66" s="84">
        <v>18890</v>
      </c>
      <c r="F66" s="13">
        <f>SUM(E66/100)</f>
        <v>188.9</v>
      </c>
      <c r="G66" s="13">
        <v>212.15</v>
      </c>
      <c r="H66" s="100">
        <f t="shared" si="10"/>
        <v>40.075135000000003</v>
      </c>
      <c r="I66" s="13">
        <f>F66*G66</f>
        <v>40075.135000000002</v>
      </c>
    </row>
    <row r="67" spans="1:22" ht="15.75" hidden="1" customHeight="1">
      <c r="A67" s="29">
        <v>26</v>
      </c>
      <c r="B67" s="99" t="s">
        <v>48</v>
      </c>
      <c r="C67" s="16" t="s">
        <v>115</v>
      </c>
      <c r="D67" s="99"/>
      <c r="E67" s="84">
        <v>18890</v>
      </c>
      <c r="F67" s="13">
        <f>SUM(E67/1000)</f>
        <v>18.89</v>
      </c>
      <c r="G67" s="13">
        <v>165.21</v>
      </c>
      <c r="H67" s="100">
        <f t="shared" si="10"/>
        <v>3.1208169000000003</v>
      </c>
      <c r="I67" s="13">
        <f t="shared" ref="I67:I70" si="11">F67*G67</f>
        <v>3120.8169000000003</v>
      </c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9"/>
    </row>
    <row r="68" spans="1:22" ht="15.75" hidden="1" customHeight="1">
      <c r="A68" s="29">
        <v>27</v>
      </c>
      <c r="B68" s="99" t="s">
        <v>49</v>
      </c>
      <c r="C68" s="16" t="s">
        <v>75</v>
      </c>
      <c r="D68" s="99" t="s">
        <v>52</v>
      </c>
      <c r="E68" s="84">
        <v>3004</v>
      </c>
      <c r="F68" s="13">
        <f>SUM(E68/100)</f>
        <v>30.04</v>
      </c>
      <c r="G68" s="13">
        <v>2074.63</v>
      </c>
      <c r="H68" s="100">
        <f t="shared" si="10"/>
        <v>62.321885200000004</v>
      </c>
      <c r="I68" s="13">
        <f t="shared" si="11"/>
        <v>62321.885200000004</v>
      </c>
      <c r="J68" s="25"/>
      <c r="K68" s="25"/>
      <c r="L68" s="3"/>
      <c r="M68" s="3"/>
      <c r="N68" s="3"/>
      <c r="O68" s="3"/>
      <c r="P68" s="3"/>
      <c r="Q68" s="3"/>
      <c r="R68" s="3"/>
      <c r="S68" s="3"/>
      <c r="T68" s="3"/>
      <c r="U68" s="3"/>
    </row>
    <row r="69" spans="1:22" ht="15.75" hidden="1" customHeight="1">
      <c r="A69" s="29">
        <v>28</v>
      </c>
      <c r="B69" s="101" t="s">
        <v>116</v>
      </c>
      <c r="C69" s="16" t="s">
        <v>33</v>
      </c>
      <c r="D69" s="99"/>
      <c r="E69" s="84">
        <v>15.8</v>
      </c>
      <c r="F69" s="13">
        <f>SUM(E69)</f>
        <v>15.8</v>
      </c>
      <c r="G69" s="13">
        <v>42.67</v>
      </c>
      <c r="H69" s="100">
        <f t="shared" si="10"/>
        <v>0.67418600000000006</v>
      </c>
      <c r="I69" s="13">
        <f t="shared" si="11"/>
        <v>674.18600000000004</v>
      </c>
      <c r="J69" s="3"/>
      <c r="K69" s="3"/>
      <c r="L69" s="3"/>
      <c r="M69" s="3"/>
      <c r="N69" s="3"/>
      <c r="O69" s="3"/>
      <c r="P69" s="3"/>
      <c r="Q69" s="3"/>
      <c r="S69" s="3"/>
      <c r="T69" s="3"/>
      <c r="U69" s="3"/>
    </row>
    <row r="70" spans="1:22" ht="15.75" hidden="1" customHeight="1">
      <c r="A70" s="29">
        <v>29</v>
      </c>
      <c r="B70" s="101" t="s">
        <v>117</v>
      </c>
      <c r="C70" s="16" t="s">
        <v>33</v>
      </c>
      <c r="D70" s="99"/>
      <c r="E70" s="84">
        <v>15.8</v>
      </c>
      <c r="F70" s="13">
        <f>SUM(E70)</f>
        <v>15.8</v>
      </c>
      <c r="G70" s="13">
        <v>39.81</v>
      </c>
      <c r="H70" s="100">
        <f t="shared" si="10"/>
        <v>0.62899800000000006</v>
      </c>
      <c r="I70" s="13">
        <f t="shared" si="11"/>
        <v>628.99800000000005</v>
      </c>
      <c r="J70" s="5"/>
      <c r="K70" s="5"/>
      <c r="L70" s="5"/>
      <c r="M70" s="5"/>
      <c r="N70" s="5"/>
      <c r="O70" s="5"/>
      <c r="P70" s="5"/>
      <c r="Q70" s="5"/>
      <c r="R70" s="199"/>
      <c r="S70" s="199"/>
      <c r="T70" s="199"/>
      <c r="U70" s="199"/>
    </row>
    <row r="71" spans="1:22" ht="15.75" hidden="1" customHeight="1">
      <c r="A71" s="29">
        <v>16</v>
      </c>
      <c r="B71" s="99" t="s">
        <v>55</v>
      </c>
      <c r="C71" s="16" t="s">
        <v>56</v>
      </c>
      <c r="D71" s="99" t="s">
        <v>52</v>
      </c>
      <c r="E71" s="18">
        <v>15</v>
      </c>
      <c r="F71" s="85">
        <v>15</v>
      </c>
      <c r="G71" s="13">
        <v>49.88</v>
      </c>
      <c r="H71" s="100">
        <f t="shared" si="10"/>
        <v>0.74820000000000009</v>
      </c>
      <c r="I71" s="13">
        <f>G71*15</f>
        <v>748.2</v>
      </c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2" ht="15.75" hidden="1" customHeight="1">
      <c r="A72" s="81"/>
      <c r="B72" s="76" t="s">
        <v>118</v>
      </c>
      <c r="C72" s="76"/>
      <c r="D72" s="76"/>
      <c r="E72" s="76"/>
      <c r="F72" s="76"/>
      <c r="G72" s="76"/>
      <c r="H72" s="76"/>
      <c r="I72" s="18"/>
    </row>
    <row r="73" spans="1:22" ht="15.75" hidden="1" customHeight="1">
      <c r="A73" s="29">
        <v>11</v>
      </c>
      <c r="B73" s="93" t="s">
        <v>119</v>
      </c>
      <c r="C73" s="16"/>
      <c r="D73" s="99"/>
      <c r="E73" s="77"/>
      <c r="F73" s="13">
        <v>1</v>
      </c>
      <c r="G73" s="13">
        <v>27865.200000000001</v>
      </c>
      <c r="H73" s="100">
        <f>G73*F73/1000</f>
        <v>27.865200000000002</v>
      </c>
      <c r="I73" s="13">
        <f>G73</f>
        <v>27865.200000000001</v>
      </c>
    </row>
    <row r="74" spans="1:22" ht="15.75" customHeight="1">
      <c r="A74" s="29"/>
      <c r="B74" s="162" t="s">
        <v>181</v>
      </c>
      <c r="C74" s="38"/>
      <c r="D74" s="37"/>
      <c r="E74" s="17"/>
      <c r="F74" s="117"/>
      <c r="G74" s="36"/>
      <c r="H74" s="100"/>
      <c r="I74" s="13"/>
    </row>
    <row r="75" spans="1:22" ht="33" customHeight="1">
      <c r="A75" s="29">
        <v>13</v>
      </c>
      <c r="B75" s="37" t="s">
        <v>182</v>
      </c>
      <c r="C75" s="40" t="s">
        <v>183</v>
      </c>
      <c r="D75" s="37"/>
      <c r="E75" s="17">
        <v>5162.6000000000004</v>
      </c>
      <c r="F75" s="36">
        <f>E75*12</f>
        <v>61951.200000000004</v>
      </c>
      <c r="G75" s="36">
        <v>2.37</v>
      </c>
      <c r="H75" s="100"/>
      <c r="I75" s="13">
        <f>G75*F75/12</f>
        <v>12235.362000000001</v>
      </c>
    </row>
    <row r="76" spans="1:22" ht="15.75" customHeight="1">
      <c r="A76" s="29"/>
      <c r="B76" s="48" t="s">
        <v>70</v>
      </c>
      <c r="C76" s="48"/>
      <c r="D76" s="48"/>
      <c r="E76" s="18"/>
      <c r="F76" s="18"/>
      <c r="G76" s="29"/>
      <c r="H76" s="29"/>
      <c r="I76" s="18"/>
    </row>
    <row r="77" spans="1:22" ht="15.75" customHeight="1">
      <c r="A77" s="29">
        <v>14</v>
      </c>
      <c r="B77" s="37" t="s">
        <v>71</v>
      </c>
      <c r="C77" s="38" t="s">
        <v>73</v>
      </c>
      <c r="D77" s="37" t="s">
        <v>260</v>
      </c>
      <c r="E77" s="17">
        <v>8</v>
      </c>
      <c r="F77" s="36">
        <f>E77/10</f>
        <v>0.8</v>
      </c>
      <c r="G77" s="36">
        <v>684.19</v>
      </c>
      <c r="H77" s="100">
        <f t="shared" ref="H77:H81" si="12">SUM(F77*G77/1000)</f>
        <v>0.54735200000000006</v>
      </c>
      <c r="I77" s="13">
        <f>G77*0.3</f>
        <v>205.25700000000001</v>
      </c>
    </row>
    <row r="78" spans="1:22" ht="15.75" hidden="1" customHeight="1">
      <c r="A78" s="29"/>
      <c r="B78" s="99" t="s">
        <v>132</v>
      </c>
      <c r="C78" s="16" t="s">
        <v>31</v>
      </c>
      <c r="D78" s="99"/>
      <c r="E78" s="18">
        <v>1</v>
      </c>
      <c r="F78" s="13">
        <v>1</v>
      </c>
      <c r="G78" s="13">
        <v>99.85</v>
      </c>
      <c r="H78" s="100">
        <f>F78*G78/1000</f>
        <v>9.9849999999999994E-2</v>
      </c>
      <c r="I78" s="13">
        <v>0</v>
      </c>
    </row>
    <row r="79" spans="1:22" ht="15.75" hidden="1" customHeight="1">
      <c r="A79" s="29"/>
      <c r="B79" s="99" t="s">
        <v>133</v>
      </c>
      <c r="C79" s="16" t="s">
        <v>31</v>
      </c>
      <c r="D79" s="99"/>
      <c r="E79" s="18">
        <v>1</v>
      </c>
      <c r="F79" s="13">
        <v>1</v>
      </c>
      <c r="G79" s="13">
        <v>120.26</v>
      </c>
      <c r="H79" s="100">
        <f>F79*G79/1000</f>
        <v>0.12026000000000001</v>
      </c>
      <c r="I79" s="13">
        <v>0</v>
      </c>
    </row>
    <row r="80" spans="1:22" ht="15.75" hidden="1" customHeight="1">
      <c r="A80" s="29">
        <v>19</v>
      </c>
      <c r="B80" s="99" t="s">
        <v>72</v>
      </c>
      <c r="C80" s="16" t="s">
        <v>31</v>
      </c>
      <c r="D80" s="99"/>
      <c r="E80" s="18">
        <v>2</v>
      </c>
      <c r="F80" s="97">
        <v>2</v>
      </c>
      <c r="G80" s="13">
        <v>852.99</v>
      </c>
      <c r="H80" s="100">
        <f>F80*G80/1000</f>
        <v>1.7059800000000001</v>
      </c>
      <c r="I80" s="13">
        <f>G80</f>
        <v>852.99</v>
      </c>
    </row>
    <row r="81" spans="1:9" ht="15.75" hidden="1" customHeight="1">
      <c r="A81" s="29">
        <v>10</v>
      </c>
      <c r="B81" s="99" t="s">
        <v>83</v>
      </c>
      <c r="C81" s="16" t="s">
        <v>111</v>
      </c>
      <c r="D81" s="99"/>
      <c r="E81" s="18">
        <v>1</v>
      </c>
      <c r="F81" s="85">
        <f>SUM(E81)</f>
        <v>1</v>
      </c>
      <c r="G81" s="13">
        <v>358.51</v>
      </c>
      <c r="H81" s="100">
        <f t="shared" si="12"/>
        <v>0.35851</v>
      </c>
      <c r="I81" s="13">
        <f>G81</f>
        <v>358.51</v>
      </c>
    </row>
    <row r="82" spans="1:9" ht="15.75" customHeight="1">
      <c r="A82" s="29">
        <v>15</v>
      </c>
      <c r="B82" s="37" t="s">
        <v>184</v>
      </c>
      <c r="C82" s="38" t="s">
        <v>111</v>
      </c>
      <c r="D82" s="37" t="s">
        <v>233</v>
      </c>
      <c r="E82" s="17">
        <v>1</v>
      </c>
      <c r="F82" s="36">
        <f>E82*12</f>
        <v>12</v>
      </c>
      <c r="G82" s="36">
        <v>55.55</v>
      </c>
      <c r="H82" s="100"/>
      <c r="I82" s="13">
        <f>G82*1</f>
        <v>55.55</v>
      </c>
    </row>
    <row r="83" spans="1:9" ht="15.75" hidden="1" customHeight="1">
      <c r="A83" s="29"/>
      <c r="B83" s="99"/>
      <c r="C83" s="16"/>
      <c r="D83" s="99"/>
      <c r="E83" s="18"/>
      <c r="F83" s="97"/>
      <c r="G83" s="13"/>
      <c r="H83" s="100"/>
      <c r="I83" s="13"/>
    </row>
    <row r="84" spans="1:9" ht="15.75" hidden="1" customHeight="1">
      <c r="A84" s="29"/>
      <c r="B84" s="49" t="s">
        <v>74</v>
      </c>
      <c r="C84" s="38"/>
      <c r="D84" s="29"/>
      <c r="E84" s="18"/>
      <c r="F84" s="18"/>
      <c r="G84" s="36"/>
      <c r="H84" s="36"/>
      <c r="I84" s="18"/>
    </row>
    <row r="85" spans="1:9" ht="15.75" hidden="1" customHeight="1">
      <c r="A85" s="29">
        <v>39</v>
      </c>
      <c r="B85" s="51" t="s">
        <v>120</v>
      </c>
      <c r="C85" s="16" t="s">
        <v>75</v>
      </c>
      <c r="D85" s="99"/>
      <c r="E85" s="18"/>
      <c r="F85" s="13">
        <v>1.35</v>
      </c>
      <c r="G85" s="13">
        <v>2759.44</v>
      </c>
      <c r="H85" s="100">
        <f t="shared" ref="H85" si="13">SUM(F85*G85/1000)</f>
        <v>3.725244</v>
      </c>
      <c r="I85" s="13">
        <v>0</v>
      </c>
    </row>
    <row r="86" spans="1:9" ht="15.75" hidden="1" customHeight="1">
      <c r="A86" s="127"/>
      <c r="B86" s="188"/>
      <c r="C86" s="189"/>
      <c r="D86" s="190"/>
      <c r="E86" s="191"/>
      <c r="F86" s="192"/>
      <c r="G86" s="192"/>
      <c r="H86" s="192"/>
      <c r="I86" s="193"/>
    </row>
    <row r="87" spans="1:9" ht="15.75" customHeight="1">
      <c r="A87" s="208" t="s">
        <v>151</v>
      </c>
      <c r="B87" s="209"/>
      <c r="C87" s="209"/>
      <c r="D87" s="209"/>
      <c r="E87" s="209"/>
      <c r="F87" s="209"/>
      <c r="G87" s="209"/>
      <c r="H87" s="209"/>
      <c r="I87" s="210"/>
    </row>
    <row r="88" spans="1:9" ht="15.75" customHeight="1">
      <c r="A88" s="29">
        <v>16</v>
      </c>
      <c r="B88" s="32" t="s">
        <v>121</v>
      </c>
      <c r="C88" s="38" t="s">
        <v>53</v>
      </c>
      <c r="D88" s="63"/>
      <c r="E88" s="36">
        <v>5162.6000000000004</v>
      </c>
      <c r="F88" s="36">
        <f>SUM(E88*12)</f>
        <v>61951.200000000004</v>
      </c>
      <c r="G88" s="36">
        <v>3.22</v>
      </c>
      <c r="H88" s="102">
        <f>SUM(F88*G88/1000)</f>
        <v>199.48286400000003</v>
      </c>
      <c r="I88" s="13">
        <f>F88/12*G88</f>
        <v>16623.572000000004</v>
      </c>
    </row>
    <row r="89" spans="1:9" ht="31.5" customHeight="1">
      <c r="A89" s="29">
        <v>17</v>
      </c>
      <c r="B89" s="37" t="s">
        <v>185</v>
      </c>
      <c r="C89" s="114" t="s">
        <v>186</v>
      </c>
      <c r="D89" s="37"/>
      <c r="E89" s="17">
        <v>5162.6000000000004</v>
      </c>
      <c r="F89" s="36">
        <f>E89*12</f>
        <v>61951.200000000004</v>
      </c>
      <c r="G89" s="36">
        <v>3.64</v>
      </c>
      <c r="H89" s="100">
        <f>F89*G89/1000</f>
        <v>225.50236800000002</v>
      </c>
      <c r="I89" s="13">
        <f>F89/12*G89</f>
        <v>18791.864000000001</v>
      </c>
    </row>
    <row r="90" spans="1:9" ht="15.75" customHeight="1">
      <c r="A90" s="81"/>
      <c r="B90" s="39" t="s">
        <v>78</v>
      </c>
      <c r="C90" s="40"/>
      <c r="D90" s="15"/>
      <c r="E90" s="15"/>
      <c r="F90" s="15"/>
      <c r="G90" s="18"/>
      <c r="H90" s="18"/>
      <c r="I90" s="31">
        <f>I89+I88+I82+I77+I75+I64+I62+I33+I31+I30+I27+I18+I17+I16+I44+I21+I20</f>
        <v>77290.176675599985</v>
      </c>
    </row>
    <row r="91" spans="1:9" ht="15.75" customHeight="1">
      <c r="A91" s="211" t="s">
        <v>58</v>
      </c>
      <c r="B91" s="212"/>
      <c r="C91" s="212"/>
      <c r="D91" s="212"/>
      <c r="E91" s="212"/>
      <c r="F91" s="212"/>
      <c r="G91" s="212"/>
      <c r="H91" s="212"/>
      <c r="I91" s="213"/>
    </row>
    <row r="92" spans="1:9" ht="28.5" customHeight="1">
      <c r="A92" s="29">
        <v>18</v>
      </c>
      <c r="B92" s="66" t="s">
        <v>226</v>
      </c>
      <c r="C92" s="67" t="s">
        <v>227</v>
      </c>
      <c r="D92" s="38"/>
      <c r="E92" s="36"/>
      <c r="F92" s="36">
        <v>6</v>
      </c>
      <c r="G92" s="36">
        <v>26095.37</v>
      </c>
      <c r="H92" s="102">
        <f t="shared" ref="H92:H94" si="14">G92*F92/1000</f>
        <v>156.57221999999999</v>
      </c>
      <c r="I92" s="13">
        <f>G92*0.03</f>
        <v>782.86109999999996</v>
      </c>
    </row>
    <row r="93" spans="1:9" ht="15.75" customHeight="1">
      <c r="A93" s="29">
        <v>19</v>
      </c>
      <c r="B93" s="66" t="s">
        <v>160</v>
      </c>
      <c r="C93" s="67" t="s">
        <v>111</v>
      </c>
      <c r="D93" s="64"/>
      <c r="E93" s="36"/>
      <c r="F93" s="36">
        <f>327/3</f>
        <v>109</v>
      </c>
      <c r="G93" s="36">
        <v>207.55</v>
      </c>
      <c r="H93" s="102">
        <f t="shared" si="14"/>
        <v>22.622949999999999</v>
      </c>
      <c r="I93" s="13">
        <f>G93*6</f>
        <v>1245.3000000000002</v>
      </c>
    </row>
    <row r="94" spans="1:9" ht="34.5" customHeight="1">
      <c r="A94" s="29">
        <v>20</v>
      </c>
      <c r="B94" s="66" t="s">
        <v>284</v>
      </c>
      <c r="C94" s="67" t="s">
        <v>146</v>
      </c>
      <c r="D94" s="38" t="s">
        <v>285</v>
      </c>
      <c r="E94" s="36"/>
      <c r="F94" s="36">
        <v>0.13</v>
      </c>
      <c r="G94" s="36">
        <v>981.48</v>
      </c>
      <c r="H94" s="102">
        <f t="shared" si="14"/>
        <v>0.12759240000000002</v>
      </c>
      <c r="I94" s="13">
        <f>G94*3</f>
        <v>2944.44</v>
      </c>
    </row>
    <row r="95" spans="1:9" ht="34.5" customHeight="1">
      <c r="A95" s="29">
        <v>21</v>
      </c>
      <c r="B95" s="66" t="s">
        <v>190</v>
      </c>
      <c r="C95" s="67" t="s">
        <v>171</v>
      </c>
      <c r="D95" s="40" t="s">
        <v>286</v>
      </c>
      <c r="E95" s="36"/>
      <c r="F95" s="36">
        <v>1</v>
      </c>
      <c r="G95" s="36">
        <v>1367</v>
      </c>
      <c r="H95" s="100">
        <f t="shared" ref="H95" si="15">G95*F95/1000</f>
        <v>1.367</v>
      </c>
      <c r="I95" s="13">
        <f>G95*12</f>
        <v>16404</v>
      </c>
    </row>
    <row r="96" spans="1:9" ht="30.75" customHeight="1">
      <c r="A96" s="29">
        <v>22</v>
      </c>
      <c r="B96" s="66" t="s">
        <v>223</v>
      </c>
      <c r="C96" s="67" t="s">
        <v>171</v>
      </c>
      <c r="D96" s="40" t="s">
        <v>287</v>
      </c>
      <c r="E96" s="36"/>
      <c r="F96" s="36"/>
      <c r="G96" s="36">
        <v>1320</v>
      </c>
      <c r="H96" s="100"/>
      <c r="I96" s="13">
        <f>G96*3</f>
        <v>3960</v>
      </c>
    </row>
    <row r="97" spans="1:9" ht="29.25" customHeight="1">
      <c r="A97" s="29">
        <v>23</v>
      </c>
      <c r="B97" s="66" t="s">
        <v>228</v>
      </c>
      <c r="C97" s="67" t="s">
        <v>154</v>
      </c>
      <c r="D97" s="38"/>
      <c r="E97" s="36"/>
      <c r="F97" s="36"/>
      <c r="G97" s="36">
        <v>561.86</v>
      </c>
      <c r="H97" s="100"/>
      <c r="I97" s="13">
        <f>G97*1</f>
        <v>561.86</v>
      </c>
    </row>
    <row r="98" spans="1:9" ht="15.75" customHeight="1">
      <c r="A98" s="29">
        <v>24</v>
      </c>
      <c r="B98" s="161" t="s">
        <v>288</v>
      </c>
      <c r="C98" s="67" t="s">
        <v>53</v>
      </c>
      <c r="D98" s="194" t="s">
        <v>289</v>
      </c>
      <c r="E98" s="36"/>
      <c r="F98" s="36"/>
      <c r="G98" s="36">
        <v>295.02999999999997</v>
      </c>
      <c r="H98" s="100"/>
      <c r="I98" s="13">
        <f>G98*0.5</f>
        <v>147.51499999999999</v>
      </c>
    </row>
    <row r="99" spans="1:9" ht="28.5" customHeight="1">
      <c r="A99" s="29">
        <v>25</v>
      </c>
      <c r="B99" s="66" t="s">
        <v>143</v>
      </c>
      <c r="C99" s="67" t="s">
        <v>80</v>
      </c>
      <c r="D99" s="40" t="s">
        <v>290</v>
      </c>
      <c r="E99" s="36"/>
      <c r="F99" s="36"/>
      <c r="G99" s="36">
        <v>214.07</v>
      </c>
      <c r="H99" s="100"/>
      <c r="I99" s="13">
        <f>G99*4</f>
        <v>856.28</v>
      </c>
    </row>
    <row r="100" spans="1:9" ht="30.75" customHeight="1">
      <c r="A100" s="29">
        <v>26</v>
      </c>
      <c r="B100" s="66" t="s">
        <v>291</v>
      </c>
      <c r="C100" s="67" t="s">
        <v>111</v>
      </c>
      <c r="D100" s="38" t="s">
        <v>295</v>
      </c>
      <c r="E100" s="36"/>
      <c r="F100" s="36"/>
      <c r="G100" s="36">
        <v>1133.92</v>
      </c>
      <c r="H100" s="100"/>
      <c r="I100" s="13">
        <f>G100*1</f>
        <v>1133.92</v>
      </c>
    </row>
    <row r="101" spans="1:9" ht="29.25" customHeight="1">
      <c r="A101" s="29">
        <v>27</v>
      </c>
      <c r="B101" s="66" t="s">
        <v>210</v>
      </c>
      <c r="C101" s="67" t="s">
        <v>146</v>
      </c>
      <c r="D101" s="38" t="s">
        <v>296</v>
      </c>
      <c r="E101" s="36"/>
      <c r="F101" s="36"/>
      <c r="G101" s="36">
        <v>897.29</v>
      </c>
      <c r="H101" s="100"/>
      <c r="I101" s="13">
        <f>G101*2.5</f>
        <v>2243.2249999999999</v>
      </c>
    </row>
    <row r="102" spans="1:9" ht="15.75" customHeight="1">
      <c r="A102" s="29">
        <v>28</v>
      </c>
      <c r="B102" s="66" t="s">
        <v>292</v>
      </c>
      <c r="C102" s="67" t="s">
        <v>111</v>
      </c>
      <c r="D102" s="64"/>
      <c r="E102" s="36"/>
      <c r="F102" s="36"/>
      <c r="G102" s="36">
        <v>98</v>
      </c>
      <c r="H102" s="100"/>
      <c r="I102" s="13">
        <f>G102*2</f>
        <v>196</v>
      </c>
    </row>
    <row r="103" spans="1:9" ht="15.75" customHeight="1">
      <c r="A103" s="29">
        <v>29</v>
      </c>
      <c r="B103" s="66" t="s">
        <v>293</v>
      </c>
      <c r="C103" s="67" t="s">
        <v>111</v>
      </c>
      <c r="D103" s="64"/>
      <c r="E103" s="36"/>
      <c r="F103" s="36"/>
      <c r="G103" s="36">
        <v>235</v>
      </c>
      <c r="H103" s="100"/>
      <c r="I103" s="13">
        <f>G103*3</f>
        <v>705</v>
      </c>
    </row>
    <row r="104" spans="1:9" ht="15.75" customHeight="1">
      <c r="A104" s="29">
        <v>30</v>
      </c>
      <c r="B104" s="66" t="s">
        <v>294</v>
      </c>
      <c r="C104" s="67" t="s">
        <v>111</v>
      </c>
      <c r="D104" s="64"/>
      <c r="E104" s="36"/>
      <c r="F104" s="36"/>
      <c r="G104" s="36">
        <v>49</v>
      </c>
      <c r="H104" s="100"/>
      <c r="I104" s="13">
        <f>G104*1</f>
        <v>49</v>
      </c>
    </row>
    <row r="105" spans="1:9" ht="33.75" customHeight="1">
      <c r="A105" s="29">
        <v>31</v>
      </c>
      <c r="B105" s="66" t="s">
        <v>134</v>
      </c>
      <c r="C105" s="67" t="s">
        <v>37</v>
      </c>
      <c r="D105" s="64"/>
      <c r="E105" s="36"/>
      <c r="F105" s="36"/>
      <c r="G105" s="36">
        <v>3914.31</v>
      </c>
      <c r="H105" s="100"/>
      <c r="I105" s="13">
        <f>G105*0.01</f>
        <v>39.143099999999997</v>
      </c>
    </row>
    <row r="106" spans="1:9" ht="30.75" customHeight="1">
      <c r="A106" s="29">
        <v>32</v>
      </c>
      <c r="B106" s="66" t="s">
        <v>297</v>
      </c>
      <c r="C106" s="67" t="s">
        <v>261</v>
      </c>
      <c r="D106" s="40" t="s">
        <v>299</v>
      </c>
      <c r="E106" s="36"/>
      <c r="F106" s="36"/>
      <c r="G106" s="126">
        <v>845</v>
      </c>
      <c r="H106" s="100"/>
      <c r="I106" s="13">
        <f>G106*19</f>
        <v>16055</v>
      </c>
    </row>
    <row r="107" spans="1:9" ht="15.75" customHeight="1">
      <c r="A107" s="29"/>
      <c r="B107" s="45" t="s">
        <v>50</v>
      </c>
      <c r="C107" s="41"/>
      <c r="D107" s="53"/>
      <c r="E107" s="41">
        <v>1</v>
      </c>
      <c r="F107" s="41"/>
      <c r="G107" s="41"/>
      <c r="H107" s="41"/>
      <c r="I107" s="31">
        <f>SUM(I92:I106)</f>
        <v>47323.544199999997</v>
      </c>
    </row>
    <row r="108" spans="1:9" ht="15.75" customHeight="1">
      <c r="A108" s="29"/>
      <c r="B108" s="51" t="s">
        <v>76</v>
      </c>
      <c r="C108" s="15"/>
      <c r="D108" s="15"/>
      <c r="E108" s="42"/>
      <c r="F108" s="42"/>
      <c r="G108" s="43"/>
      <c r="H108" s="43"/>
      <c r="I108" s="17">
        <v>0</v>
      </c>
    </row>
    <row r="109" spans="1:9" ht="15.75" customHeight="1">
      <c r="A109" s="54"/>
      <c r="B109" s="46" t="s">
        <v>144</v>
      </c>
      <c r="C109" s="34"/>
      <c r="D109" s="34"/>
      <c r="E109" s="34"/>
      <c r="F109" s="34"/>
      <c r="G109" s="34"/>
      <c r="H109" s="34"/>
      <c r="I109" s="44">
        <f>I90+I107</f>
        <v>124613.72087559997</v>
      </c>
    </row>
    <row r="110" spans="1:9" ht="15.75">
      <c r="A110" s="205" t="s">
        <v>327</v>
      </c>
      <c r="B110" s="205"/>
      <c r="C110" s="205"/>
      <c r="D110" s="205"/>
      <c r="E110" s="205"/>
      <c r="F110" s="205"/>
      <c r="G110" s="205"/>
      <c r="H110" s="205"/>
      <c r="I110" s="205"/>
    </row>
    <row r="111" spans="1:9" ht="15.75">
      <c r="A111" s="61"/>
      <c r="B111" s="206" t="s">
        <v>328</v>
      </c>
      <c r="C111" s="206"/>
      <c r="D111" s="206"/>
      <c r="E111" s="206"/>
      <c r="F111" s="206"/>
      <c r="G111" s="206"/>
      <c r="H111" s="80"/>
      <c r="I111" s="3"/>
    </row>
    <row r="112" spans="1:9">
      <c r="A112" s="74"/>
      <c r="B112" s="204" t="s">
        <v>6</v>
      </c>
      <c r="C112" s="204"/>
      <c r="D112" s="204"/>
      <c r="E112" s="204"/>
      <c r="F112" s="204"/>
      <c r="G112" s="204"/>
      <c r="H112" s="24"/>
      <c r="I112" s="5"/>
    </row>
    <row r="113" spans="1:9">
      <c r="A113" s="10"/>
      <c r="B113" s="10"/>
      <c r="C113" s="10"/>
      <c r="D113" s="10"/>
      <c r="E113" s="10"/>
      <c r="F113" s="10"/>
      <c r="G113" s="10"/>
      <c r="H113" s="10"/>
      <c r="I113" s="10"/>
    </row>
    <row r="114" spans="1:9" ht="15.75">
      <c r="A114" s="207" t="s">
        <v>7</v>
      </c>
      <c r="B114" s="207"/>
      <c r="C114" s="207"/>
      <c r="D114" s="207"/>
      <c r="E114" s="207"/>
      <c r="F114" s="207"/>
      <c r="G114" s="207"/>
      <c r="H114" s="207"/>
      <c r="I114" s="207"/>
    </row>
    <row r="115" spans="1:9" ht="15.75">
      <c r="A115" s="207" t="s">
        <v>8</v>
      </c>
      <c r="B115" s="207"/>
      <c r="C115" s="207"/>
      <c r="D115" s="207"/>
      <c r="E115" s="207"/>
      <c r="F115" s="207"/>
      <c r="G115" s="207"/>
      <c r="H115" s="207"/>
      <c r="I115" s="207"/>
    </row>
    <row r="116" spans="1:9" ht="15.75">
      <c r="A116" s="201" t="s">
        <v>59</v>
      </c>
      <c r="B116" s="201"/>
      <c r="C116" s="201"/>
      <c r="D116" s="201"/>
      <c r="E116" s="201"/>
      <c r="F116" s="201"/>
      <c r="G116" s="201"/>
      <c r="H116" s="201"/>
      <c r="I116" s="201"/>
    </row>
    <row r="117" spans="1:9" ht="15.75">
      <c r="A117" s="11"/>
    </row>
    <row r="118" spans="1:9" ht="15.75">
      <c r="A118" s="202" t="s">
        <v>9</v>
      </c>
      <c r="B118" s="202"/>
      <c r="C118" s="202"/>
      <c r="D118" s="202"/>
      <c r="E118" s="202"/>
      <c r="F118" s="202"/>
      <c r="G118" s="202"/>
      <c r="H118" s="202"/>
      <c r="I118" s="202"/>
    </row>
    <row r="119" spans="1:9" ht="15.75">
      <c r="A119" s="4"/>
    </row>
    <row r="120" spans="1:9" ht="15.75">
      <c r="B120" s="72" t="s">
        <v>10</v>
      </c>
      <c r="C120" s="203" t="s">
        <v>84</v>
      </c>
      <c r="D120" s="203"/>
      <c r="E120" s="203"/>
      <c r="F120" s="78"/>
      <c r="I120" s="73"/>
    </row>
    <row r="121" spans="1:9">
      <c r="A121" s="74"/>
      <c r="C121" s="204" t="s">
        <v>11</v>
      </c>
      <c r="D121" s="204"/>
      <c r="E121" s="204"/>
      <c r="F121" s="24"/>
      <c r="I121" s="71" t="s">
        <v>12</v>
      </c>
    </row>
    <row r="122" spans="1:9" ht="15.75">
      <c r="A122" s="25"/>
      <c r="C122" s="12"/>
      <c r="D122" s="12"/>
      <c r="G122" s="12"/>
      <c r="H122" s="12"/>
    </row>
    <row r="123" spans="1:9" ht="15.75">
      <c r="B123" s="72" t="s">
        <v>13</v>
      </c>
      <c r="C123" s="198"/>
      <c r="D123" s="198"/>
      <c r="E123" s="198"/>
      <c r="F123" s="79"/>
      <c r="I123" s="73"/>
    </row>
    <row r="124" spans="1:9">
      <c r="A124" s="74"/>
      <c r="C124" s="199" t="s">
        <v>11</v>
      </c>
      <c r="D124" s="199"/>
      <c r="E124" s="199"/>
      <c r="F124" s="74"/>
      <c r="I124" s="71" t="s">
        <v>12</v>
      </c>
    </row>
    <row r="125" spans="1:9" ht="15.75">
      <c r="A125" s="4" t="s">
        <v>14</v>
      </c>
    </row>
    <row r="126" spans="1:9">
      <c r="A126" s="200" t="s">
        <v>15</v>
      </c>
      <c r="B126" s="200"/>
      <c r="C126" s="200"/>
      <c r="D126" s="200"/>
      <c r="E126" s="200"/>
      <c r="F126" s="200"/>
      <c r="G126" s="200"/>
      <c r="H126" s="200"/>
      <c r="I126" s="200"/>
    </row>
    <row r="127" spans="1:9" ht="45" customHeight="1">
      <c r="A127" s="197" t="s">
        <v>16</v>
      </c>
      <c r="B127" s="197"/>
      <c r="C127" s="197"/>
      <c r="D127" s="197"/>
      <c r="E127" s="197"/>
      <c r="F127" s="197"/>
      <c r="G127" s="197"/>
      <c r="H127" s="197"/>
      <c r="I127" s="197"/>
    </row>
    <row r="128" spans="1:9" ht="30" customHeight="1">
      <c r="A128" s="197" t="s">
        <v>17</v>
      </c>
      <c r="B128" s="197"/>
      <c r="C128" s="197"/>
      <c r="D128" s="197"/>
      <c r="E128" s="197"/>
      <c r="F128" s="197"/>
      <c r="G128" s="197"/>
      <c r="H128" s="197"/>
      <c r="I128" s="197"/>
    </row>
    <row r="129" spans="1:9" ht="30" customHeight="1">
      <c r="A129" s="197" t="s">
        <v>21</v>
      </c>
      <c r="B129" s="197"/>
      <c r="C129" s="197"/>
      <c r="D129" s="197"/>
      <c r="E129" s="197"/>
      <c r="F129" s="197"/>
      <c r="G129" s="197"/>
      <c r="H129" s="197"/>
      <c r="I129" s="197"/>
    </row>
    <row r="130" spans="1:9" ht="15" customHeight="1">
      <c r="A130" s="197" t="s">
        <v>20</v>
      </c>
      <c r="B130" s="197"/>
      <c r="C130" s="197"/>
      <c r="D130" s="197"/>
      <c r="E130" s="197"/>
      <c r="F130" s="197"/>
      <c r="G130" s="197"/>
      <c r="H130" s="197"/>
      <c r="I130" s="197"/>
    </row>
  </sheetData>
  <autoFilter ref="I12:I65"/>
  <mergeCells count="29">
    <mergeCell ref="A14:I14"/>
    <mergeCell ref="A15:I15"/>
    <mergeCell ref="A28:I28"/>
    <mergeCell ref="A45:I45"/>
    <mergeCell ref="A55:I55"/>
    <mergeCell ref="A3:I3"/>
    <mergeCell ref="A4:I4"/>
    <mergeCell ref="A5:I5"/>
    <mergeCell ref="A8:I8"/>
    <mergeCell ref="A10:I10"/>
    <mergeCell ref="R70:U70"/>
    <mergeCell ref="C124:E124"/>
    <mergeCell ref="A91:I91"/>
    <mergeCell ref="A110:I110"/>
    <mergeCell ref="B111:G111"/>
    <mergeCell ref="B112:G112"/>
    <mergeCell ref="A114:I114"/>
    <mergeCell ref="A115:I115"/>
    <mergeCell ref="A116:I116"/>
    <mergeCell ref="A118:I118"/>
    <mergeCell ref="C120:E120"/>
    <mergeCell ref="C121:E121"/>
    <mergeCell ref="C123:E123"/>
    <mergeCell ref="A87:I87"/>
    <mergeCell ref="A126:I126"/>
    <mergeCell ref="A127:I127"/>
    <mergeCell ref="A128:I128"/>
    <mergeCell ref="A129:I129"/>
    <mergeCell ref="A130:I130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V119"/>
  <sheetViews>
    <sheetView topLeftCell="A88" workbookViewId="0">
      <selection activeCell="A103" sqref="A103:I10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2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170</v>
      </c>
      <c r="I1" s="26"/>
      <c r="J1" s="1"/>
      <c r="K1" s="1"/>
      <c r="L1" s="1"/>
      <c r="M1" s="1"/>
    </row>
    <row r="2" spans="1:13" ht="15.75" customHeight="1">
      <c r="A2" s="28" t="s">
        <v>60</v>
      </c>
      <c r="J2" s="2"/>
      <c r="K2" s="2"/>
      <c r="L2" s="2"/>
      <c r="M2" s="2"/>
    </row>
    <row r="3" spans="1:13" ht="15.75" customHeight="1">
      <c r="A3" s="214" t="s">
        <v>163</v>
      </c>
      <c r="B3" s="214"/>
      <c r="C3" s="214"/>
      <c r="D3" s="214"/>
      <c r="E3" s="214"/>
      <c r="F3" s="214"/>
      <c r="G3" s="214"/>
      <c r="H3" s="214"/>
      <c r="I3" s="214"/>
      <c r="J3" s="3"/>
      <c r="K3" s="3"/>
      <c r="L3" s="3"/>
    </row>
    <row r="4" spans="1:13" ht="31.5" customHeight="1">
      <c r="A4" s="215" t="s">
        <v>122</v>
      </c>
      <c r="B4" s="215"/>
      <c r="C4" s="215"/>
      <c r="D4" s="215"/>
      <c r="E4" s="215"/>
      <c r="F4" s="215"/>
      <c r="G4" s="215"/>
      <c r="H4" s="215"/>
      <c r="I4" s="215"/>
    </row>
    <row r="5" spans="1:13" ht="15.75" customHeight="1">
      <c r="A5" s="214" t="s">
        <v>300</v>
      </c>
      <c r="B5" s="218"/>
      <c r="C5" s="218"/>
      <c r="D5" s="218"/>
      <c r="E5" s="218"/>
      <c r="F5" s="218"/>
      <c r="G5" s="218"/>
      <c r="H5" s="218"/>
      <c r="I5" s="218"/>
      <c r="J5" s="2"/>
      <c r="K5" s="2"/>
      <c r="L5" s="2"/>
      <c r="M5" s="2"/>
    </row>
    <row r="6" spans="1:13" ht="15.75" customHeight="1">
      <c r="A6" s="2"/>
      <c r="B6" s="110"/>
      <c r="C6" s="110"/>
      <c r="D6" s="110"/>
      <c r="E6" s="110"/>
      <c r="F6" s="110"/>
      <c r="G6" s="110"/>
      <c r="H6" s="110"/>
      <c r="I6" s="30">
        <v>43799</v>
      </c>
      <c r="J6" s="2"/>
      <c r="K6" s="2"/>
      <c r="L6" s="2"/>
      <c r="M6" s="2"/>
    </row>
    <row r="7" spans="1:13" ht="15.75" customHeight="1">
      <c r="B7" s="108"/>
      <c r="C7" s="108"/>
      <c r="D7" s="108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16" t="s">
        <v>270</v>
      </c>
      <c r="B8" s="216"/>
      <c r="C8" s="216"/>
      <c r="D8" s="216"/>
      <c r="E8" s="216"/>
      <c r="F8" s="216"/>
      <c r="G8" s="216"/>
      <c r="H8" s="216"/>
      <c r="I8" s="216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17" t="s">
        <v>136</v>
      </c>
      <c r="B10" s="217"/>
      <c r="C10" s="217"/>
      <c r="D10" s="217"/>
      <c r="E10" s="217"/>
      <c r="F10" s="217"/>
      <c r="G10" s="217"/>
      <c r="H10" s="217"/>
      <c r="I10" s="217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219" t="s">
        <v>57</v>
      </c>
      <c r="B14" s="219"/>
      <c r="C14" s="219"/>
      <c r="D14" s="219"/>
      <c r="E14" s="219"/>
      <c r="F14" s="219"/>
      <c r="G14" s="219"/>
      <c r="H14" s="219"/>
      <c r="I14" s="219"/>
      <c r="J14" s="8"/>
      <c r="K14" s="8"/>
      <c r="L14" s="8"/>
      <c r="M14" s="8"/>
    </row>
    <row r="15" spans="1:13" ht="15.75" customHeight="1">
      <c r="A15" s="220" t="s">
        <v>4</v>
      </c>
      <c r="B15" s="220"/>
      <c r="C15" s="220"/>
      <c r="D15" s="220"/>
      <c r="E15" s="220"/>
      <c r="F15" s="220"/>
      <c r="G15" s="220"/>
      <c r="H15" s="220"/>
      <c r="I15" s="220"/>
      <c r="J15" s="8"/>
      <c r="K15" s="8"/>
      <c r="L15" s="8"/>
      <c r="M15" s="8"/>
    </row>
    <row r="16" spans="1:13" ht="15.75" customHeight="1">
      <c r="A16" s="29">
        <v>1</v>
      </c>
      <c r="B16" s="32" t="s">
        <v>82</v>
      </c>
      <c r="C16" s="138" t="s">
        <v>89</v>
      </c>
      <c r="D16" s="32" t="s">
        <v>230</v>
      </c>
      <c r="E16" s="152">
        <v>129.88</v>
      </c>
      <c r="F16" s="139">
        <f>SUM(E16*156/100)</f>
        <v>202.61279999999999</v>
      </c>
      <c r="G16" s="139">
        <v>239.2</v>
      </c>
      <c r="H16" s="86">
        <f t="shared" ref="H16:H26" si="0">SUM(F16*G16/1000)</f>
        <v>48.464981759999993</v>
      </c>
      <c r="I16" s="13">
        <f>F16/12*G16</f>
        <v>4038.7484799999997</v>
      </c>
      <c r="J16" s="8"/>
      <c r="K16" s="8"/>
      <c r="L16" s="8"/>
      <c r="M16" s="8"/>
    </row>
    <row r="17" spans="1:13" ht="15.75" customHeight="1">
      <c r="A17" s="29">
        <v>2</v>
      </c>
      <c r="B17" s="32" t="s">
        <v>85</v>
      </c>
      <c r="C17" s="138" t="s">
        <v>89</v>
      </c>
      <c r="D17" s="32" t="s">
        <v>231</v>
      </c>
      <c r="E17" s="152">
        <v>519.52</v>
      </c>
      <c r="F17" s="139">
        <f>SUM(E17*104/100)</f>
        <v>540.30079999999998</v>
      </c>
      <c r="G17" s="139">
        <v>239.2</v>
      </c>
      <c r="H17" s="86">
        <f t="shared" si="0"/>
        <v>129.23995135999999</v>
      </c>
      <c r="I17" s="13">
        <f>F17/12*G17</f>
        <v>10769.995946666666</v>
      </c>
      <c r="J17" s="22"/>
      <c r="K17" s="8"/>
      <c r="L17" s="8"/>
      <c r="M17" s="8"/>
    </row>
    <row r="18" spans="1:13" ht="15.75" customHeight="1">
      <c r="A18" s="29">
        <v>3</v>
      </c>
      <c r="B18" s="32" t="s">
        <v>86</v>
      </c>
      <c r="C18" s="138" t="s">
        <v>89</v>
      </c>
      <c r="D18" s="32" t="s">
        <v>232</v>
      </c>
      <c r="E18" s="152">
        <f>SUM(E16+E17)</f>
        <v>649.4</v>
      </c>
      <c r="F18" s="139">
        <f>SUM(E18*18/100)</f>
        <v>116.892</v>
      </c>
      <c r="G18" s="139">
        <v>688.14</v>
      </c>
      <c r="H18" s="86">
        <f t="shared" si="0"/>
        <v>80.438060879999995</v>
      </c>
      <c r="I18" s="13">
        <f>F18/12*G18</f>
        <v>6703.1717399999998</v>
      </c>
      <c r="J18" s="22"/>
      <c r="K18" s="8"/>
      <c r="L18" s="8"/>
      <c r="M18" s="8"/>
    </row>
    <row r="19" spans="1:13" ht="15.75" hidden="1" customHeight="1">
      <c r="A19" s="29">
        <v>4</v>
      </c>
      <c r="B19" s="82" t="s">
        <v>90</v>
      </c>
      <c r="C19" s="83" t="s">
        <v>91</v>
      </c>
      <c r="D19" s="82" t="s">
        <v>92</v>
      </c>
      <c r="E19" s="84">
        <v>124.8</v>
      </c>
      <c r="F19" s="85">
        <f>SUM(E19/10)</f>
        <v>12.48</v>
      </c>
      <c r="G19" s="85">
        <v>170.16</v>
      </c>
      <c r="H19" s="86">
        <f t="shared" si="0"/>
        <v>2.1235967999999996</v>
      </c>
      <c r="I19" s="13">
        <f>F19/2*G19</f>
        <v>1061.7983999999999</v>
      </c>
      <c r="J19" s="22"/>
      <c r="K19" s="8"/>
      <c r="L19" s="8"/>
      <c r="M19" s="8"/>
    </row>
    <row r="20" spans="1:13" ht="15.75" customHeight="1">
      <c r="A20" s="29">
        <v>4</v>
      </c>
      <c r="B20" s="32" t="s">
        <v>95</v>
      </c>
      <c r="C20" s="138" t="s">
        <v>89</v>
      </c>
      <c r="D20" s="32" t="s">
        <v>243</v>
      </c>
      <c r="E20" s="152">
        <v>57.5</v>
      </c>
      <c r="F20" s="139">
        <f>SUM(E20*12/100)</f>
        <v>6.9</v>
      </c>
      <c r="G20" s="139">
        <v>297.19</v>
      </c>
      <c r="H20" s="86">
        <f t="shared" si="0"/>
        <v>2.050611</v>
      </c>
      <c r="I20" s="13">
        <f>F20*G20/12</f>
        <v>170.88424999999998</v>
      </c>
      <c r="J20" s="22"/>
      <c r="K20" s="8"/>
      <c r="L20" s="8"/>
      <c r="M20" s="8"/>
    </row>
    <row r="21" spans="1:13" ht="15.75" customHeight="1">
      <c r="A21" s="29">
        <v>5</v>
      </c>
      <c r="B21" s="32" t="s">
        <v>96</v>
      </c>
      <c r="C21" s="138" t="s">
        <v>89</v>
      </c>
      <c r="D21" s="32" t="s">
        <v>243</v>
      </c>
      <c r="E21" s="152">
        <v>13.41</v>
      </c>
      <c r="F21" s="139">
        <f>SUM(E21*12/100)</f>
        <v>1.6092000000000002</v>
      </c>
      <c r="G21" s="139">
        <v>294.77999999999997</v>
      </c>
      <c r="H21" s="86">
        <f t="shared" si="0"/>
        <v>0.47435997600000002</v>
      </c>
      <c r="I21" s="13">
        <f>F21*G21/12</f>
        <v>39.529997999999999</v>
      </c>
      <c r="J21" s="22"/>
      <c r="K21" s="8"/>
      <c r="L21" s="8"/>
      <c r="M21" s="8"/>
    </row>
    <row r="22" spans="1:13" ht="15.75" hidden="1" customHeight="1">
      <c r="A22" s="29">
        <v>7</v>
      </c>
      <c r="B22" s="82" t="s">
        <v>97</v>
      </c>
      <c r="C22" s="83" t="s">
        <v>51</v>
      </c>
      <c r="D22" s="82" t="s">
        <v>92</v>
      </c>
      <c r="E22" s="84">
        <v>820.5</v>
      </c>
      <c r="F22" s="85">
        <f>SUM(E22/100)</f>
        <v>8.2050000000000001</v>
      </c>
      <c r="G22" s="85">
        <v>269.26</v>
      </c>
      <c r="H22" s="86">
        <f t="shared" si="0"/>
        <v>2.2092782999999998</v>
      </c>
      <c r="I22" s="13">
        <f t="shared" ref="I22:I26" si="1">F22*G22</f>
        <v>2209.2782999999999</v>
      </c>
      <c r="J22" s="22"/>
      <c r="K22" s="8"/>
      <c r="L22" s="8"/>
      <c r="M22" s="8"/>
    </row>
    <row r="23" spans="1:13" ht="15.75" hidden="1" customHeight="1">
      <c r="A23" s="29">
        <v>8</v>
      </c>
      <c r="B23" s="82" t="s">
        <v>98</v>
      </c>
      <c r="C23" s="83" t="s">
        <v>51</v>
      </c>
      <c r="D23" s="82" t="s">
        <v>92</v>
      </c>
      <c r="E23" s="87">
        <v>60.25</v>
      </c>
      <c r="F23" s="85">
        <f>SUM(E23/100)</f>
        <v>0.60250000000000004</v>
      </c>
      <c r="G23" s="85">
        <v>44.29</v>
      </c>
      <c r="H23" s="86">
        <f t="shared" si="0"/>
        <v>2.6684724999999999E-2</v>
      </c>
      <c r="I23" s="13">
        <f t="shared" si="1"/>
        <v>26.684725</v>
      </c>
      <c r="J23" s="22"/>
      <c r="K23" s="8"/>
      <c r="L23" s="8"/>
      <c r="M23" s="8"/>
    </row>
    <row r="24" spans="1:13" ht="15.75" hidden="1" customHeight="1">
      <c r="A24" s="29">
        <v>9</v>
      </c>
      <c r="B24" s="82" t="s">
        <v>93</v>
      </c>
      <c r="C24" s="83" t="s">
        <v>51</v>
      </c>
      <c r="D24" s="82" t="s">
        <v>94</v>
      </c>
      <c r="E24" s="84">
        <v>19.149999999999999</v>
      </c>
      <c r="F24" s="85">
        <f>E24/100</f>
        <v>0.19149999999999998</v>
      </c>
      <c r="G24" s="85">
        <v>389.72</v>
      </c>
      <c r="H24" s="86">
        <f t="shared" si="0"/>
        <v>7.4631379999999997E-2</v>
      </c>
      <c r="I24" s="13">
        <f t="shared" si="1"/>
        <v>74.631379999999993</v>
      </c>
      <c r="J24" s="22"/>
      <c r="K24" s="8"/>
      <c r="L24" s="8"/>
      <c r="M24" s="8"/>
    </row>
    <row r="25" spans="1:13" ht="15.75" hidden="1" customHeight="1">
      <c r="A25" s="29">
        <v>10</v>
      </c>
      <c r="B25" s="82" t="s">
        <v>100</v>
      </c>
      <c r="C25" s="83" t="s">
        <v>51</v>
      </c>
      <c r="D25" s="82" t="s">
        <v>52</v>
      </c>
      <c r="E25" s="84">
        <v>31.5</v>
      </c>
      <c r="F25" s="85">
        <v>0.32</v>
      </c>
      <c r="G25" s="85">
        <v>216.12</v>
      </c>
      <c r="H25" s="86">
        <f t="shared" si="0"/>
        <v>6.9158399999999995E-2</v>
      </c>
      <c r="I25" s="13">
        <f t="shared" si="1"/>
        <v>69.1584</v>
      </c>
      <c r="J25" s="22"/>
      <c r="K25" s="8"/>
      <c r="L25" s="8"/>
      <c r="M25" s="8"/>
    </row>
    <row r="26" spans="1:13" ht="15.75" hidden="1" customHeight="1">
      <c r="A26" s="29">
        <v>11</v>
      </c>
      <c r="B26" s="82" t="s">
        <v>99</v>
      </c>
      <c r="C26" s="83" t="s">
        <v>51</v>
      </c>
      <c r="D26" s="82" t="s">
        <v>92</v>
      </c>
      <c r="E26" s="84">
        <v>37.5</v>
      </c>
      <c r="F26" s="85">
        <f>SUM(E26/100)</f>
        <v>0.375</v>
      </c>
      <c r="G26" s="85">
        <v>520.79999999999995</v>
      </c>
      <c r="H26" s="86">
        <f t="shared" si="0"/>
        <v>0.19529999999999997</v>
      </c>
      <c r="I26" s="13">
        <f t="shared" si="1"/>
        <v>195.29999999999998</v>
      </c>
      <c r="J26" s="22"/>
      <c r="K26" s="8"/>
      <c r="L26" s="8"/>
      <c r="M26" s="8"/>
    </row>
    <row r="27" spans="1:13" ht="15.75" customHeight="1">
      <c r="A27" s="29">
        <v>6</v>
      </c>
      <c r="B27" s="32" t="s">
        <v>229</v>
      </c>
      <c r="C27" s="138" t="s">
        <v>26</v>
      </c>
      <c r="D27" s="32" t="s">
        <v>234</v>
      </c>
      <c r="E27" s="175">
        <v>4.88</v>
      </c>
      <c r="F27" s="139">
        <f>E27*258</f>
        <v>1259.04</v>
      </c>
      <c r="G27" s="139">
        <v>10.39</v>
      </c>
      <c r="H27" s="86">
        <f t="shared" ref="H27" si="2">SUM(F27*G27/1000)</f>
        <v>13.081425600000001</v>
      </c>
      <c r="I27" s="13">
        <f>F27/12*G27</f>
        <v>1090.1188</v>
      </c>
      <c r="J27" s="22"/>
      <c r="K27" s="8"/>
      <c r="L27" s="8"/>
      <c r="M27" s="8"/>
    </row>
    <row r="28" spans="1:13" ht="15.75" hidden="1" customHeight="1">
      <c r="A28" s="29">
        <v>5</v>
      </c>
      <c r="B28" s="88" t="s">
        <v>23</v>
      </c>
      <c r="C28" s="83" t="s">
        <v>24</v>
      </c>
      <c r="D28" s="82" t="s">
        <v>25</v>
      </c>
      <c r="E28" s="84">
        <v>5162.6000000000004</v>
      </c>
      <c r="F28" s="85">
        <f>SUM(E28*12)</f>
        <v>61951.200000000004</v>
      </c>
      <c r="G28" s="85">
        <v>3.33</v>
      </c>
      <c r="H28" s="86">
        <f t="shared" ref="H28" si="3">SUM(F28*G28/1000)</f>
        <v>206.29749600000002</v>
      </c>
      <c r="I28" s="13">
        <f>F28/12*G28</f>
        <v>17191.458000000002</v>
      </c>
      <c r="J28" s="22"/>
      <c r="K28" s="8"/>
      <c r="L28" s="8"/>
      <c r="M28" s="8"/>
    </row>
    <row r="29" spans="1:13" ht="15.75" customHeight="1">
      <c r="A29" s="220" t="s">
        <v>81</v>
      </c>
      <c r="B29" s="220"/>
      <c r="C29" s="220"/>
      <c r="D29" s="220"/>
      <c r="E29" s="220"/>
      <c r="F29" s="220"/>
      <c r="G29" s="220"/>
      <c r="H29" s="220"/>
      <c r="I29" s="220"/>
      <c r="J29" s="22"/>
      <c r="K29" s="8"/>
      <c r="L29" s="8"/>
      <c r="M29" s="8"/>
    </row>
    <row r="30" spans="1:13" ht="15.75" hidden="1" customHeight="1">
      <c r="A30" s="40"/>
      <c r="B30" s="50" t="s">
        <v>29</v>
      </c>
      <c r="C30" s="50"/>
      <c r="D30" s="50"/>
      <c r="E30" s="50"/>
      <c r="F30" s="50"/>
      <c r="G30" s="50"/>
      <c r="H30" s="50"/>
      <c r="I30" s="18"/>
      <c r="J30" s="22"/>
      <c r="K30" s="8"/>
      <c r="L30" s="8"/>
      <c r="M30" s="8"/>
    </row>
    <row r="31" spans="1:13" ht="15.75" hidden="1" customHeight="1">
      <c r="A31" s="40">
        <v>6</v>
      </c>
      <c r="B31" s="82" t="s">
        <v>101</v>
      </c>
      <c r="C31" s="83" t="s">
        <v>102</v>
      </c>
      <c r="D31" s="82" t="s">
        <v>103</v>
      </c>
      <c r="E31" s="85">
        <v>1304.45</v>
      </c>
      <c r="F31" s="85">
        <f>SUM(E31*52/1000)</f>
        <v>67.831400000000002</v>
      </c>
      <c r="G31" s="85">
        <v>155.88999999999999</v>
      </c>
      <c r="H31" s="86">
        <f t="shared" ref="H31:H36" si="4">SUM(F31*G31/1000)</f>
        <v>10.574236945999999</v>
      </c>
      <c r="I31" s="13">
        <f>F31/6*G31</f>
        <v>1762.3728243333333</v>
      </c>
      <c r="J31" s="22"/>
      <c r="K31" s="8"/>
      <c r="L31" s="8"/>
      <c r="M31" s="8"/>
    </row>
    <row r="32" spans="1:13" ht="31.5" hidden="1" customHeight="1">
      <c r="A32" s="40">
        <v>7</v>
      </c>
      <c r="B32" s="82" t="s">
        <v>140</v>
      </c>
      <c r="C32" s="83" t="s">
        <v>102</v>
      </c>
      <c r="D32" s="82" t="s">
        <v>104</v>
      </c>
      <c r="E32" s="85">
        <v>287.83999999999997</v>
      </c>
      <c r="F32" s="85">
        <f>SUM(E32*78/1000)</f>
        <v>22.451519999999995</v>
      </c>
      <c r="G32" s="85">
        <v>258.63</v>
      </c>
      <c r="H32" s="86">
        <f t="shared" si="4"/>
        <v>5.8066366175999979</v>
      </c>
      <c r="I32" s="13">
        <f t="shared" ref="I32:I34" si="5">F32/6*G32</f>
        <v>967.77276959999972</v>
      </c>
      <c r="J32" s="22"/>
      <c r="K32" s="8"/>
      <c r="L32" s="8"/>
      <c r="M32" s="8"/>
    </row>
    <row r="33" spans="1:14" ht="15.75" hidden="1" customHeight="1">
      <c r="A33" s="40">
        <v>16</v>
      </c>
      <c r="B33" s="82" t="s">
        <v>28</v>
      </c>
      <c r="C33" s="83" t="s">
        <v>102</v>
      </c>
      <c r="D33" s="82" t="s">
        <v>52</v>
      </c>
      <c r="E33" s="85">
        <v>1304.45</v>
      </c>
      <c r="F33" s="85">
        <f>SUM(E33/1000)</f>
        <v>1.3044500000000001</v>
      </c>
      <c r="G33" s="85">
        <v>3020.33</v>
      </c>
      <c r="H33" s="86">
        <f t="shared" si="4"/>
        <v>3.9398694685</v>
      </c>
      <c r="I33" s="13">
        <f>F33*G33</f>
        <v>3939.8694685</v>
      </c>
      <c r="J33" s="22"/>
      <c r="K33" s="8"/>
      <c r="L33" s="8"/>
      <c r="M33" s="8"/>
    </row>
    <row r="34" spans="1:14" ht="15.75" hidden="1" customHeight="1">
      <c r="A34" s="40">
        <v>8</v>
      </c>
      <c r="B34" s="82" t="s">
        <v>105</v>
      </c>
      <c r="C34" s="83" t="s">
        <v>31</v>
      </c>
      <c r="D34" s="82" t="s">
        <v>61</v>
      </c>
      <c r="E34" s="89">
        <v>0.33333333333333331</v>
      </c>
      <c r="F34" s="85">
        <f>155/3</f>
        <v>51.666666666666664</v>
      </c>
      <c r="G34" s="85">
        <v>56.69</v>
      </c>
      <c r="H34" s="86">
        <f t="shared" si="4"/>
        <v>2.9289833333333331</v>
      </c>
      <c r="I34" s="13">
        <f t="shared" si="5"/>
        <v>488.16388888888883</v>
      </c>
      <c r="J34" s="23"/>
    </row>
    <row r="35" spans="1:14" ht="15.75" hidden="1" customHeight="1">
      <c r="A35" s="40">
        <v>4</v>
      </c>
      <c r="B35" s="82" t="s">
        <v>63</v>
      </c>
      <c r="C35" s="83" t="s">
        <v>33</v>
      </c>
      <c r="D35" s="82" t="s">
        <v>65</v>
      </c>
      <c r="E35" s="84"/>
      <c r="F35" s="85">
        <v>3</v>
      </c>
      <c r="G35" s="85">
        <v>191.32</v>
      </c>
      <c r="H35" s="86">
        <f t="shared" si="4"/>
        <v>0.57396000000000003</v>
      </c>
      <c r="I35" s="13">
        <v>0</v>
      </c>
      <c r="J35" s="23"/>
    </row>
    <row r="36" spans="1:14" ht="15.75" hidden="1" customHeight="1">
      <c r="A36" s="29">
        <v>8</v>
      </c>
      <c r="B36" s="82" t="s">
        <v>64</v>
      </c>
      <c r="C36" s="83" t="s">
        <v>32</v>
      </c>
      <c r="D36" s="82" t="s">
        <v>65</v>
      </c>
      <c r="E36" s="84"/>
      <c r="F36" s="85">
        <v>2</v>
      </c>
      <c r="G36" s="85">
        <v>1136.32</v>
      </c>
      <c r="H36" s="86">
        <f t="shared" si="4"/>
        <v>2.27264</v>
      </c>
      <c r="I36" s="13">
        <v>0</v>
      </c>
      <c r="J36" s="23"/>
    </row>
    <row r="37" spans="1:14" ht="15.75" customHeight="1">
      <c r="A37" s="40"/>
      <c r="B37" s="48" t="s">
        <v>5</v>
      </c>
      <c r="C37" s="48"/>
      <c r="D37" s="48"/>
      <c r="E37" s="13"/>
      <c r="F37" s="13"/>
      <c r="G37" s="14"/>
      <c r="H37" s="14"/>
      <c r="I37" s="18"/>
      <c r="J37" s="23"/>
    </row>
    <row r="38" spans="1:14" ht="15.75" customHeight="1">
      <c r="A38" s="33">
        <v>7</v>
      </c>
      <c r="B38" s="155" t="s">
        <v>27</v>
      </c>
      <c r="C38" s="138" t="s">
        <v>32</v>
      </c>
      <c r="D38" s="32" t="s">
        <v>301</v>
      </c>
      <c r="E38" s="152"/>
      <c r="F38" s="139">
        <v>8</v>
      </c>
      <c r="G38" s="139">
        <v>2083</v>
      </c>
      <c r="H38" s="86">
        <f t="shared" ref="H38:H44" si="6">SUM(F38*G38/1000)</f>
        <v>16.664000000000001</v>
      </c>
      <c r="I38" s="13">
        <f>G38*0.5</f>
        <v>1041.5</v>
      </c>
      <c r="J38" s="23"/>
    </row>
    <row r="39" spans="1:14" ht="15.75" customHeight="1">
      <c r="A39" s="33">
        <v>8</v>
      </c>
      <c r="B39" s="155" t="s">
        <v>123</v>
      </c>
      <c r="C39" s="156" t="s">
        <v>30</v>
      </c>
      <c r="D39" s="155" t="s">
        <v>235</v>
      </c>
      <c r="E39" s="157">
        <v>287.83999999999997</v>
      </c>
      <c r="F39" s="157">
        <f>SUM(E39*30/1000)</f>
        <v>8.6351999999999993</v>
      </c>
      <c r="G39" s="157">
        <v>2868.09</v>
      </c>
      <c r="H39" s="86">
        <f t="shared" si="6"/>
        <v>24.766530767999999</v>
      </c>
      <c r="I39" s="13">
        <f>F39/6*G39</f>
        <v>4127.7551279999998</v>
      </c>
      <c r="J39" s="23"/>
    </row>
    <row r="40" spans="1:14" ht="15.75" customHeight="1">
      <c r="A40" s="33">
        <v>9</v>
      </c>
      <c r="B40" s="155" t="s">
        <v>178</v>
      </c>
      <c r="C40" s="156" t="s">
        <v>30</v>
      </c>
      <c r="D40" s="32" t="s">
        <v>236</v>
      </c>
      <c r="E40" s="152">
        <v>287.83999999999997</v>
      </c>
      <c r="F40" s="157">
        <f>E40*155/1000</f>
        <v>44.615199999999994</v>
      </c>
      <c r="G40" s="139">
        <v>478.42</v>
      </c>
      <c r="H40" s="86">
        <f>G40*F40/1000</f>
        <v>21.344803983999999</v>
      </c>
      <c r="I40" s="13">
        <f>F40/6*G40</f>
        <v>3557.4673306666664</v>
      </c>
      <c r="J40" s="23"/>
    </row>
    <row r="41" spans="1:14" ht="42.75" customHeight="1">
      <c r="A41" s="33">
        <v>10</v>
      </c>
      <c r="B41" s="32" t="s">
        <v>79</v>
      </c>
      <c r="C41" s="138" t="s">
        <v>102</v>
      </c>
      <c r="D41" s="32" t="s">
        <v>302</v>
      </c>
      <c r="E41" s="139">
        <v>130.6</v>
      </c>
      <c r="F41" s="157">
        <f>SUM(E41*35/1000)</f>
        <v>4.5709999999999997</v>
      </c>
      <c r="G41" s="139">
        <v>7915.6</v>
      </c>
      <c r="H41" s="86">
        <f>G41*F41/1000</f>
        <v>36.182207599999998</v>
      </c>
      <c r="I41" s="13">
        <f>G41*F41/6</f>
        <v>6030.3679333333339</v>
      </c>
      <c r="J41" s="23"/>
    </row>
    <row r="42" spans="1:14" ht="15.75" customHeight="1">
      <c r="A42" s="33">
        <v>11</v>
      </c>
      <c r="B42" s="32" t="s">
        <v>108</v>
      </c>
      <c r="C42" s="138" t="s">
        <v>102</v>
      </c>
      <c r="D42" s="32" t="s">
        <v>237</v>
      </c>
      <c r="E42" s="139">
        <v>287.83999999999997</v>
      </c>
      <c r="F42" s="157">
        <f>SUM(E42*45/1000)</f>
        <v>12.9528</v>
      </c>
      <c r="G42" s="139">
        <v>584.74</v>
      </c>
      <c r="H42" s="86">
        <f t="shared" si="6"/>
        <v>7.5740202719999994</v>
      </c>
      <c r="I42" s="13">
        <f>F42/7.5*G42</f>
        <v>1009.8693695999999</v>
      </c>
      <c r="J42" s="23"/>
    </row>
    <row r="43" spans="1:14" ht="17.25" customHeight="1">
      <c r="A43" s="33">
        <v>12</v>
      </c>
      <c r="B43" s="155" t="s">
        <v>68</v>
      </c>
      <c r="C43" s="156" t="s">
        <v>33</v>
      </c>
      <c r="D43" s="155"/>
      <c r="E43" s="158"/>
      <c r="F43" s="157">
        <v>0.9</v>
      </c>
      <c r="G43" s="157">
        <v>800</v>
      </c>
      <c r="H43" s="86">
        <f t="shared" si="6"/>
        <v>0.72</v>
      </c>
      <c r="I43" s="13">
        <f>F43/7.5*G43</f>
        <v>96.000000000000014</v>
      </c>
      <c r="J43" s="23"/>
      <c r="L43" s="19"/>
      <c r="M43" s="20"/>
      <c r="N43" s="21"/>
    </row>
    <row r="44" spans="1:14" ht="15.75" customHeight="1">
      <c r="A44" s="33">
        <v>13</v>
      </c>
      <c r="B44" s="155" t="s">
        <v>179</v>
      </c>
      <c r="C44" s="156" t="s">
        <v>102</v>
      </c>
      <c r="D44" s="155" t="s">
        <v>238</v>
      </c>
      <c r="E44" s="158">
        <v>0.6</v>
      </c>
      <c r="F44" s="157">
        <v>0.01</v>
      </c>
      <c r="G44" s="157">
        <v>18798.34</v>
      </c>
      <c r="H44" s="86">
        <f t="shared" si="6"/>
        <v>0.18798340000000002</v>
      </c>
      <c r="I44" s="13">
        <f>G44*F44/6</f>
        <v>31.33056666666667</v>
      </c>
      <c r="J44" s="23"/>
      <c r="L44" s="19"/>
      <c r="M44" s="20"/>
      <c r="N44" s="21"/>
    </row>
    <row r="45" spans="1:14" ht="15.75" hidden="1" customHeight="1">
      <c r="A45" s="224" t="s">
        <v>137</v>
      </c>
      <c r="B45" s="225"/>
      <c r="C45" s="225"/>
      <c r="D45" s="225"/>
      <c r="E45" s="225"/>
      <c r="F45" s="225"/>
      <c r="G45" s="225"/>
      <c r="H45" s="225"/>
      <c r="I45" s="226"/>
      <c r="J45" s="23"/>
      <c r="L45" s="19"/>
      <c r="M45" s="20"/>
      <c r="N45" s="21"/>
    </row>
    <row r="46" spans="1:14" ht="15.75" hidden="1" customHeight="1">
      <c r="A46" s="40">
        <v>9</v>
      </c>
      <c r="B46" s="82" t="s">
        <v>128</v>
      </c>
      <c r="C46" s="83" t="s">
        <v>102</v>
      </c>
      <c r="D46" s="82" t="s">
        <v>41</v>
      </c>
      <c r="E46" s="84">
        <v>1369</v>
      </c>
      <c r="F46" s="85">
        <f>SUM(E46*2/1000)</f>
        <v>2.738</v>
      </c>
      <c r="G46" s="13">
        <v>849.49</v>
      </c>
      <c r="H46" s="86">
        <f t="shared" ref="H46:H54" si="7">SUM(F46*G46/1000)</f>
        <v>2.3259036200000001</v>
      </c>
      <c r="I46" s="13">
        <f t="shared" ref="I46:I48" si="8">F46/2*G46</f>
        <v>1162.95181</v>
      </c>
      <c r="J46" s="23"/>
      <c r="L46" s="19"/>
      <c r="M46" s="20"/>
      <c r="N46" s="21"/>
    </row>
    <row r="47" spans="1:14" ht="15.75" hidden="1" customHeight="1">
      <c r="A47" s="40">
        <v>10</v>
      </c>
      <c r="B47" s="82" t="s">
        <v>34</v>
      </c>
      <c r="C47" s="83" t="s">
        <v>102</v>
      </c>
      <c r="D47" s="82" t="s">
        <v>41</v>
      </c>
      <c r="E47" s="84">
        <v>1418</v>
      </c>
      <c r="F47" s="85">
        <f>SUM(E47*2/1000)</f>
        <v>2.8359999999999999</v>
      </c>
      <c r="G47" s="13">
        <v>579.48</v>
      </c>
      <c r="H47" s="86">
        <f t="shared" si="7"/>
        <v>1.6434052799999999</v>
      </c>
      <c r="I47" s="13">
        <f t="shared" si="8"/>
        <v>821.70263999999997</v>
      </c>
      <c r="J47" s="23"/>
      <c r="L47" s="19"/>
      <c r="M47" s="20"/>
      <c r="N47" s="21"/>
    </row>
    <row r="48" spans="1:14" ht="15.75" hidden="1" customHeight="1">
      <c r="A48" s="40">
        <v>11</v>
      </c>
      <c r="B48" s="82" t="s">
        <v>35</v>
      </c>
      <c r="C48" s="83" t="s">
        <v>102</v>
      </c>
      <c r="D48" s="82" t="s">
        <v>41</v>
      </c>
      <c r="E48" s="84">
        <v>4985.21</v>
      </c>
      <c r="F48" s="85">
        <f>SUM(E48*2/1000)</f>
        <v>9.9704200000000007</v>
      </c>
      <c r="G48" s="13">
        <v>579.48</v>
      </c>
      <c r="H48" s="86">
        <f t="shared" si="7"/>
        <v>5.7776589816000001</v>
      </c>
      <c r="I48" s="13">
        <f t="shared" si="8"/>
        <v>2888.8294908000003</v>
      </c>
      <c r="J48" s="23"/>
      <c r="L48" s="19"/>
      <c r="M48" s="20"/>
      <c r="N48" s="21"/>
    </row>
    <row r="49" spans="1:14" ht="15.75" hidden="1" customHeight="1">
      <c r="A49" s="40">
        <v>12</v>
      </c>
      <c r="B49" s="82" t="s">
        <v>36</v>
      </c>
      <c r="C49" s="83" t="s">
        <v>102</v>
      </c>
      <c r="D49" s="82" t="s">
        <v>41</v>
      </c>
      <c r="E49" s="84">
        <v>2474</v>
      </c>
      <c r="F49" s="85">
        <f>SUM(E49*2/1000)</f>
        <v>4.9480000000000004</v>
      </c>
      <c r="G49" s="13">
        <v>606.77</v>
      </c>
      <c r="H49" s="86">
        <f t="shared" si="7"/>
        <v>3.0022979600000004</v>
      </c>
      <c r="I49" s="13">
        <f>F49/2*G49</f>
        <v>1501.1489800000002</v>
      </c>
      <c r="J49" s="23"/>
      <c r="L49" s="19"/>
      <c r="M49" s="20"/>
      <c r="N49" s="21"/>
    </row>
    <row r="50" spans="1:14" ht="15.75" hidden="1" customHeight="1">
      <c r="A50" s="40">
        <v>13</v>
      </c>
      <c r="B50" s="82" t="s">
        <v>54</v>
      </c>
      <c r="C50" s="83" t="s">
        <v>102</v>
      </c>
      <c r="D50" s="82" t="s">
        <v>141</v>
      </c>
      <c r="E50" s="84">
        <v>1349.3</v>
      </c>
      <c r="F50" s="85">
        <f>SUM(E50*5/1000)</f>
        <v>6.7465000000000002</v>
      </c>
      <c r="G50" s="13">
        <v>1213.55</v>
      </c>
      <c r="H50" s="86">
        <f t="shared" si="7"/>
        <v>8.1872150749999992</v>
      </c>
      <c r="I50" s="13">
        <f>F50/5*G50</f>
        <v>1637.4430149999998</v>
      </c>
      <c r="J50" s="23"/>
      <c r="L50" s="19"/>
      <c r="M50" s="20"/>
      <c r="N50" s="21"/>
    </row>
    <row r="51" spans="1:14" ht="30.75" hidden="1" customHeight="1">
      <c r="A51" s="40">
        <v>9</v>
      </c>
      <c r="B51" s="82" t="s">
        <v>109</v>
      </c>
      <c r="C51" s="83" t="s">
        <v>102</v>
      </c>
      <c r="D51" s="82" t="s">
        <v>41</v>
      </c>
      <c r="E51" s="84">
        <v>1349.3</v>
      </c>
      <c r="F51" s="85">
        <f>SUM(E51*2/1000)</f>
        <v>2.6985999999999999</v>
      </c>
      <c r="G51" s="13">
        <v>1213.55</v>
      </c>
      <c r="H51" s="86">
        <f t="shared" si="7"/>
        <v>3.2748860299999998</v>
      </c>
      <c r="I51" s="13">
        <f>F51/2*G51</f>
        <v>1637.4430149999998</v>
      </c>
      <c r="J51" s="23"/>
      <c r="L51" s="19"/>
      <c r="M51" s="20"/>
      <c r="N51" s="21"/>
    </row>
    <row r="52" spans="1:14" ht="30.75" hidden="1" customHeight="1">
      <c r="A52" s="40">
        <v>10</v>
      </c>
      <c r="B52" s="82" t="s">
        <v>110</v>
      </c>
      <c r="C52" s="83" t="s">
        <v>37</v>
      </c>
      <c r="D52" s="82" t="s">
        <v>41</v>
      </c>
      <c r="E52" s="84">
        <v>40</v>
      </c>
      <c r="F52" s="85">
        <f>SUM(E52*2/100)</f>
        <v>0.8</v>
      </c>
      <c r="G52" s="13">
        <v>2730.49</v>
      </c>
      <c r="H52" s="86">
        <f t="shared" si="7"/>
        <v>2.1843919999999999</v>
      </c>
      <c r="I52" s="13">
        <f t="shared" ref="I52:I53" si="9">F52/2*G52</f>
        <v>1092.1959999999999</v>
      </c>
      <c r="J52" s="23"/>
      <c r="L52" s="19"/>
      <c r="M52" s="20"/>
      <c r="N52" s="21"/>
    </row>
    <row r="53" spans="1:14" ht="15.75" hidden="1" customHeight="1">
      <c r="A53" s="40">
        <v>11</v>
      </c>
      <c r="B53" s="82" t="s">
        <v>38</v>
      </c>
      <c r="C53" s="83" t="s">
        <v>39</v>
      </c>
      <c r="D53" s="82" t="s">
        <v>41</v>
      </c>
      <c r="E53" s="84">
        <v>1</v>
      </c>
      <c r="F53" s="85">
        <v>0.02</v>
      </c>
      <c r="G53" s="13">
        <v>5652.13</v>
      </c>
      <c r="H53" s="86">
        <f t="shared" si="7"/>
        <v>0.11304260000000001</v>
      </c>
      <c r="I53" s="13">
        <f t="shared" si="9"/>
        <v>56.521300000000004</v>
      </c>
      <c r="J53" s="23"/>
      <c r="L53" s="19"/>
      <c r="M53" s="20"/>
      <c r="N53" s="21"/>
    </row>
    <row r="54" spans="1:14" ht="15.75" hidden="1" customHeight="1">
      <c r="A54" s="40">
        <v>12</v>
      </c>
      <c r="B54" s="82" t="s">
        <v>40</v>
      </c>
      <c r="C54" s="83" t="s">
        <v>111</v>
      </c>
      <c r="D54" s="82" t="s">
        <v>69</v>
      </c>
      <c r="E54" s="84">
        <v>238</v>
      </c>
      <c r="F54" s="85">
        <f>SUM(E54)*3</f>
        <v>714</v>
      </c>
      <c r="G54" s="13">
        <v>65.67</v>
      </c>
      <c r="H54" s="86">
        <f t="shared" si="7"/>
        <v>46.888380000000005</v>
      </c>
      <c r="I54" s="13">
        <f>E54*G54</f>
        <v>15629.460000000001</v>
      </c>
      <c r="J54" s="23"/>
      <c r="L54" s="19"/>
      <c r="M54" s="20"/>
      <c r="N54" s="21"/>
    </row>
    <row r="55" spans="1:14" ht="15.75" customHeight="1">
      <c r="A55" s="224" t="s">
        <v>150</v>
      </c>
      <c r="B55" s="225"/>
      <c r="C55" s="225"/>
      <c r="D55" s="225"/>
      <c r="E55" s="225"/>
      <c r="F55" s="225"/>
      <c r="G55" s="225"/>
      <c r="H55" s="225"/>
      <c r="I55" s="226"/>
      <c r="J55" s="23"/>
      <c r="L55" s="19"/>
      <c r="M55" s="20"/>
      <c r="N55" s="21"/>
    </row>
    <row r="56" spans="1:14" ht="15.75" customHeight="1">
      <c r="A56" s="112"/>
      <c r="B56" s="47" t="s">
        <v>42</v>
      </c>
      <c r="C56" s="16"/>
      <c r="D56" s="15"/>
      <c r="E56" s="15"/>
      <c r="F56" s="15"/>
      <c r="G56" s="29"/>
      <c r="H56" s="29"/>
      <c r="I56" s="18"/>
      <c r="J56" s="23"/>
      <c r="L56" s="19"/>
      <c r="M56" s="20"/>
      <c r="N56" s="21"/>
    </row>
    <row r="57" spans="1:14" ht="31.5" hidden="1" customHeight="1">
      <c r="A57" s="40">
        <v>12</v>
      </c>
      <c r="B57" s="82" t="s">
        <v>112</v>
      </c>
      <c r="C57" s="83" t="s">
        <v>89</v>
      </c>
      <c r="D57" s="82" t="s">
        <v>113</v>
      </c>
      <c r="E57" s="84">
        <v>176.9</v>
      </c>
      <c r="F57" s="85">
        <f>SUM(E57*6/100)</f>
        <v>10.614000000000001</v>
      </c>
      <c r="G57" s="13">
        <v>1547.28</v>
      </c>
      <c r="H57" s="86">
        <f>SUM(F57*G57/1000)</f>
        <v>16.422829920000002</v>
      </c>
      <c r="I57" s="13">
        <f>G57*0.429</f>
        <v>663.78311999999994</v>
      </c>
      <c r="J57" s="23"/>
      <c r="L57" s="19"/>
      <c r="M57" s="20"/>
      <c r="N57" s="21"/>
    </row>
    <row r="58" spans="1:14" ht="15.75" customHeight="1">
      <c r="A58" s="40">
        <v>14</v>
      </c>
      <c r="B58" s="32" t="s">
        <v>180</v>
      </c>
      <c r="C58" s="138" t="s">
        <v>89</v>
      </c>
      <c r="D58" s="32" t="s">
        <v>243</v>
      </c>
      <c r="E58" s="153">
        <v>69.5</v>
      </c>
      <c r="F58" s="154">
        <f>E58*6/100</f>
        <v>4.17</v>
      </c>
      <c r="G58" s="139">
        <v>2110.4699999999998</v>
      </c>
      <c r="H58" s="86">
        <f>F58*G58/1000</f>
        <v>8.8006598999999994</v>
      </c>
      <c r="I58" s="13">
        <f>F58/6*G58</f>
        <v>1466.7766499999998</v>
      </c>
      <c r="J58" s="23"/>
      <c r="L58" s="19"/>
      <c r="M58" s="20"/>
      <c r="N58" s="21"/>
    </row>
    <row r="59" spans="1:14" ht="15.75" hidden="1" customHeight="1">
      <c r="A59" s="40"/>
      <c r="B59" s="82" t="s">
        <v>130</v>
      </c>
      <c r="C59" s="83" t="s">
        <v>131</v>
      </c>
      <c r="D59" s="82" t="s">
        <v>41</v>
      </c>
      <c r="E59" s="91">
        <v>8</v>
      </c>
      <c r="F59" s="13">
        <v>16</v>
      </c>
      <c r="G59" s="85">
        <v>180.78</v>
      </c>
      <c r="H59" s="86">
        <f>SUM(F59*G59/1000)</f>
        <v>2.8924799999999999</v>
      </c>
      <c r="I59" s="13">
        <v>0</v>
      </c>
      <c r="J59" s="23"/>
      <c r="L59" s="19"/>
      <c r="M59" s="20"/>
      <c r="N59" s="21"/>
    </row>
    <row r="60" spans="1:14" ht="15.75" customHeight="1">
      <c r="A60" s="40"/>
      <c r="B60" s="111" t="s">
        <v>43</v>
      </c>
      <c r="C60" s="111"/>
      <c r="D60" s="111"/>
      <c r="E60" s="111"/>
      <c r="F60" s="111"/>
      <c r="G60" s="111"/>
      <c r="H60" s="111"/>
      <c r="I60" s="35"/>
      <c r="J60" s="23"/>
      <c r="L60" s="19"/>
      <c r="M60" s="20"/>
      <c r="N60" s="21"/>
    </row>
    <row r="61" spans="1:14" ht="15.75" hidden="1" customHeight="1">
      <c r="A61" s="40">
        <v>27</v>
      </c>
      <c r="B61" s="82" t="s">
        <v>142</v>
      </c>
      <c r="C61" s="83"/>
      <c r="D61" s="82" t="s">
        <v>52</v>
      </c>
      <c r="E61" s="84">
        <v>1349.3</v>
      </c>
      <c r="F61" s="86">
        <v>13.493</v>
      </c>
      <c r="G61" s="13">
        <v>793.61</v>
      </c>
      <c r="H61" s="92">
        <f>F61*G61/1000</f>
        <v>10.708179729999999</v>
      </c>
      <c r="I61" s="13">
        <v>0</v>
      </c>
      <c r="J61" s="23"/>
      <c r="L61" s="19"/>
      <c r="M61" s="20"/>
      <c r="N61" s="21"/>
    </row>
    <row r="62" spans="1:14" ht="15.75" customHeight="1">
      <c r="A62" s="40">
        <v>15</v>
      </c>
      <c r="B62" s="93" t="s">
        <v>88</v>
      </c>
      <c r="C62" s="94" t="s">
        <v>26</v>
      </c>
      <c r="D62" s="93"/>
      <c r="E62" s="95">
        <v>270</v>
      </c>
      <c r="F62" s="96">
        <v>2400</v>
      </c>
      <c r="G62" s="97">
        <v>1.4</v>
      </c>
      <c r="H62" s="98">
        <f>F62*G62</f>
        <v>3360</v>
      </c>
      <c r="I62" s="13">
        <f>F62/12*G62</f>
        <v>280</v>
      </c>
      <c r="J62" s="23"/>
      <c r="L62" s="19"/>
      <c r="M62" s="20"/>
      <c r="N62" s="21"/>
    </row>
    <row r="63" spans="1:14" ht="15.75" customHeight="1">
      <c r="A63" s="40"/>
      <c r="B63" s="111" t="s">
        <v>44</v>
      </c>
      <c r="C63" s="16"/>
      <c r="D63" s="37"/>
      <c r="E63" s="15"/>
      <c r="F63" s="15"/>
      <c r="G63" s="29"/>
      <c r="H63" s="29"/>
      <c r="I63" s="18"/>
      <c r="J63" s="23"/>
      <c r="L63" s="19"/>
    </row>
    <row r="64" spans="1:14" ht="15.75" customHeight="1">
      <c r="A64" s="40">
        <v>16</v>
      </c>
      <c r="B64" s="151" t="s">
        <v>45</v>
      </c>
      <c r="C64" s="38" t="s">
        <v>111</v>
      </c>
      <c r="D64" s="37" t="s">
        <v>303</v>
      </c>
      <c r="E64" s="17">
        <v>40</v>
      </c>
      <c r="F64" s="139">
        <f>E64</f>
        <v>40</v>
      </c>
      <c r="G64" s="36">
        <v>303.35000000000002</v>
      </c>
      <c r="H64" s="100">
        <f t="shared" ref="H64:H71" si="10">SUM(F64*G64/1000)</f>
        <v>12.134</v>
      </c>
      <c r="I64" s="13">
        <f>G64*3</f>
        <v>910.05000000000007</v>
      </c>
    </row>
    <row r="65" spans="1:22" ht="15.75" hidden="1" customHeight="1">
      <c r="A65" s="29">
        <v>29</v>
      </c>
      <c r="B65" s="99" t="s">
        <v>46</v>
      </c>
      <c r="C65" s="16" t="s">
        <v>111</v>
      </c>
      <c r="D65" s="99" t="s">
        <v>65</v>
      </c>
      <c r="E65" s="18">
        <v>20</v>
      </c>
      <c r="F65" s="85">
        <v>20</v>
      </c>
      <c r="G65" s="13">
        <v>76.25</v>
      </c>
      <c r="H65" s="100">
        <f t="shared" si="10"/>
        <v>1.5249999999999999</v>
      </c>
      <c r="I65" s="13">
        <v>0</v>
      </c>
    </row>
    <row r="66" spans="1:22" ht="15.75" hidden="1" customHeight="1">
      <c r="A66" s="29">
        <v>25</v>
      </c>
      <c r="B66" s="99" t="s">
        <v>47</v>
      </c>
      <c r="C66" s="16" t="s">
        <v>114</v>
      </c>
      <c r="D66" s="99" t="s">
        <v>52</v>
      </c>
      <c r="E66" s="84">
        <v>18890</v>
      </c>
      <c r="F66" s="13">
        <f>SUM(E66/100)</f>
        <v>188.9</v>
      </c>
      <c r="G66" s="13">
        <v>212.15</v>
      </c>
      <c r="H66" s="100">
        <f t="shared" si="10"/>
        <v>40.075135000000003</v>
      </c>
      <c r="I66" s="13">
        <f>F66*G66</f>
        <v>40075.135000000002</v>
      </c>
    </row>
    <row r="67" spans="1:22" ht="15.75" hidden="1" customHeight="1">
      <c r="A67" s="29">
        <v>26</v>
      </c>
      <c r="B67" s="99" t="s">
        <v>48</v>
      </c>
      <c r="C67" s="16" t="s">
        <v>115</v>
      </c>
      <c r="D67" s="99"/>
      <c r="E67" s="84">
        <v>18890</v>
      </c>
      <c r="F67" s="13">
        <f>SUM(E67/1000)</f>
        <v>18.89</v>
      </c>
      <c r="G67" s="13">
        <v>165.21</v>
      </c>
      <c r="H67" s="100">
        <f t="shared" si="10"/>
        <v>3.1208169000000003</v>
      </c>
      <c r="I67" s="13">
        <f t="shared" ref="I67:I70" si="11">F67*G67</f>
        <v>3120.8169000000003</v>
      </c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9"/>
    </row>
    <row r="68" spans="1:22" ht="15.75" hidden="1" customHeight="1">
      <c r="A68" s="29">
        <v>27</v>
      </c>
      <c r="B68" s="99" t="s">
        <v>49</v>
      </c>
      <c r="C68" s="16" t="s">
        <v>75</v>
      </c>
      <c r="D68" s="99" t="s">
        <v>52</v>
      </c>
      <c r="E68" s="84">
        <v>3004</v>
      </c>
      <c r="F68" s="13">
        <f>SUM(E68/100)</f>
        <v>30.04</v>
      </c>
      <c r="G68" s="13">
        <v>2074.63</v>
      </c>
      <c r="H68" s="100">
        <f t="shared" si="10"/>
        <v>62.321885200000004</v>
      </c>
      <c r="I68" s="13">
        <f t="shared" si="11"/>
        <v>62321.885200000004</v>
      </c>
      <c r="J68" s="25"/>
      <c r="K68" s="25"/>
      <c r="L68" s="3"/>
      <c r="M68" s="3"/>
      <c r="N68" s="3"/>
      <c r="O68" s="3"/>
      <c r="P68" s="3"/>
      <c r="Q68" s="3"/>
      <c r="R68" s="3"/>
      <c r="S68" s="3"/>
      <c r="T68" s="3"/>
      <c r="U68" s="3"/>
    </row>
    <row r="69" spans="1:22" ht="15.75" hidden="1" customHeight="1">
      <c r="A69" s="29">
        <v>28</v>
      </c>
      <c r="B69" s="101" t="s">
        <v>116</v>
      </c>
      <c r="C69" s="16" t="s">
        <v>33</v>
      </c>
      <c r="D69" s="99"/>
      <c r="E69" s="84">
        <v>15.8</v>
      </c>
      <c r="F69" s="13">
        <f>SUM(E69)</f>
        <v>15.8</v>
      </c>
      <c r="G69" s="13">
        <v>42.67</v>
      </c>
      <c r="H69" s="100">
        <f t="shared" si="10"/>
        <v>0.67418600000000006</v>
      </c>
      <c r="I69" s="13">
        <f t="shared" si="11"/>
        <v>674.18600000000004</v>
      </c>
      <c r="J69" s="3"/>
      <c r="K69" s="3"/>
      <c r="L69" s="3"/>
      <c r="M69" s="3"/>
      <c r="N69" s="3"/>
      <c r="O69" s="3"/>
      <c r="P69" s="3"/>
      <c r="Q69" s="3"/>
      <c r="S69" s="3"/>
      <c r="T69" s="3"/>
      <c r="U69" s="3"/>
    </row>
    <row r="70" spans="1:22" ht="15.75" hidden="1" customHeight="1">
      <c r="A70" s="29">
        <v>29</v>
      </c>
      <c r="B70" s="101" t="s">
        <v>117</v>
      </c>
      <c r="C70" s="16" t="s">
        <v>33</v>
      </c>
      <c r="D70" s="99"/>
      <c r="E70" s="84">
        <v>15.8</v>
      </c>
      <c r="F70" s="13">
        <f>SUM(E70)</f>
        <v>15.8</v>
      </c>
      <c r="G70" s="13">
        <v>39.81</v>
      </c>
      <c r="H70" s="100">
        <f t="shared" si="10"/>
        <v>0.62899800000000006</v>
      </c>
      <c r="I70" s="13">
        <f t="shared" si="11"/>
        <v>628.99800000000005</v>
      </c>
      <c r="J70" s="5"/>
      <c r="K70" s="5"/>
      <c r="L70" s="5"/>
      <c r="M70" s="5"/>
      <c r="N70" s="5"/>
      <c r="O70" s="5"/>
      <c r="P70" s="5"/>
      <c r="Q70" s="5"/>
      <c r="R70" s="199"/>
      <c r="S70" s="199"/>
      <c r="T70" s="199"/>
      <c r="U70" s="199"/>
    </row>
    <row r="71" spans="1:22" ht="15.75" hidden="1" customHeight="1">
      <c r="A71" s="29">
        <v>16</v>
      </c>
      <c r="B71" s="99" t="s">
        <v>55</v>
      </c>
      <c r="C71" s="16" t="s">
        <v>56</v>
      </c>
      <c r="D71" s="99" t="s">
        <v>52</v>
      </c>
      <c r="E71" s="18">
        <v>15</v>
      </c>
      <c r="F71" s="85">
        <v>15</v>
      </c>
      <c r="G71" s="13">
        <v>49.88</v>
      </c>
      <c r="H71" s="100">
        <f t="shared" si="10"/>
        <v>0.74820000000000009</v>
      </c>
      <c r="I71" s="13">
        <f>G71*15</f>
        <v>748.2</v>
      </c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2" ht="15.75" customHeight="1">
      <c r="A72" s="29"/>
      <c r="B72" s="162" t="s">
        <v>181</v>
      </c>
      <c r="C72" s="38"/>
      <c r="D72" s="37"/>
      <c r="E72" s="17"/>
      <c r="F72" s="117"/>
      <c r="G72" s="36"/>
      <c r="H72" s="100"/>
      <c r="I72" s="13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3" spans="1:22" ht="27.75" customHeight="1">
      <c r="A73" s="29">
        <v>17</v>
      </c>
      <c r="B73" s="37" t="s">
        <v>182</v>
      </c>
      <c r="C73" s="40" t="s">
        <v>183</v>
      </c>
      <c r="D73" s="37"/>
      <c r="E73" s="17">
        <v>5162.6000000000004</v>
      </c>
      <c r="F73" s="36">
        <f>E73*12</f>
        <v>61951.200000000004</v>
      </c>
      <c r="G73" s="36">
        <v>2.37</v>
      </c>
      <c r="H73" s="100"/>
      <c r="I73" s="13">
        <f>G73*F73/12</f>
        <v>12235.362000000001</v>
      </c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</row>
    <row r="74" spans="1:22" ht="15.75" hidden="1" customHeight="1">
      <c r="A74" s="112"/>
      <c r="B74" s="111" t="s">
        <v>118</v>
      </c>
      <c r="C74" s="111"/>
      <c r="D74" s="111"/>
      <c r="E74" s="111"/>
      <c r="F74" s="111"/>
      <c r="G74" s="111"/>
      <c r="H74" s="111"/>
      <c r="I74" s="18"/>
    </row>
    <row r="75" spans="1:22" ht="15.75" hidden="1" customHeight="1">
      <c r="A75" s="29">
        <v>11</v>
      </c>
      <c r="B75" s="82" t="s">
        <v>119</v>
      </c>
      <c r="C75" s="16"/>
      <c r="D75" s="99"/>
      <c r="E75" s="77"/>
      <c r="F75" s="13">
        <v>1</v>
      </c>
      <c r="G75" s="13">
        <v>27865.200000000001</v>
      </c>
      <c r="H75" s="100">
        <f>G75*F75/1000</f>
        <v>27.865200000000002</v>
      </c>
      <c r="I75" s="13">
        <f>G75</f>
        <v>27865.200000000001</v>
      </c>
    </row>
    <row r="76" spans="1:22" ht="21" customHeight="1">
      <c r="A76" s="29"/>
      <c r="B76" s="48" t="s">
        <v>70</v>
      </c>
      <c r="C76" s="48"/>
      <c r="D76" s="48"/>
      <c r="E76" s="18"/>
      <c r="F76" s="18"/>
      <c r="G76" s="29"/>
      <c r="H76" s="29"/>
      <c r="I76" s="18"/>
    </row>
    <row r="77" spans="1:22" ht="17.25" hidden="1" customHeight="1">
      <c r="A77" s="29">
        <v>16</v>
      </c>
      <c r="B77" s="99" t="s">
        <v>71</v>
      </c>
      <c r="C77" s="16" t="s">
        <v>73</v>
      </c>
      <c r="D77" s="99"/>
      <c r="E77" s="18">
        <v>10</v>
      </c>
      <c r="F77" s="13">
        <v>1</v>
      </c>
      <c r="G77" s="13">
        <v>501.62</v>
      </c>
      <c r="H77" s="100">
        <f t="shared" ref="H77:H81" si="12">SUM(F77*G77/1000)</f>
        <v>0.50161999999999995</v>
      </c>
      <c r="I77" s="13">
        <f>G77*0.2</f>
        <v>100.32400000000001</v>
      </c>
    </row>
    <row r="78" spans="1:22" ht="19.5" hidden="1" customHeight="1">
      <c r="A78" s="29"/>
      <c r="B78" s="99" t="s">
        <v>132</v>
      </c>
      <c r="C78" s="16" t="s">
        <v>31</v>
      </c>
      <c r="D78" s="99"/>
      <c r="E78" s="18">
        <v>1</v>
      </c>
      <c r="F78" s="13">
        <v>1</v>
      </c>
      <c r="G78" s="13">
        <v>99.85</v>
      </c>
      <c r="H78" s="100">
        <f>F78*G78/1000</f>
        <v>9.9849999999999994E-2</v>
      </c>
      <c r="I78" s="13">
        <v>0</v>
      </c>
    </row>
    <row r="79" spans="1:22" ht="18" hidden="1" customHeight="1">
      <c r="A79" s="29"/>
      <c r="B79" s="99" t="s">
        <v>133</v>
      </c>
      <c r="C79" s="16" t="s">
        <v>31</v>
      </c>
      <c r="D79" s="99"/>
      <c r="E79" s="18">
        <v>1</v>
      </c>
      <c r="F79" s="13">
        <v>1</v>
      </c>
      <c r="G79" s="13">
        <v>120.26</v>
      </c>
      <c r="H79" s="100">
        <f>F79*G79/1000</f>
        <v>0.12026000000000001</v>
      </c>
      <c r="I79" s="13">
        <v>0</v>
      </c>
    </row>
    <row r="80" spans="1:22" ht="24" hidden="1" customHeight="1">
      <c r="A80" s="29">
        <v>19</v>
      </c>
      <c r="B80" s="99" t="s">
        <v>72</v>
      </c>
      <c r="C80" s="16" t="s">
        <v>31</v>
      </c>
      <c r="D80" s="99"/>
      <c r="E80" s="18">
        <v>2</v>
      </c>
      <c r="F80" s="97">
        <v>2</v>
      </c>
      <c r="G80" s="13">
        <v>852.99</v>
      </c>
      <c r="H80" s="100">
        <f>F80*G80/1000</f>
        <v>1.7059800000000001</v>
      </c>
      <c r="I80" s="13">
        <f>G80</f>
        <v>852.99</v>
      </c>
    </row>
    <row r="81" spans="1:9" ht="22.5" hidden="1" customHeight="1">
      <c r="A81" s="29">
        <v>10</v>
      </c>
      <c r="B81" s="99" t="s">
        <v>83</v>
      </c>
      <c r="C81" s="16" t="s">
        <v>111</v>
      </c>
      <c r="D81" s="99"/>
      <c r="E81" s="18">
        <v>1</v>
      </c>
      <c r="F81" s="85">
        <f>SUM(E81)</f>
        <v>1</v>
      </c>
      <c r="G81" s="13">
        <v>358.51</v>
      </c>
      <c r="H81" s="100">
        <f t="shared" si="12"/>
        <v>0.35851</v>
      </c>
      <c r="I81" s="13">
        <f>G81</f>
        <v>358.51</v>
      </c>
    </row>
    <row r="82" spans="1:9" ht="35.25" customHeight="1">
      <c r="A82" s="29">
        <v>18</v>
      </c>
      <c r="B82" s="37" t="s">
        <v>184</v>
      </c>
      <c r="C82" s="38" t="s">
        <v>111</v>
      </c>
      <c r="D82" s="37" t="s">
        <v>233</v>
      </c>
      <c r="E82" s="17">
        <v>1</v>
      </c>
      <c r="F82" s="36">
        <f>E82*12</f>
        <v>12</v>
      </c>
      <c r="G82" s="36">
        <v>55.55</v>
      </c>
      <c r="H82" s="100"/>
      <c r="I82" s="13">
        <f>G82*1</f>
        <v>55.55</v>
      </c>
    </row>
    <row r="83" spans="1:9" ht="22.5" hidden="1" customHeight="1">
      <c r="A83" s="29"/>
      <c r="B83" s="49" t="s">
        <v>74</v>
      </c>
      <c r="C83" s="38"/>
      <c r="D83" s="29"/>
      <c r="E83" s="18"/>
      <c r="F83" s="18"/>
      <c r="G83" s="36"/>
      <c r="H83" s="36"/>
      <c r="I83" s="18"/>
    </row>
    <row r="84" spans="1:9" ht="19.5" hidden="1" customHeight="1">
      <c r="A84" s="29">
        <v>39</v>
      </c>
      <c r="B84" s="51" t="s">
        <v>120</v>
      </c>
      <c r="C84" s="16" t="s">
        <v>75</v>
      </c>
      <c r="D84" s="99"/>
      <c r="E84" s="18"/>
      <c r="F84" s="13">
        <v>1.35</v>
      </c>
      <c r="G84" s="13">
        <v>2759.44</v>
      </c>
      <c r="H84" s="100">
        <f t="shared" ref="H84" si="13">SUM(F84*G84/1000)</f>
        <v>3.725244</v>
      </c>
      <c r="I84" s="13">
        <v>0</v>
      </c>
    </row>
    <row r="85" spans="1:9" ht="15.75" customHeight="1">
      <c r="A85" s="208" t="s">
        <v>151</v>
      </c>
      <c r="B85" s="209"/>
      <c r="C85" s="209"/>
      <c r="D85" s="209"/>
      <c r="E85" s="209"/>
      <c r="F85" s="209"/>
      <c r="G85" s="209"/>
      <c r="H85" s="209"/>
      <c r="I85" s="210"/>
    </row>
    <row r="86" spans="1:9" ht="15.75" customHeight="1">
      <c r="A86" s="29">
        <v>19</v>
      </c>
      <c r="B86" s="32" t="s">
        <v>121</v>
      </c>
      <c r="C86" s="38" t="s">
        <v>53</v>
      </c>
      <c r="D86" s="63"/>
      <c r="E86" s="36">
        <v>5162.6000000000004</v>
      </c>
      <c r="F86" s="36">
        <f>SUM(E86*12)</f>
        <v>61951.200000000004</v>
      </c>
      <c r="G86" s="36">
        <v>3.22</v>
      </c>
      <c r="H86" s="102">
        <f>SUM(F86*G86/1000)</f>
        <v>199.48286400000003</v>
      </c>
      <c r="I86" s="13">
        <f>F86/12*G86</f>
        <v>16623.572000000004</v>
      </c>
    </row>
    <row r="87" spans="1:9" ht="31.5" customHeight="1">
      <c r="A87" s="29">
        <v>20</v>
      </c>
      <c r="B87" s="37" t="s">
        <v>185</v>
      </c>
      <c r="C87" s="114" t="s">
        <v>186</v>
      </c>
      <c r="D87" s="37"/>
      <c r="E87" s="17">
        <v>5162.6000000000004</v>
      </c>
      <c r="F87" s="36">
        <f>E87*12</f>
        <v>61951.200000000004</v>
      </c>
      <c r="G87" s="36">
        <v>3.64</v>
      </c>
      <c r="H87" s="100">
        <f>F87*G87/1000</f>
        <v>225.50236800000002</v>
      </c>
      <c r="I87" s="13">
        <f>F87/12*G87</f>
        <v>18791.864000000001</v>
      </c>
    </row>
    <row r="88" spans="1:9" ht="15.75" customHeight="1">
      <c r="A88" s="112"/>
      <c r="B88" s="39" t="s">
        <v>78</v>
      </c>
      <c r="C88" s="40"/>
      <c r="D88" s="15"/>
      <c r="E88" s="15"/>
      <c r="F88" s="15"/>
      <c r="G88" s="18"/>
      <c r="H88" s="18"/>
      <c r="I88" s="31">
        <f>I87+I86+I82+I73+I64+I62+I58+I44+I43+I42+I41+I40+I39+I38+I27+I18+I17+I16+I21+I20</f>
        <v>89069.914192933327</v>
      </c>
    </row>
    <row r="89" spans="1:9" ht="15.75" customHeight="1">
      <c r="A89" s="211" t="s">
        <v>58</v>
      </c>
      <c r="B89" s="212"/>
      <c r="C89" s="212"/>
      <c r="D89" s="212"/>
      <c r="E89" s="212"/>
      <c r="F89" s="212"/>
      <c r="G89" s="212"/>
      <c r="H89" s="212"/>
      <c r="I89" s="213"/>
    </row>
    <row r="90" spans="1:9" ht="30.75" customHeight="1">
      <c r="A90" s="29">
        <v>21</v>
      </c>
      <c r="B90" s="66" t="s">
        <v>226</v>
      </c>
      <c r="C90" s="67" t="s">
        <v>227</v>
      </c>
      <c r="D90" s="64"/>
      <c r="E90" s="36"/>
      <c r="F90" s="36">
        <v>12</v>
      </c>
      <c r="G90" s="36">
        <v>26095.37</v>
      </c>
      <c r="H90" s="102">
        <f t="shared" ref="H90:H91" si="14">G90*F90/1000</f>
        <v>313.14443999999997</v>
      </c>
      <c r="I90" s="13">
        <f>G90*0.01</f>
        <v>260.95369999999997</v>
      </c>
    </row>
    <row r="91" spans="1:9" ht="20.25" customHeight="1">
      <c r="A91" s="29">
        <v>22</v>
      </c>
      <c r="B91" s="66" t="s">
        <v>167</v>
      </c>
      <c r="C91" s="67" t="s">
        <v>30</v>
      </c>
      <c r="D91" s="64"/>
      <c r="E91" s="36"/>
      <c r="F91" s="36">
        <v>6</v>
      </c>
      <c r="G91" s="36">
        <v>1217.79</v>
      </c>
      <c r="H91" s="102">
        <f t="shared" si="14"/>
        <v>7.3067399999999996</v>
      </c>
      <c r="I91" s="13">
        <f>G91*0.06</f>
        <v>73.067399999999992</v>
      </c>
    </row>
    <row r="92" spans="1:9" ht="16.5" customHeight="1">
      <c r="A92" s="29">
        <v>23</v>
      </c>
      <c r="B92" s="66" t="s">
        <v>304</v>
      </c>
      <c r="C92" s="67" t="s">
        <v>111</v>
      </c>
      <c r="D92" s="64" t="s">
        <v>295</v>
      </c>
      <c r="E92" s="36"/>
      <c r="F92" s="36"/>
      <c r="G92" s="126">
        <v>1105</v>
      </c>
      <c r="H92" s="102"/>
      <c r="I92" s="13">
        <f>G92*1</f>
        <v>1105</v>
      </c>
    </row>
    <row r="93" spans="1:9" ht="16.5" customHeight="1">
      <c r="A93" s="29">
        <v>24</v>
      </c>
      <c r="B93" s="66" t="s">
        <v>143</v>
      </c>
      <c r="C93" s="67" t="s">
        <v>80</v>
      </c>
      <c r="D93" s="64" t="s">
        <v>305</v>
      </c>
      <c r="E93" s="36"/>
      <c r="F93" s="36"/>
      <c r="G93" s="36">
        <v>214.07</v>
      </c>
      <c r="H93" s="102"/>
      <c r="I93" s="13">
        <f>G93*2</f>
        <v>428.14</v>
      </c>
    </row>
    <row r="94" spans="1:9" ht="46.5" customHeight="1">
      <c r="A94" s="29">
        <v>25</v>
      </c>
      <c r="B94" s="66" t="s">
        <v>306</v>
      </c>
      <c r="C94" s="67" t="s">
        <v>266</v>
      </c>
      <c r="D94" s="64" t="s">
        <v>307</v>
      </c>
      <c r="E94" s="36"/>
      <c r="F94" s="36"/>
      <c r="G94" s="126">
        <v>8291.9</v>
      </c>
      <c r="H94" s="102"/>
      <c r="I94" s="13">
        <f>G94*0.5</f>
        <v>4145.95</v>
      </c>
    </row>
    <row r="95" spans="1:9" ht="17.25" customHeight="1">
      <c r="A95" s="29">
        <v>26</v>
      </c>
      <c r="B95" s="161" t="s">
        <v>189</v>
      </c>
      <c r="C95" s="67" t="s">
        <v>111</v>
      </c>
      <c r="D95" s="64" t="s">
        <v>308</v>
      </c>
      <c r="E95" s="36"/>
      <c r="F95" s="36"/>
      <c r="G95" s="36">
        <v>207.32</v>
      </c>
      <c r="H95" s="102"/>
      <c r="I95" s="13">
        <f>G95*1</f>
        <v>207.32</v>
      </c>
    </row>
    <row r="96" spans="1:9" ht="15.75" customHeight="1">
      <c r="A96" s="29"/>
      <c r="B96" s="45" t="s">
        <v>50</v>
      </c>
      <c r="C96" s="41"/>
      <c r="D96" s="53"/>
      <c r="E96" s="41">
        <v>1</v>
      </c>
      <c r="F96" s="41"/>
      <c r="G96" s="41"/>
      <c r="H96" s="41"/>
      <c r="I96" s="31">
        <f>SUM(I90:I95)</f>
        <v>6220.4310999999998</v>
      </c>
    </row>
    <row r="97" spans="1:9" ht="15.75" customHeight="1">
      <c r="A97" s="29"/>
      <c r="B97" s="51" t="s">
        <v>76</v>
      </c>
      <c r="C97" s="15"/>
      <c r="D97" s="15"/>
      <c r="E97" s="42"/>
      <c r="F97" s="42"/>
      <c r="G97" s="43"/>
      <c r="H97" s="43"/>
      <c r="I97" s="17">
        <v>0</v>
      </c>
    </row>
    <row r="98" spans="1:9" ht="15.75" customHeight="1">
      <c r="A98" s="54"/>
      <c r="B98" s="46" t="s">
        <v>144</v>
      </c>
      <c r="C98" s="34"/>
      <c r="D98" s="34"/>
      <c r="E98" s="34"/>
      <c r="F98" s="34"/>
      <c r="G98" s="34"/>
      <c r="H98" s="34"/>
      <c r="I98" s="44">
        <f>I88+I96</f>
        <v>95290.345292933329</v>
      </c>
    </row>
    <row r="99" spans="1:9" ht="15.75">
      <c r="A99" s="205" t="s">
        <v>323</v>
      </c>
      <c r="B99" s="205"/>
      <c r="C99" s="205"/>
      <c r="D99" s="205"/>
      <c r="E99" s="205"/>
      <c r="F99" s="205"/>
      <c r="G99" s="205"/>
      <c r="H99" s="205"/>
      <c r="I99" s="205"/>
    </row>
    <row r="100" spans="1:9" ht="15.75">
      <c r="A100" s="61"/>
      <c r="B100" s="206" t="s">
        <v>324</v>
      </c>
      <c r="C100" s="206"/>
      <c r="D100" s="206"/>
      <c r="E100" s="206"/>
      <c r="F100" s="206"/>
      <c r="G100" s="206"/>
      <c r="H100" s="80"/>
      <c r="I100" s="3"/>
    </row>
    <row r="101" spans="1:9">
      <c r="A101" s="107"/>
      <c r="B101" s="204" t="s">
        <v>6</v>
      </c>
      <c r="C101" s="204"/>
      <c r="D101" s="204"/>
      <c r="E101" s="204"/>
      <c r="F101" s="204"/>
      <c r="G101" s="204"/>
      <c r="H101" s="24"/>
      <c r="I101" s="5"/>
    </row>
    <row r="102" spans="1:9">
      <c r="A102" s="10"/>
      <c r="B102" s="10"/>
      <c r="C102" s="10"/>
      <c r="D102" s="10"/>
      <c r="E102" s="10"/>
      <c r="F102" s="10"/>
      <c r="G102" s="10"/>
      <c r="H102" s="10"/>
      <c r="I102" s="10"/>
    </row>
    <row r="103" spans="1:9" ht="15.75">
      <c r="A103" s="207" t="s">
        <v>7</v>
      </c>
      <c r="B103" s="207"/>
      <c r="C103" s="207"/>
      <c r="D103" s="207"/>
      <c r="E103" s="207"/>
      <c r="F103" s="207"/>
      <c r="G103" s="207"/>
      <c r="H103" s="207"/>
      <c r="I103" s="207"/>
    </row>
    <row r="104" spans="1:9" ht="15.75">
      <c r="A104" s="207" t="s">
        <v>8</v>
      </c>
      <c r="B104" s="207"/>
      <c r="C104" s="207"/>
      <c r="D104" s="207"/>
      <c r="E104" s="207"/>
      <c r="F104" s="207"/>
      <c r="G104" s="207"/>
      <c r="H104" s="207"/>
      <c r="I104" s="207"/>
    </row>
    <row r="105" spans="1:9" ht="15.75">
      <c r="A105" s="201" t="s">
        <v>59</v>
      </c>
      <c r="B105" s="201"/>
      <c r="C105" s="201"/>
      <c r="D105" s="201"/>
      <c r="E105" s="201"/>
      <c r="F105" s="201"/>
      <c r="G105" s="201"/>
      <c r="H105" s="201"/>
      <c r="I105" s="201"/>
    </row>
    <row r="106" spans="1:9" ht="15.75">
      <c r="A106" s="11"/>
    </row>
    <row r="107" spans="1:9" ht="15.75">
      <c r="A107" s="202" t="s">
        <v>9</v>
      </c>
      <c r="B107" s="202"/>
      <c r="C107" s="202"/>
      <c r="D107" s="202"/>
      <c r="E107" s="202"/>
      <c r="F107" s="202"/>
      <c r="G107" s="202"/>
      <c r="H107" s="202"/>
      <c r="I107" s="202"/>
    </row>
    <row r="108" spans="1:9" ht="15.75">
      <c r="A108" s="4"/>
    </row>
    <row r="109" spans="1:9" ht="15.75">
      <c r="B109" s="108" t="s">
        <v>10</v>
      </c>
      <c r="C109" s="203" t="s">
        <v>84</v>
      </c>
      <c r="D109" s="203"/>
      <c r="E109" s="203"/>
      <c r="F109" s="78"/>
      <c r="I109" s="106"/>
    </row>
    <row r="110" spans="1:9">
      <c r="A110" s="107"/>
      <c r="C110" s="204" t="s">
        <v>11</v>
      </c>
      <c r="D110" s="204"/>
      <c r="E110" s="204"/>
      <c r="F110" s="24"/>
      <c r="I110" s="109" t="s">
        <v>12</v>
      </c>
    </row>
    <row r="111" spans="1:9" ht="15.75">
      <c r="A111" s="25"/>
      <c r="C111" s="12"/>
      <c r="D111" s="12"/>
      <c r="G111" s="12"/>
      <c r="H111" s="12"/>
    </row>
    <row r="112" spans="1:9" ht="15.75">
      <c r="B112" s="108" t="s">
        <v>13</v>
      </c>
      <c r="C112" s="198"/>
      <c r="D112" s="198"/>
      <c r="E112" s="198"/>
      <c r="F112" s="79"/>
      <c r="I112" s="106"/>
    </row>
    <row r="113" spans="1:9">
      <c r="A113" s="107"/>
      <c r="C113" s="199" t="s">
        <v>11</v>
      </c>
      <c r="D113" s="199"/>
      <c r="E113" s="199"/>
      <c r="F113" s="107"/>
      <c r="I113" s="109" t="s">
        <v>12</v>
      </c>
    </row>
    <row r="114" spans="1:9" ht="15.75">
      <c r="A114" s="4" t="s">
        <v>14</v>
      </c>
    </row>
    <row r="115" spans="1:9">
      <c r="A115" s="200" t="s">
        <v>15</v>
      </c>
      <c r="B115" s="200"/>
      <c r="C115" s="200"/>
      <c r="D115" s="200"/>
      <c r="E115" s="200"/>
      <c r="F115" s="200"/>
      <c r="G115" s="200"/>
      <c r="H115" s="200"/>
      <c r="I115" s="200"/>
    </row>
    <row r="116" spans="1:9" ht="45" customHeight="1">
      <c r="A116" s="197" t="s">
        <v>16</v>
      </c>
      <c r="B116" s="197"/>
      <c r="C116" s="197"/>
      <c r="D116" s="197"/>
      <c r="E116" s="197"/>
      <c r="F116" s="197"/>
      <c r="G116" s="197"/>
      <c r="H116" s="197"/>
      <c r="I116" s="197"/>
    </row>
    <row r="117" spans="1:9" ht="30" customHeight="1">
      <c r="A117" s="197" t="s">
        <v>17</v>
      </c>
      <c r="B117" s="197"/>
      <c r="C117" s="197"/>
      <c r="D117" s="197"/>
      <c r="E117" s="197"/>
      <c r="F117" s="197"/>
      <c r="G117" s="197"/>
      <c r="H117" s="197"/>
      <c r="I117" s="197"/>
    </row>
    <row r="118" spans="1:9" ht="30" customHeight="1">
      <c r="A118" s="197" t="s">
        <v>21</v>
      </c>
      <c r="B118" s="197"/>
      <c r="C118" s="197"/>
      <c r="D118" s="197"/>
      <c r="E118" s="197"/>
      <c r="F118" s="197"/>
      <c r="G118" s="197"/>
      <c r="H118" s="197"/>
      <c r="I118" s="197"/>
    </row>
    <row r="119" spans="1:9" ht="15" customHeight="1">
      <c r="A119" s="197" t="s">
        <v>20</v>
      </c>
      <c r="B119" s="197"/>
      <c r="C119" s="197"/>
      <c r="D119" s="197"/>
      <c r="E119" s="197"/>
      <c r="F119" s="197"/>
      <c r="G119" s="197"/>
      <c r="H119" s="197"/>
      <c r="I119" s="197"/>
    </row>
  </sheetData>
  <autoFilter ref="I12:I65"/>
  <mergeCells count="29">
    <mergeCell ref="A14:I14"/>
    <mergeCell ref="A15:I15"/>
    <mergeCell ref="A29:I29"/>
    <mergeCell ref="A45:I45"/>
    <mergeCell ref="A55:I55"/>
    <mergeCell ref="A3:I3"/>
    <mergeCell ref="A4:I4"/>
    <mergeCell ref="A5:I5"/>
    <mergeCell ref="A8:I8"/>
    <mergeCell ref="A10:I10"/>
    <mergeCell ref="R70:U70"/>
    <mergeCell ref="C113:E113"/>
    <mergeCell ref="A89:I89"/>
    <mergeCell ref="A99:I99"/>
    <mergeCell ref="B100:G100"/>
    <mergeCell ref="B101:G101"/>
    <mergeCell ref="A103:I103"/>
    <mergeCell ref="A104:I104"/>
    <mergeCell ref="A105:I105"/>
    <mergeCell ref="A107:I107"/>
    <mergeCell ref="C109:E109"/>
    <mergeCell ref="C110:E110"/>
    <mergeCell ref="C112:E112"/>
    <mergeCell ref="A85:I85"/>
    <mergeCell ref="A115:I115"/>
    <mergeCell ref="A116:I116"/>
    <mergeCell ref="A117:I117"/>
    <mergeCell ref="A118:I118"/>
    <mergeCell ref="A119:I119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:V131"/>
  <sheetViews>
    <sheetView topLeftCell="A96" workbookViewId="0">
      <selection activeCell="A116" sqref="A116:I116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170</v>
      </c>
      <c r="I1" s="26"/>
      <c r="J1" s="1"/>
      <c r="K1" s="1"/>
      <c r="L1" s="1"/>
      <c r="M1" s="1"/>
    </row>
    <row r="2" spans="1:13" ht="15.75" customHeight="1">
      <c r="A2" s="28" t="s">
        <v>60</v>
      </c>
      <c r="J2" s="2"/>
      <c r="K2" s="2"/>
      <c r="L2" s="2"/>
      <c r="M2" s="2"/>
    </row>
    <row r="3" spans="1:13" ht="15.75" customHeight="1">
      <c r="A3" s="214" t="s">
        <v>164</v>
      </c>
      <c r="B3" s="214"/>
      <c r="C3" s="214"/>
      <c r="D3" s="214"/>
      <c r="E3" s="214"/>
      <c r="F3" s="214"/>
      <c r="G3" s="214"/>
      <c r="H3" s="214"/>
      <c r="I3" s="214"/>
      <c r="J3" s="3"/>
      <c r="K3" s="3"/>
      <c r="L3" s="3"/>
    </row>
    <row r="4" spans="1:13" ht="31.5" customHeight="1">
      <c r="A4" s="215" t="s">
        <v>122</v>
      </c>
      <c r="B4" s="215"/>
      <c r="C4" s="215"/>
      <c r="D4" s="215"/>
      <c r="E4" s="215"/>
      <c r="F4" s="215"/>
      <c r="G4" s="215"/>
      <c r="H4" s="215"/>
      <c r="I4" s="215"/>
    </row>
    <row r="5" spans="1:13" ht="15.75" customHeight="1">
      <c r="A5" s="214" t="s">
        <v>309</v>
      </c>
      <c r="B5" s="218"/>
      <c r="C5" s="218"/>
      <c r="D5" s="218"/>
      <c r="E5" s="218"/>
      <c r="F5" s="218"/>
      <c r="G5" s="218"/>
      <c r="H5" s="218"/>
      <c r="I5" s="218"/>
      <c r="J5" s="2"/>
      <c r="K5" s="2"/>
      <c r="L5" s="2"/>
      <c r="M5" s="2"/>
    </row>
    <row r="6" spans="1:13" ht="15.75" customHeight="1">
      <c r="A6" s="2"/>
      <c r="B6" s="110"/>
      <c r="C6" s="110"/>
      <c r="D6" s="110"/>
      <c r="E6" s="110"/>
      <c r="F6" s="110"/>
      <c r="G6" s="110"/>
      <c r="H6" s="110"/>
      <c r="I6" s="30">
        <v>43830</v>
      </c>
      <c r="J6" s="2"/>
      <c r="K6" s="2"/>
      <c r="L6" s="2"/>
      <c r="M6" s="2"/>
    </row>
    <row r="7" spans="1:13" ht="15.75" customHeight="1">
      <c r="B7" s="108"/>
      <c r="C7" s="108"/>
      <c r="D7" s="108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16" t="s">
        <v>174</v>
      </c>
      <c r="B8" s="216"/>
      <c r="C8" s="216"/>
      <c r="D8" s="216"/>
      <c r="E8" s="216"/>
      <c r="F8" s="216"/>
      <c r="G8" s="216"/>
      <c r="H8" s="216"/>
      <c r="I8" s="216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17" t="s">
        <v>136</v>
      </c>
      <c r="B10" s="217"/>
      <c r="C10" s="217"/>
      <c r="D10" s="217"/>
      <c r="E10" s="217"/>
      <c r="F10" s="217"/>
      <c r="G10" s="217"/>
      <c r="H10" s="217"/>
      <c r="I10" s="217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219" t="s">
        <v>57</v>
      </c>
      <c r="B14" s="219"/>
      <c r="C14" s="219"/>
      <c r="D14" s="219"/>
      <c r="E14" s="219"/>
      <c r="F14" s="219"/>
      <c r="G14" s="219"/>
      <c r="H14" s="219"/>
      <c r="I14" s="219"/>
      <c r="J14" s="8"/>
      <c r="K14" s="8"/>
      <c r="L14" s="8"/>
      <c r="M14" s="8"/>
    </row>
    <row r="15" spans="1:13" ht="15.75" customHeight="1">
      <c r="A15" s="220" t="s">
        <v>4</v>
      </c>
      <c r="B15" s="220"/>
      <c r="C15" s="220"/>
      <c r="D15" s="220"/>
      <c r="E15" s="220"/>
      <c r="F15" s="220"/>
      <c r="G15" s="220"/>
      <c r="H15" s="220"/>
      <c r="I15" s="220"/>
      <c r="J15" s="8"/>
      <c r="K15" s="8"/>
      <c r="L15" s="8"/>
      <c r="M15" s="8"/>
    </row>
    <row r="16" spans="1:13" ht="15.75" customHeight="1">
      <c r="A16" s="29">
        <v>1</v>
      </c>
      <c r="B16" s="32" t="s">
        <v>82</v>
      </c>
      <c r="C16" s="138" t="s">
        <v>89</v>
      </c>
      <c r="D16" s="32" t="s">
        <v>230</v>
      </c>
      <c r="E16" s="152">
        <v>129.88</v>
      </c>
      <c r="F16" s="139">
        <f>SUM(E16*156/100)</f>
        <v>202.61279999999999</v>
      </c>
      <c r="G16" s="139">
        <v>239.2</v>
      </c>
      <c r="H16" s="86">
        <f t="shared" ref="H16:H26" si="0">SUM(F16*G16/1000)</f>
        <v>48.464981759999993</v>
      </c>
      <c r="I16" s="13">
        <f>F16/12*G16</f>
        <v>4038.7484799999997</v>
      </c>
      <c r="J16" s="8"/>
      <c r="K16" s="8"/>
      <c r="L16" s="8"/>
      <c r="M16" s="8"/>
    </row>
    <row r="17" spans="1:13" ht="15.75" customHeight="1">
      <c r="A17" s="29">
        <v>2</v>
      </c>
      <c r="B17" s="32" t="s">
        <v>85</v>
      </c>
      <c r="C17" s="138" t="s">
        <v>89</v>
      </c>
      <c r="D17" s="32" t="s">
        <v>231</v>
      </c>
      <c r="E17" s="152">
        <v>519.52</v>
      </c>
      <c r="F17" s="139">
        <f>SUM(E17*104/100)</f>
        <v>540.30079999999998</v>
      </c>
      <c r="G17" s="139">
        <v>239.2</v>
      </c>
      <c r="H17" s="86">
        <f t="shared" si="0"/>
        <v>129.23995135999999</v>
      </c>
      <c r="I17" s="13">
        <f>F17/12*G17</f>
        <v>10769.995946666666</v>
      </c>
      <c r="J17" s="22"/>
      <c r="K17" s="8"/>
      <c r="L17" s="8"/>
      <c r="M17" s="8"/>
    </row>
    <row r="18" spans="1:13" ht="15.75" customHeight="1">
      <c r="A18" s="29">
        <v>3</v>
      </c>
      <c r="B18" s="32" t="s">
        <v>86</v>
      </c>
      <c r="C18" s="138" t="s">
        <v>89</v>
      </c>
      <c r="D18" s="32" t="s">
        <v>232</v>
      </c>
      <c r="E18" s="152">
        <f>SUM(E16+E17)</f>
        <v>649.4</v>
      </c>
      <c r="F18" s="139">
        <f>SUM(E18*18/100)</f>
        <v>116.892</v>
      </c>
      <c r="G18" s="139">
        <v>688.14</v>
      </c>
      <c r="H18" s="86">
        <f t="shared" si="0"/>
        <v>80.438060879999995</v>
      </c>
      <c r="I18" s="13">
        <f>F18/12*G18</f>
        <v>6703.1717399999998</v>
      </c>
      <c r="J18" s="22"/>
      <c r="K18" s="8"/>
      <c r="L18" s="8"/>
      <c r="M18" s="8"/>
    </row>
    <row r="19" spans="1:13" ht="15.75" hidden="1" customHeight="1">
      <c r="A19" s="29">
        <v>4</v>
      </c>
      <c r="B19" s="82" t="s">
        <v>90</v>
      </c>
      <c r="C19" s="83" t="s">
        <v>91</v>
      </c>
      <c r="D19" s="82" t="s">
        <v>92</v>
      </c>
      <c r="E19" s="84">
        <v>124.8</v>
      </c>
      <c r="F19" s="85">
        <f>SUM(E19/10)</f>
        <v>12.48</v>
      </c>
      <c r="G19" s="85">
        <v>170.16</v>
      </c>
      <c r="H19" s="86">
        <f t="shared" si="0"/>
        <v>2.1235967999999996</v>
      </c>
      <c r="I19" s="13">
        <f>F19/2*G19</f>
        <v>1061.7983999999999</v>
      </c>
      <c r="J19" s="22"/>
      <c r="K19" s="8"/>
      <c r="L19" s="8"/>
      <c r="M19" s="8"/>
    </row>
    <row r="20" spans="1:13" ht="15.75" customHeight="1">
      <c r="A20" s="29">
        <v>4</v>
      </c>
      <c r="B20" s="32" t="s">
        <v>95</v>
      </c>
      <c r="C20" s="138" t="s">
        <v>89</v>
      </c>
      <c r="D20" s="32" t="s">
        <v>243</v>
      </c>
      <c r="E20" s="152">
        <v>57.5</v>
      </c>
      <c r="F20" s="139">
        <f>SUM(E20*12/100)</f>
        <v>6.9</v>
      </c>
      <c r="G20" s="139">
        <v>297.19</v>
      </c>
      <c r="H20" s="86">
        <f t="shared" si="0"/>
        <v>2.050611</v>
      </c>
      <c r="I20" s="13">
        <f>F20*G20/12</f>
        <v>170.88424999999998</v>
      </c>
      <c r="J20" s="22"/>
      <c r="K20" s="8"/>
      <c r="L20" s="8"/>
      <c r="M20" s="8"/>
    </row>
    <row r="21" spans="1:13" ht="20.25" customHeight="1">
      <c r="A21" s="29">
        <v>5</v>
      </c>
      <c r="B21" s="32" t="s">
        <v>96</v>
      </c>
      <c r="C21" s="138" t="s">
        <v>89</v>
      </c>
      <c r="D21" s="32" t="s">
        <v>243</v>
      </c>
      <c r="E21" s="152">
        <v>13.41</v>
      </c>
      <c r="F21" s="139">
        <f>SUM(E21*12/100)</f>
        <v>1.6092000000000002</v>
      </c>
      <c r="G21" s="139">
        <v>294.77999999999997</v>
      </c>
      <c r="H21" s="86">
        <f t="shared" si="0"/>
        <v>0.47435997600000002</v>
      </c>
      <c r="I21" s="13">
        <f>F21*G21/12</f>
        <v>39.529997999999999</v>
      </c>
      <c r="J21" s="22"/>
      <c r="K21" s="8"/>
      <c r="L21" s="8"/>
      <c r="M21" s="8"/>
    </row>
    <row r="22" spans="1:13" ht="21.75" hidden="1" customHeight="1">
      <c r="A22" s="29">
        <v>7</v>
      </c>
      <c r="B22" s="82" t="s">
        <v>97</v>
      </c>
      <c r="C22" s="83" t="s">
        <v>51</v>
      </c>
      <c r="D22" s="82" t="s">
        <v>92</v>
      </c>
      <c r="E22" s="84">
        <v>820.5</v>
      </c>
      <c r="F22" s="85">
        <f>SUM(E22/100)</f>
        <v>8.2050000000000001</v>
      </c>
      <c r="G22" s="85">
        <v>269.26</v>
      </c>
      <c r="H22" s="86">
        <f t="shared" si="0"/>
        <v>2.2092782999999998</v>
      </c>
      <c r="I22" s="13">
        <f t="shared" ref="I22:I26" si="1">F22*G22</f>
        <v>2209.2782999999999</v>
      </c>
      <c r="J22" s="22"/>
      <c r="K22" s="8"/>
      <c r="L22" s="8"/>
      <c r="M22" s="8"/>
    </row>
    <row r="23" spans="1:13" ht="22.5" hidden="1" customHeight="1">
      <c r="A23" s="29">
        <v>8</v>
      </c>
      <c r="B23" s="82" t="s">
        <v>98</v>
      </c>
      <c r="C23" s="83" t="s">
        <v>51</v>
      </c>
      <c r="D23" s="82" t="s">
        <v>92</v>
      </c>
      <c r="E23" s="87">
        <v>60.25</v>
      </c>
      <c r="F23" s="85">
        <f>SUM(E23/100)</f>
        <v>0.60250000000000004</v>
      </c>
      <c r="G23" s="85">
        <v>44.29</v>
      </c>
      <c r="H23" s="86">
        <f t="shared" si="0"/>
        <v>2.6684724999999999E-2</v>
      </c>
      <c r="I23" s="13">
        <f t="shared" si="1"/>
        <v>26.684725</v>
      </c>
      <c r="J23" s="22"/>
      <c r="K23" s="8"/>
      <c r="L23" s="8"/>
      <c r="M23" s="8"/>
    </row>
    <row r="24" spans="1:13" ht="13.5" hidden="1" customHeight="1">
      <c r="A24" s="29">
        <v>9</v>
      </c>
      <c r="B24" s="82" t="s">
        <v>93</v>
      </c>
      <c r="C24" s="83" t="s">
        <v>51</v>
      </c>
      <c r="D24" s="82" t="s">
        <v>94</v>
      </c>
      <c r="E24" s="84">
        <v>19.149999999999999</v>
      </c>
      <c r="F24" s="85">
        <f>E24/100</f>
        <v>0.19149999999999998</v>
      </c>
      <c r="G24" s="85">
        <v>389.72</v>
      </c>
      <c r="H24" s="86">
        <f t="shared" si="0"/>
        <v>7.4631379999999997E-2</v>
      </c>
      <c r="I24" s="13">
        <f t="shared" si="1"/>
        <v>74.631379999999993</v>
      </c>
      <c r="J24" s="22"/>
      <c r="K24" s="8"/>
      <c r="L24" s="8"/>
      <c r="M24" s="8"/>
    </row>
    <row r="25" spans="1:13" ht="15.75" hidden="1" customHeight="1">
      <c r="A25" s="29">
        <v>10</v>
      </c>
      <c r="B25" s="82" t="s">
        <v>100</v>
      </c>
      <c r="C25" s="83" t="s">
        <v>51</v>
      </c>
      <c r="D25" s="82" t="s">
        <v>52</v>
      </c>
      <c r="E25" s="84">
        <v>31.5</v>
      </c>
      <c r="F25" s="85">
        <v>0.32</v>
      </c>
      <c r="G25" s="85">
        <v>216.12</v>
      </c>
      <c r="H25" s="86">
        <f t="shared" si="0"/>
        <v>6.9158399999999995E-2</v>
      </c>
      <c r="I25" s="13">
        <f t="shared" si="1"/>
        <v>69.1584</v>
      </c>
      <c r="J25" s="22"/>
      <c r="K25" s="8"/>
      <c r="L25" s="8"/>
      <c r="M25" s="8"/>
    </row>
    <row r="26" spans="1:13" ht="18" hidden="1" customHeight="1">
      <c r="A26" s="29">
        <v>11</v>
      </c>
      <c r="B26" s="82" t="s">
        <v>99</v>
      </c>
      <c r="C26" s="83" t="s">
        <v>51</v>
      </c>
      <c r="D26" s="82" t="s">
        <v>92</v>
      </c>
      <c r="E26" s="84">
        <v>37.5</v>
      </c>
      <c r="F26" s="85">
        <f>SUM(E26/100)</f>
        <v>0.375</v>
      </c>
      <c r="G26" s="85">
        <v>520.79999999999995</v>
      </c>
      <c r="H26" s="86">
        <f t="shared" si="0"/>
        <v>0.19529999999999997</v>
      </c>
      <c r="I26" s="13">
        <f t="shared" si="1"/>
        <v>195.29999999999998</v>
      </c>
      <c r="J26" s="22"/>
      <c r="K26" s="8"/>
      <c r="L26" s="8"/>
      <c r="M26" s="8"/>
    </row>
    <row r="27" spans="1:13" ht="15.75" customHeight="1">
      <c r="A27" s="29">
        <v>6</v>
      </c>
      <c r="B27" s="32" t="s">
        <v>229</v>
      </c>
      <c r="C27" s="138" t="s">
        <v>26</v>
      </c>
      <c r="D27" s="32" t="s">
        <v>234</v>
      </c>
      <c r="E27" s="175">
        <v>4.88</v>
      </c>
      <c r="F27" s="139">
        <f>E27*258</f>
        <v>1259.04</v>
      </c>
      <c r="G27" s="139">
        <v>10.39</v>
      </c>
      <c r="H27" s="86">
        <f t="shared" ref="H27" si="2">SUM(F27*G27/1000)</f>
        <v>13.081425600000001</v>
      </c>
      <c r="I27" s="13">
        <f>F27/12*G27</f>
        <v>1090.1188</v>
      </c>
      <c r="J27" s="22"/>
      <c r="K27" s="8"/>
      <c r="L27" s="8"/>
      <c r="M27" s="8"/>
    </row>
    <row r="28" spans="1:13" ht="15.75" customHeight="1">
      <c r="A28" s="220" t="s">
        <v>81</v>
      </c>
      <c r="B28" s="220"/>
      <c r="C28" s="220"/>
      <c r="D28" s="220"/>
      <c r="E28" s="220"/>
      <c r="F28" s="220"/>
      <c r="G28" s="220"/>
      <c r="H28" s="220"/>
      <c r="I28" s="220"/>
      <c r="J28" s="22"/>
      <c r="K28" s="8"/>
      <c r="L28" s="8"/>
      <c r="M28" s="8"/>
    </row>
    <row r="29" spans="1:13" ht="15" hidden="1" customHeight="1">
      <c r="A29" s="40"/>
      <c r="B29" s="50" t="s">
        <v>29</v>
      </c>
      <c r="C29" s="50"/>
      <c r="D29" s="50"/>
      <c r="E29" s="50"/>
      <c r="F29" s="50"/>
      <c r="G29" s="50"/>
      <c r="H29" s="50"/>
      <c r="I29" s="18"/>
      <c r="J29" s="22"/>
      <c r="K29" s="8"/>
      <c r="L29" s="8"/>
      <c r="M29" s="8"/>
    </row>
    <row r="30" spans="1:13" ht="27.75" hidden="1" customHeight="1">
      <c r="A30" s="40">
        <v>6</v>
      </c>
      <c r="B30" s="141" t="s">
        <v>101</v>
      </c>
      <c r="C30" s="142" t="s">
        <v>102</v>
      </c>
      <c r="D30" s="141" t="s">
        <v>175</v>
      </c>
      <c r="E30" s="144">
        <v>1304.45</v>
      </c>
      <c r="F30" s="144">
        <f>SUM(E30*52/1000)</f>
        <v>67.831400000000002</v>
      </c>
      <c r="G30" s="144">
        <v>212.62</v>
      </c>
      <c r="H30" s="86">
        <f t="shared" ref="H30:H35" si="3">SUM(F30*G30/1000)</f>
        <v>14.422312268000001</v>
      </c>
      <c r="I30" s="13">
        <f>F30/6*G30</f>
        <v>2403.7187113333334</v>
      </c>
      <c r="J30" s="22"/>
      <c r="K30" s="8"/>
      <c r="L30" s="8"/>
      <c r="M30" s="8"/>
    </row>
    <row r="31" spans="1:13" ht="27.75" hidden="1" customHeight="1">
      <c r="A31" s="40">
        <v>7</v>
      </c>
      <c r="B31" s="141" t="s">
        <v>140</v>
      </c>
      <c r="C31" s="142" t="s">
        <v>102</v>
      </c>
      <c r="D31" s="141" t="s">
        <v>176</v>
      </c>
      <c r="E31" s="144">
        <v>287.83999999999997</v>
      </c>
      <c r="F31" s="144">
        <f>SUM(E31*52/1000)</f>
        <v>14.967679999999998</v>
      </c>
      <c r="G31" s="144">
        <v>352.77</v>
      </c>
      <c r="H31" s="86">
        <f t="shared" si="3"/>
        <v>5.2801484735999997</v>
      </c>
      <c r="I31" s="13">
        <f t="shared" ref="I31:I33" si="4">F31/6*G31</f>
        <v>880.02474559999985</v>
      </c>
      <c r="J31" s="22"/>
      <c r="K31" s="8"/>
      <c r="L31" s="8"/>
      <c r="M31" s="8"/>
    </row>
    <row r="32" spans="1:13" ht="24" hidden="1" customHeight="1">
      <c r="A32" s="40">
        <v>16</v>
      </c>
      <c r="B32" s="141" t="s">
        <v>28</v>
      </c>
      <c r="C32" s="142" t="s">
        <v>102</v>
      </c>
      <c r="D32" s="141" t="s">
        <v>52</v>
      </c>
      <c r="E32" s="144">
        <v>1304.45</v>
      </c>
      <c r="F32" s="144">
        <f>SUM(E32/1000)</f>
        <v>1.3044500000000001</v>
      </c>
      <c r="G32" s="144">
        <v>4119.68</v>
      </c>
      <c r="H32" s="86">
        <f t="shared" si="3"/>
        <v>5.3739165760000009</v>
      </c>
      <c r="I32" s="13">
        <f>F32*G32</f>
        <v>5373.9165760000005</v>
      </c>
      <c r="J32" s="22"/>
      <c r="K32" s="8"/>
      <c r="L32" s="8"/>
      <c r="M32" s="8"/>
    </row>
    <row r="33" spans="1:14" ht="23.25" hidden="1" customHeight="1">
      <c r="A33" s="40">
        <v>8</v>
      </c>
      <c r="B33" s="141" t="s">
        <v>105</v>
      </c>
      <c r="C33" s="142" t="s">
        <v>31</v>
      </c>
      <c r="D33" s="141" t="s">
        <v>61</v>
      </c>
      <c r="E33" s="146">
        <v>0.33333333333333331</v>
      </c>
      <c r="F33" s="144">
        <f>155/3</f>
        <v>51.666666666666664</v>
      </c>
      <c r="G33" s="144">
        <v>77.33</v>
      </c>
      <c r="H33" s="86">
        <f t="shared" si="3"/>
        <v>3.9953833333333333</v>
      </c>
      <c r="I33" s="13">
        <f t="shared" si="4"/>
        <v>665.89722222222213</v>
      </c>
      <c r="J33" s="23"/>
    </row>
    <row r="34" spans="1:14" ht="21" hidden="1" customHeight="1">
      <c r="A34" s="40">
        <v>4</v>
      </c>
      <c r="B34" s="141" t="s">
        <v>62</v>
      </c>
      <c r="C34" s="142" t="s">
        <v>33</v>
      </c>
      <c r="D34" s="141" t="s">
        <v>61</v>
      </c>
      <c r="E34" s="145">
        <v>0.2</v>
      </c>
      <c r="F34" s="144">
        <f>SUM(E34*155)</f>
        <v>31</v>
      </c>
      <c r="G34" s="144">
        <v>275.45</v>
      </c>
      <c r="H34" s="86">
        <f t="shared" si="3"/>
        <v>8.538949999999998</v>
      </c>
      <c r="I34" s="13">
        <v>0</v>
      </c>
      <c r="J34" s="23"/>
    </row>
    <row r="35" spans="1:14" ht="28.5" hidden="1" customHeight="1">
      <c r="A35" s="29">
        <v>8</v>
      </c>
      <c r="B35" s="141" t="s">
        <v>63</v>
      </c>
      <c r="C35" s="142" t="s">
        <v>33</v>
      </c>
      <c r="D35" s="141" t="s">
        <v>177</v>
      </c>
      <c r="E35" s="143"/>
      <c r="F35" s="144">
        <v>2</v>
      </c>
      <c r="G35" s="144">
        <v>260.95</v>
      </c>
      <c r="H35" s="86">
        <f t="shared" si="3"/>
        <v>0.52190000000000003</v>
      </c>
      <c r="I35" s="13">
        <v>0</v>
      </c>
      <c r="J35" s="23"/>
    </row>
    <row r="36" spans="1:14" ht="27.75" hidden="1" customHeight="1">
      <c r="A36" s="29"/>
      <c r="B36" s="141" t="s">
        <v>64</v>
      </c>
      <c r="C36" s="142" t="s">
        <v>32</v>
      </c>
      <c r="D36" s="141" t="s">
        <v>177</v>
      </c>
      <c r="E36" s="143"/>
      <c r="F36" s="144">
        <v>1</v>
      </c>
      <c r="G36" s="144">
        <v>1549.92</v>
      </c>
      <c r="H36" s="97"/>
      <c r="I36" s="13"/>
      <c r="J36" s="23"/>
    </row>
    <row r="37" spans="1:14" ht="15.75" customHeight="1">
      <c r="A37" s="40"/>
      <c r="B37" s="48" t="s">
        <v>5</v>
      </c>
      <c r="C37" s="48"/>
      <c r="D37" s="48"/>
      <c r="E37" s="13"/>
      <c r="F37" s="13"/>
      <c r="G37" s="14"/>
      <c r="H37" s="14"/>
      <c r="I37" s="18"/>
      <c r="J37" s="23"/>
    </row>
    <row r="38" spans="1:14" ht="15.75" customHeight="1">
      <c r="A38" s="33">
        <v>7</v>
      </c>
      <c r="B38" s="155" t="s">
        <v>27</v>
      </c>
      <c r="C38" s="138" t="s">
        <v>32</v>
      </c>
      <c r="D38" s="32" t="s">
        <v>310</v>
      </c>
      <c r="E38" s="152"/>
      <c r="F38" s="139">
        <v>8</v>
      </c>
      <c r="G38" s="139">
        <v>2083</v>
      </c>
      <c r="H38" s="86">
        <f t="shared" ref="H38:H45" si="5">SUM(F38*G38/1000)</f>
        <v>16.664000000000001</v>
      </c>
      <c r="I38" s="13">
        <f>G38*1.3</f>
        <v>2707.9</v>
      </c>
      <c r="J38" s="23"/>
    </row>
    <row r="39" spans="1:14" ht="15.75" customHeight="1">
      <c r="A39" s="33">
        <v>8</v>
      </c>
      <c r="B39" s="155" t="s">
        <v>123</v>
      </c>
      <c r="C39" s="156" t="s">
        <v>30</v>
      </c>
      <c r="D39" s="155" t="s">
        <v>235</v>
      </c>
      <c r="E39" s="157">
        <v>287.83999999999997</v>
      </c>
      <c r="F39" s="157">
        <f>SUM(E39*30/1000)</f>
        <v>8.6351999999999993</v>
      </c>
      <c r="G39" s="157">
        <v>2868.09</v>
      </c>
      <c r="H39" s="86">
        <f t="shared" si="5"/>
        <v>24.766530767999999</v>
      </c>
      <c r="I39" s="13">
        <f>F39/6*G39</f>
        <v>4127.7551279999998</v>
      </c>
      <c r="J39" s="23"/>
    </row>
    <row r="40" spans="1:14" ht="31.5" customHeight="1">
      <c r="A40" s="33">
        <v>9</v>
      </c>
      <c r="B40" s="155" t="s">
        <v>178</v>
      </c>
      <c r="C40" s="156" t="s">
        <v>30</v>
      </c>
      <c r="D40" s="32" t="s">
        <v>236</v>
      </c>
      <c r="E40" s="152">
        <v>287.83999999999997</v>
      </c>
      <c r="F40" s="157">
        <f>E40*155/1000</f>
        <v>44.615199999999994</v>
      </c>
      <c r="G40" s="139">
        <v>478.42</v>
      </c>
      <c r="H40" s="86">
        <f>G40*F40/1000</f>
        <v>21.344803983999999</v>
      </c>
      <c r="I40" s="13">
        <f>F40/6*G40</f>
        <v>3557.4673306666664</v>
      </c>
      <c r="J40" s="23"/>
    </row>
    <row r="41" spans="1:14" ht="15.75" hidden="1" customHeight="1">
      <c r="A41" s="33">
        <v>7</v>
      </c>
      <c r="B41" s="155" t="s">
        <v>178</v>
      </c>
      <c r="C41" s="156" t="s">
        <v>30</v>
      </c>
      <c r="D41" s="32" t="s">
        <v>302</v>
      </c>
      <c r="E41" s="152">
        <v>287.83999999999997</v>
      </c>
      <c r="F41" s="157">
        <f>E41*155/1000</f>
        <v>44.615199999999994</v>
      </c>
      <c r="G41" s="139">
        <v>478.42</v>
      </c>
      <c r="H41" s="86">
        <f>G41*F41/1000</f>
        <v>21.344803983999999</v>
      </c>
      <c r="I41" s="13">
        <v>0</v>
      </c>
      <c r="J41" s="23"/>
    </row>
    <row r="42" spans="1:14" ht="48.75" customHeight="1">
      <c r="A42" s="33">
        <v>10</v>
      </c>
      <c r="B42" s="32" t="s">
        <v>79</v>
      </c>
      <c r="C42" s="138" t="s">
        <v>102</v>
      </c>
      <c r="D42" s="32" t="s">
        <v>237</v>
      </c>
      <c r="E42" s="139">
        <v>130.6</v>
      </c>
      <c r="F42" s="157">
        <f>SUM(E42*35/1000)</f>
        <v>4.5709999999999997</v>
      </c>
      <c r="G42" s="139">
        <v>7915.6</v>
      </c>
      <c r="H42" s="86">
        <f t="shared" si="5"/>
        <v>36.182207599999998</v>
      </c>
      <c r="I42" s="13">
        <f>F42/6*G42</f>
        <v>6030.367933333333</v>
      </c>
      <c r="J42" s="23"/>
    </row>
    <row r="43" spans="1:14" ht="19.5" customHeight="1">
      <c r="A43" s="33">
        <v>11</v>
      </c>
      <c r="B43" s="32" t="s">
        <v>108</v>
      </c>
      <c r="C43" s="138" t="s">
        <v>102</v>
      </c>
      <c r="D43" s="155"/>
      <c r="E43" s="139">
        <v>287.83999999999997</v>
      </c>
      <c r="F43" s="157">
        <f>SUM(E43*45/1000)</f>
        <v>12.9528</v>
      </c>
      <c r="G43" s="139">
        <v>584.74</v>
      </c>
      <c r="H43" s="86">
        <f t="shared" si="5"/>
        <v>7.5740202719999994</v>
      </c>
      <c r="I43" s="13">
        <f>F43/7.5*G43</f>
        <v>1009.8693695999999</v>
      </c>
      <c r="J43" s="23"/>
      <c r="L43" s="19"/>
      <c r="M43" s="20"/>
      <c r="N43" s="21"/>
    </row>
    <row r="44" spans="1:14" ht="15.75" customHeight="1">
      <c r="A44" s="33">
        <v>12</v>
      </c>
      <c r="B44" s="155" t="s">
        <v>68</v>
      </c>
      <c r="C44" s="156" t="s">
        <v>33</v>
      </c>
      <c r="D44" s="155"/>
      <c r="E44" s="158"/>
      <c r="F44" s="157">
        <v>0.9</v>
      </c>
      <c r="G44" s="157">
        <v>800</v>
      </c>
      <c r="H44" s="86">
        <f t="shared" si="5"/>
        <v>0.72</v>
      </c>
      <c r="I44" s="13">
        <f>F44/7.5*G44</f>
        <v>96.000000000000014</v>
      </c>
      <c r="J44" s="23"/>
      <c r="L44" s="19"/>
      <c r="M44" s="20"/>
      <c r="N44" s="21"/>
    </row>
    <row r="45" spans="1:14" ht="30.75" customHeight="1">
      <c r="A45" s="147">
        <v>13</v>
      </c>
      <c r="B45" s="155" t="s">
        <v>179</v>
      </c>
      <c r="C45" s="156" t="s">
        <v>102</v>
      </c>
      <c r="D45" s="155" t="s">
        <v>238</v>
      </c>
      <c r="E45" s="158">
        <v>0.6</v>
      </c>
      <c r="F45" s="157">
        <v>0.01</v>
      </c>
      <c r="G45" s="157">
        <v>18798.34</v>
      </c>
      <c r="H45" s="98">
        <f t="shared" si="5"/>
        <v>0.18798340000000002</v>
      </c>
      <c r="I45" s="119">
        <f>F45/6*G45</f>
        <v>31.33056666666667</v>
      </c>
      <c r="J45" s="23"/>
      <c r="L45" s="19"/>
      <c r="M45" s="20"/>
      <c r="N45" s="21"/>
    </row>
    <row r="46" spans="1:14" ht="15.75" customHeight="1">
      <c r="A46" s="224" t="s">
        <v>137</v>
      </c>
      <c r="B46" s="225"/>
      <c r="C46" s="225"/>
      <c r="D46" s="225"/>
      <c r="E46" s="225"/>
      <c r="F46" s="225"/>
      <c r="G46" s="225"/>
      <c r="H46" s="225"/>
      <c r="I46" s="226"/>
      <c r="J46" s="23"/>
      <c r="L46" s="19"/>
      <c r="M46" s="20"/>
      <c r="N46" s="21"/>
    </row>
    <row r="47" spans="1:14" ht="15.75" hidden="1" customHeight="1">
      <c r="A47" s="40">
        <v>9</v>
      </c>
      <c r="B47" s="82" t="s">
        <v>128</v>
      </c>
      <c r="C47" s="83" t="s">
        <v>102</v>
      </c>
      <c r="D47" s="82" t="s">
        <v>41</v>
      </c>
      <c r="E47" s="84">
        <v>1369</v>
      </c>
      <c r="F47" s="85">
        <f>SUM(E47*2/1000)</f>
        <v>2.738</v>
      </c>
      <c r="G47" s="13">
        <v>849.49</v>
      </c>
      <c r="H47" s="86">
        <f t="shared" ref="H47:H55" si="6">SUM(F47*G47/1000)</f>
        <v>2.3259036200000001</v>
      </c>
      <c r="I47" s="13">
        <f t="shared" ref="I47:I49" si="7">F47/2*G47</f>
        <v>1162.95181</v>
      </c>
      <c r="J47" s="23"/>
      <c r="L47" s="19"/>
      <c r="M47" s="20"/>
      <c r="N47" s="21"/>
    </row>
    <row r="48" spans="1:14" ht="15.75" hidden="1" customHeight="1">
      <c r="A48" s="40">
        <v>10</v>
      </c>
      <c r="B48" s="82" t="s">
        <v>34</v>
      </c>
      <c r="C48" s="83" t="s">
        <v>102</v>
      </c>
      <c r="D48" s="82" t="s">
        <v>41</v>
      </c>
      <c r="E48" s="84">
        <v>1418</v>
      </c>
      <c r="F48" s="85">
        <f>SUM(E48*2/1000)</f>
        <v>2.8359999999999999</v>
      </c>
      <c r="G48" s="13">
        <v>579.48</v>
      </c>
      <c r="H48" s="86">
        <f t="shared" si="6"/>
        <v>1.6434052799999999</v>
      </c>
      <c r="I48" s="13">
        <f t="shared" si="7"/>
        <v>821.70263999999997</v>
      </c>
      <c r="J48" s="23"/>
      <c r="L48" s="19"/>
      <c r="M48" s="20"/>
      <c r="N48" s="21"/>
    </row>
    <row r="49" spans="1:14" ht="15.75" hidden="1" customHeight="1">
      <c r="A49" s="40">
        <v>11</v>
      </c>
      <c r="B49" s="82" t="s">
        <v>35</v>
      </c>
      <c r="C49" s="83" t="s">
        <v>102</v>
      </c>
      <c r="D49" s="82" t="s">
        <v>41</v>
      </c>
      <c r="E49" s="84">
        <v>4985.21</v>
      </c>
      <c r="F49" s="85">
        <f>SUM(E49*2/1000)</f>
        <v>9.9704200000000007</v>
      </c>
      <c r="G49" s="13">
        <v>579.48</v>
      </c>
      <c r="H49" s="86">
        <f t="shared" si="6"/>
        <v>5.7776589816000001</v>
      </c>
      <c r="I49" s="13">
        <f t="shared" si="7"/>
        <v>2888.8294908000003</v>
      </c>
      <c r="J49" s="23"/>
      <c r="L49" s="19"/>
      <c r="M49" s="20"/>
      <c r="N49" s="21"/>
    </row>
    <row r="50" spans="1:14" ht="15.75" hidden="1" customHeight="1">
      <c r="A50" s="40">
        <v>12</v>
      </c>
      <c r="B50" s="82" t="s">
        <v>36</v>
      </c>
      <c r="C50" s="83" t="s">
        <v>102</v>
      </c>
      <c r="D50" s="82" t="s">
        <v>41</v>
      </c>
      <c r="E50" s="84">
        <v>2474</v>
      </c>
      <c r="F50" s="85">
        <f>SUM(E50*2/1000)</f>
        <v>4.9480000000000004</v>
      </c>
      <c r="G50" s="13">
        <v>606.77</v>
      </c>
      <c r="H50" s="86">
        <f t="shared" si="6"/>
        <v>3.0022979600000004</v>
      </c>
      <c r="I50" s="13">
        <f>F50/2*G50</f>
        <v>1501.1489800000002</v>
      </c>
      <c r="J50" s="23"/>
      <c r="L50" s="19"/>
      <c r="M50" s="20"/>
      <c r="N50" s="21"/>
    </row>
    <row r="51" spans="1:14" ht="15.75" customHeight="1">
      <c r="A51" s="40">
        <v>14</v>
      </c>
      <c r="B51" s="32" t="s">
        <v>54</v>
      </c>
      <c r="C51" s="138" t="s">
        <v>102</v>
      </c>
      <c r="D51" s="32" t="s">
        <v>233</v>
      </c>
      <c r="E51" s="152">
        <v>5162.6000000000004</v>
      </c>
      <c r="F51" s="139">
        <f>SUM(E51*5/1000)</f>
        <v>25.812999999999999</v>
      </c>
      <c r="G51" s="36">
        <v>1655.27</v>
      </c>
      <c r="H51" s="86">
        <f t="shared" si="6"/>
        <v>42.727484509999996</v>
      </c>
      <c r="I51" s="13">
        <f>F51/5*G51</f>
        <v>8545.496901999999</v>
      </c>
      <c r="J51" s="23"/>
      <c r="L51" s="19"/>
      <c r="M51" s="20"/>
      <c r="N51" s="21"/>
    </row>
    <row r="52" spans="1:14" ht="30.75" hidden="1" customHeight="1">
      <c r="A52" s="40">
        <v>9</v>
      </c>
      <c r="B52" s="82" t="s">
        <v>109</v>
      </c>
      <c r="C52" s="83" t="s">
        <v>102</v>
      </c>
      <c r="D52" s="82" t="s">
        <v>41</v>
      </c>
      <c r="E52" s="84">
        <v>1349.3</v>
      </c>
      <c r="F52" s="85">
        <f>SUM(E52*2/1000)</f>
        <v>2.6985999999999999</v>
      </c>
      <c r="G52" s="13">
        <v>1213.55</v>
      </c>
      <c r="H52" s="86">
        <f t="shared" si="6"/>
        <v>3.2748860299999998</v>
      </c>
      <c r="I52" s="13">
        <f>F52/2*G52</f>
        <v>1637.4430149999998</v>
      </c>
      <c r="J52" s="23"/>
      <c r="L52" s="19"/>
      <c r="M52" s="20"/>
      <c r="N52" s="21"/>
    </row>
    <row r="53" spans="1:14" ht="30.75" hidden="1" customHeight="1">
      <c r="A53" s="40">
        <v>10</v>
      </c>
      <c r="B53" s="82" t="s">
        <v>110</v>
      </c>
      <c r="C53" s="83" t="s">
        <v>37</v>
      </c>
      <c r="D53" s="82" t="s">
        <v>41</v>
      </c>
      <c r="E53" s="84">
        <v>40</v>
      </c>
      <c r="F53" s="85">
        <f>SUM(E53*2/100)</f>
        <v>0.8</v>
      </c>
      <c r="G53" s="13">
        <v>2730.49</v>
      </c>
      <c r="H53" s="86">
        <f t="shared" si="6"/>
        <v>2.1843919999999999</v>
      </c>
      <c r="I53" s="13">
        <f t="shared" ref="I53:I54" si="8">F53/2*G53</f>
        <v>1092.1959999999999</v>
      </c>
      <c r="J53" s="23"/>
      <c r="L53" s="19"/>
      <c r="M53" s="20"/>
      <c r="N53" s="21"/>
    </row>
    <row r="54" spans="1:14" ht="15.75" hidden="1" customHeight="1">
      <c r="A54" s="40">
        <v>11</v>
      </c>
      <c r="B54" s="82" t="s">
        <v>38</v>
      </c>
      <c r="C54" s="83" t="s">
        <v>39</v>
      </c>
      <c r="D54" s="82" t="s">
        <v>41</v>
      </c>
      <c r="E54" s="84">
        <v>1</v>
      </c>
      <c r="F54" s="85">
        <v>0.02</v>
      </c>
      <c r="G54" s="13">
        <v>5652.13</v>
      </c>
      <c r="H54" s="86">
        <f t="shared" si="6"/>
        <v>0.11304260000000001</v>
      </c>
      <c r="I54" s="13">
        <f t="shared" si="8"/>
        <v>56.521300000000004</v>
      </c>
      <c r="J54" s="23"/>
      <c r="L54" s="19"/>
      <c r="M54" s="20"/>
      <c r="N54" s="21"/>
    </row>
    <row r="55" spans="1:14" ht="15.75" hidden="1" customHeight="1">
      <c r="A55" s="40">
        <v>12</v>
      </c>
      <c r="B55" s="82" t="s">
        <v>40</v>
      </c>
      <c r="C55" s="83" t="s">
        <v>111</v>
      </c>
      <c r="D55" s="82" t="s">
        <v>69</v>
      </c>
      <c r="E55" s="84">
        <v>238</v>
      </c>
      <c r="F55" s="85">
        <f>SUM(E55)*3</f>
        <v>714</v>
      </c>
      <c r="G55" s="13">
        <v>65.67</v>
      </c>
      <c r="H55" s="86">
        <f t="shared" si="6"/>
        <v>46.888380000000005</v>
      </c>
      <c r="I55" s="13">
        <f>E55*G55</f>
        <v>15629.460000000001</v>
      </c>
      <c r="J55" s="23"/>
      <c r="L55" s="19"/>
      <c r="M55" s="20"/>
      <c r="N55" s="21"/>
    </row>
    <row r="56" spans="1:14" ht="15.75" customHeight="1">
      <c r="A56" s="224" t="s">
        <v>138</v>
      </c>
      <c r="B56" s="225"/>
      <c r="C56" s="225"/>
      <c r="D56" s="225"/>
      <c r="E56" s="225"/>
      <c r="F56" s="225"/>
      <c r="G56" s="225"/>
      <c r="H56" s="225"/>
      <c r="I56" s="226"/>
      <c r="J56" s="23"/>
      <c r="L56" s="19"/>
      <c r="M56" s="20"/>
      <c r="N56" s="21"/>
    </row>
    <row r="57" spans="1:14" ht="15.75" customHeight="1">
      <c r="A57" s="112"/>
      <c r="B57" s="47" t="s">
        <v>42</v>
      </c>
      <c r="C57" s="16"/>
      <c r="D57" s="15"/>
      <c r="E57" s="15"/>
      <c r="F57" s="15"/>
      <c r="G57" s="29"/>
      <c r="H57" s="29"/>
      <c r="I57" s="18"/>
      <c r="J57" s="23"/>
      <c r="L57" s="19"/>
      <c r="M57" s="20"/>
      <c r="N57" s="21"/>
    </row>
    <row r="58" spans="1:14" ht="31.5" customHeight="1">
      <c r="A58" s="40">
        <v>15</v>
      </c>
      <c r="B58" s="32" t="s">
        <v>112</v>
      </c>
      <c r="C58" s="138" t="s">
        <v>89</v>
      </c>
      <c r="D58" s="32"/>
      <c r="E58" s="152">
        <v>128.5</v>
      </c>
      <c r="F58" s="139">
        <f>SUM(E58*6/100)</f>
        <v>7.71</v>
      </c>
      <c r="G58" s="36">
        <v>2110.4699999999998</v>
      </c>
      <c r="H58" s="86">
        <f>SUM(F58*G58/1000)</f>
        <v>16.271723699999999</v>
      </c>
      <c r="I58" s="13">
        <f>G58*0.67</f>
        <v>1414.0148999999999</v>
      </c>
      <c r="J58" s="23"/>
      <c r="L58" s="19"/>
      <c r="M58" s="20"/>
      <c r="N58" s="21"/>
    </row>
    <row r="59" spans="1:14" ht="18" customHeight="1">
      <c r="A59" s="40">
        <v>16</v>
      </c>
      <c r="B59" s="32" t="s">
        <v>180</v>
      </c>
      <c r="C59" s="138" t="s">
        <v>89</v>
      </c>
      <c r="D59" s="32" t="s">
        <v>243</v>
      </c>
      <c r="E59" s="153">
        <v>69.5</v>
      </c>
      <c r="F59" s="154">
        <f>E59*6/100</f>
        <v>4.17</v>
      </c>
      <c r="G59" s="139">
        <v>2110.4699999999998</v>
      </c>
      <c r="H59" s="86">
        <f>F59*G59/1000</f>
        <v>8.8006598999999994</v>
      </c>
      <c r="I59" s="13">
        <f>F59/6*G59</f>
        <v>1466.7766499999998</v>
      </c>
      <c r="J59" s="23"/>
      <c r="L59" s="19"/>
      <c r="M59" s="20"/>
      <c r="N59" s="21"/>
    </row>
    <row r="60" spans="1:14" ht="18" customHeight="1">
      <c r="A60" s="40">
        <v>17</v>
      </c>
      <c r="B60" s="32" t="s">
        <v>172</v>
      </c>
      <c r="C60" s="138" t="s">
        <v>173</v>
      </c>
      <c r="D60" s="32"/>
      <c r="E60" s="187"/>
      <c r="F60" s="36">
        <v>8</v>
      </c>
      <c r="G60" s="157">
        <v>1645</v>
      </c>
      <c r="H60" s="97"/>
      <c r="I60" s="13">
        <f>G60*1</f>
        <v>1645</v>
      </c>
      <c r="J60" s="23"/>
      <c r="L60" s="19"/>
      <c r="M60" s="20"/>
      <c r="N60" s="21"/>
    </row>
    <row r="61" spans="1:14" ht="18" customHeight="1">
      <c r="A61" s="40"/>
      <c r="B61" s="111" t="s">
        <v>43</v>
      </c>
      <c r="C61" s="111"/>
      <c r="D61" s="111"/>
      <c r="E61" s="111"/>
      <c r="F61" s="111"/>
      <c r="G61" s="111"/>
      <c r="H61" s="111"/>
      <c r="I61" s="35"/>
      <c r="J61" s="23"/>
      <c r="L61" s="19"/>
      <c r="M61" s="20"/>
      <c r="N61" s="21"/>
    </row>
    <row r="62" spans="1:14" ht="15.75" hidden="1" customHeight="1">
      <c r="A62" s="40">
        <v>27</v>
      </c>
      <c r="B62" s="82" t="s">
        <v>142</v>
      </c>
      <c r="C62" s="83"/>
      <c r="D62" s="82" t="s">
        <v>52</v>
      </c>
      <c r="E62" s="84">
        <v>1349.3</v>
      </c>
      <c r="F62" s="86">
        <v>13.493</v>
      </c>
      <c r="G62" s="13">
        <v>793.61</v>
      </c>
      <c r="H62" s="92">
        <f>F62*G62/1000</f>
        <v>10.708179729999999</v>
      </c>
      <c r="I62" s="13">
        <v>0</v>
      </c>
      <c r="J62" s="23"/>
      <c r="L62" s="19"/>
      <c r="M62" s="20"/>
      <c r="N62" s="21"/>
    </row>
    <row r="63" spans="1:14" ht="15.75" customHeight="1">
      <c r="A63" s="40">
        <v>18</v>
      </c>
      <c r="B63" s="113" t="s">
        <v>88</v>
      </c>
      <c r="C63" s="114" t="s">
        <v>26</v>
      </c>
      <c r="D63" s="113" t="s">
        <v>243</v>
      </c>
      <c r="E63" s="115">
        <v>200</v>
      </c>
      <c r="F63" s="116">
        <f>E63*12</f>
        <v>2400</v>
      </c>
      <c r="G63" s="117">
        <v>1.4</v>
      </c>
      <c r="H63" s="98">
        <f>F63*G63</f>
        <v>3360</v>
      </c>
      <c r="I63" s="13">
        <f>F63/12*G63</f>
        <v>280</v>
      </c>
      <c r="J63" s="23"/>
      <c r="L63" s="19"/>
      <c r="M63" s="20"/>
      <c r="N63" s="21"/>
    </row>
    <row r="64" spans="1:14" ht="15.75" customHeight="1">
      <c r="A64" s="40"/>
      <c r="B64" s="111" t="s">
        <v>44</v>
      </c>
      <c r="C64" s="16"/>
      <c r="D64" s="37"/>
      <c r="E64" s="15"/>
      <c r="F64" s="15"/>
      <c r="G64" s="29"/>
      <c r="H64" s="29"/>
      <c r="I64" s="18"/>
      <c r="J64" s="23"/>
      <c r="L64" s="19"/>
    </row>
    <row r="65" spans="1:22" ht="15.75" customHeight="1">
      <c r="A65" s="40">
        <v>19</v>
      </c>
      <c r="B65" s="151" t="s">
        <v>45</v>
      </c>
      <c r="C65" s="38" t="s">
        <v>111</v>
      </c>
      <c r="D65" s="37" t="s">
        <v>232</v>
      </c>
      <c r="E65" s="17">
        <v>40</v>
      </c>
      <c r="F65" s="139">
        <f>E65</f>
        <v>40</v>
      </c>
      <c r="G65" s="36">
        <v>303.35000000000002</v>
      </c>
      <c r="H65" s="100">
        <f t="shared" ref="H65:H72" si="9">SUM(F65*G65/1000)</f>
        <v>12.134</v>
      </c>
      <c r="I65" s="13">
        <f>G65*3</f>
        <v>910.05000000000007</v>
      </c>
    </row>
    <row r="66" spans="1:22" ht="15.75" hidden="1" customHeight="1">
      <c r="A66" s="29">
        <v>29</v>
      </c>
      <c r="B66" s="99" t="s">
        <v>46</v>
      </c>
      <c r="C66" s="16" t="s">
        <v>111</v>
      </c>
      <c r="D66" s="99" t="s">
        <v>65</v>
      </c>
      <c r="E66" s="18">
        <v>20</v>
      </c>
      <c r="F66" s="85">
        <v>20</v>
      </c>
      <c r="G66" s="13">
        <v>76.25</v>
      </c>
      <c r="H66" s="100">
        <f t="shared" si="9"/>
        <v>1.5249999999999999</v>
      </c>
      <c r="I66" s="13">
        <v>0</v>
      </c>
    </row>
    <row r="67" spans="1:22" ht="15.75" hidden="1" customHeight="1">
      <c r="A67" s="29">
        <v>25</v>
      </c>
      <c r="B67" s="99" t="s">
        <v>47</v>
      </c>
      <c r="C67" s="16" t="s">
        <v>114</v>
      </c>
      <c r="D67" s="99" t="s">
        <v>52</v>
      </c>
      <c r="E67" s="84">
        <v>18890</v>
      </c>
      <c r="F67" s="13">
        <f>SUM(E67/100)</f>
        <v>188.9</v>
      </c>
      <c r="G67" s="13">
        <v>212.15</v>
      </c>
      <c r="H67" s="100">
        <f t="shared" si="9"/>
        <v>40.075135000000003</v>
      </c>
      <c r="I67" s="13">
        <f>F67*G67</f>
        <v>40075.135000000002</v>
      </c>
    </row>
    <row r="68" spans="1:22" ht="15.75" hidden="1" customHeight="1">
      <c r="A68" s="29">
        <v>26</v>
      </c>
      <c r="B68" s="99" t="s">
        <v>48</v>
      </c>
      <c r="C68" s="16" t="s">
        <v>115</v>
      </c>
      <c r="D68" s="99"/>
      <c r="E68" s="84">
        <v>18890</v>
      </c>
      <c r="F68" s="13">
        <f>SUM(E68/1000)</f>
        <v>18.89</v>
      </c>
      <c r="G68" s="13">
        <v>165.21</v>
      </c>
      <c r="H68" s="100">
        <f t="shared" si="9"/>
        <v>3.1208169000000003</v>
      </c>
      <c r="I68" s="13">
        <f t="shared" ref="I68:I71" si="10">F68*G68</f>
        <v>3120.8169000000003</v>
      </c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9"/>
    </row>
    <row r="69" spans="1:22" ht="15.75" hidden="1" customHeight="1">
      <c r="A69" s="29">
        <v>27</v>
      </c>
      <c r="B69" s="99" t="s">
        <v>49</v>
      </c>
      <c r="C69" s="16" t="s">
        <v>75</v>
      </c>
      <c r="D69" s="99" t="s">
        <v>52</v>
      </c>
      <c r="E69" s="84">
        <v>3004</v>
      </c>
      <c r="F69" s="13">
        <f>SUM(E69/100)</f>
        <v>30.04</v>
      </c>
      <c r="G69" s="13">
        <v>2074.63</v>
      </c>
      <c r="H69" s="100">
        <f t="shared" si="9"/>
        <v>62.321885200000004</v>
      </c>
      <c r="I69" s="13">
        <f t="shared" si="10"/>
        <v>62321.885200000004</v>
      </c>
      <c r="J69" s="25"/>
      <c r="K69" s="25"/>
      <c r="L69" s="3"/>
      <c r="M69" s="3"/>
      <c r="N69" s="3"/>
      <c r="O69" s="3"/>
      <c r="P69" s="3"/>
      <c r="Q69" s="3"/>
      <c r="R69" s="3"/>
      <c r="S69" s="3"/>
      <c r="T69" s="3"/>
      <c r="U69" s="3"/>
    </row>
    <row r="70" spans="1:22" ht="15.75" hidden="1" customHeight="1">
      <c r="A70" s="29">
        <v>28</v>
      </c>
      <c r="B70" s="101" t="s">
        <v>116</v>
      </c>
      <c r="C70" s="16" t="s">
        <v>33</v>
      </c>
      <c r="D70" s="99"/>
      <c r="E70" s="84">
        <v>15.8</v>
      </c>
      <c r="F70" s="13">
        <f>SUM(E70)</f>
        <v>15.8</v>
      </c>
      <c r="G70" s="13">
        <v>42.67</v>
      </c>
      <c r="H70" s="100">
        <f t="shared" si="9"/>
        <v>0.67418600000000006</v>
      </c>
      <c r="I70" s="13">
        <f t="shared" si="10"/>
        <v>674.18600000000004</v>
      </c>
      <c r="J70" s="3"/>
      <c r="K70" s="3"/>
      <c r="L70" s="3"/>
      <c r="M70" s="3"/>
      <c r="N70" s="3"/>
      <c r="O70" s="3"/>
      <c r="P70" s="3"/>
      <c r="Q70" s="3"/>
      <c r="S70" s="3"/>
      <c r="T70" s="3"/>
      <c r="U70" s="3"/>
    </row>
    <row r="71" spans="1:22" ht="15.75" hidden="1" customHeight="1">
      <c r="A71" s="29">
        <v>29</v>
      </c>
      <c r="B71" s="101" t="s">
        <v>117</v>
      </c>
      <c r="C71" s="16" t="s">
        <v>33</v>
      </c>
      <c r="D71" s="99"/>
      <c r="E71" s="84">
        <v>15.8</v>
      </c>
      <c r="F71" s="13">
        <f>SUM(E71)</f>
        <v>15.8</v>
      </c>
      <c r="G71" s="13">
        <v>39.81</v>
      </c>
      <c r="H71" s="100">
        <f t="shared" si="9"/>
        <v>0.62899800000000006</v>
      </c>
      <c r="I71" s="13">
        <f t="shared" si="10"/>
        <v>628.99800000000005</v>
      </c>
      <c r="J71" s="5"/>
      <c r="K71" s="5"/>
      <c r="L71" s="5"/>
      <c r="M71" s="5"/>
      <c r="N71" s="5"/>
      <c r="O71" s="5"/>
      <c r="P71" s="5"/>
      <c r="Q71" s="5"/>
      <c r="R71" s="199"/>
      <c r="S71" s="199"/>
      <c r="T71" s="199"/>
      <c r="U71" s="199"/>
    </row>
    <row r="72" spans="1:22" ht="20.25" hidden="1" customHeight="1">
      <c r="A72" s="29">
        <v>16</v>
      </c>
      <c r="B72" s="99" t="s">
        <v>55</v>
      </c>
      <c r="C72" s="16" t="s">
        <v>56</v>
      </c>
      <c r="D72" s="99" t="s">
        <v>52</v>
      </c>
      <c r="E72" s="18">
        <v>15</v>
      </c>
      <c r="F72" s="85">
        <v>15</v>
      </c>
      <c r="G72" s="13">
        <v>49.88</v>
      </c>
      <c r="H72" s="100">
        <f t="shared" si="9"/>
        <v>0.74820000000000009</v>
      </c>
      <c r="I72" s="13">
        <f>G72*15</f>
        <v>748.2</v>
      </c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3" spans="1:22" ht="20.25" customHeight="1">
      <c r="A73" s="29"/>
      <c r="B73" s="150" t="s">
        <v>181</v>
      </c>
      <c r="C73" s="125"/>
      <c r="D73" s="148"/>
      <c r="E73" s="149"/>
      <c r="F73" s="128"/>
      <c r="G73" s="126"/>
      <c r="H73" s="100"/>
      <c r="I73" s="13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</row>
    <row r="74" spans="1:22" ht="29.25" customHeight="1">
      <c r="A74" s="29">
        <v>20</v>
      </c>
      <c r="B74" s="37" t="s">
        <v>182</v>
      </c>
      <c r="C74" s="40" t="s">
        <v>183</v>
      </c>
      <c r="D74" s="37"/>
      <c r="E74" s="17">
        <v>5162.6000000000004</v>
      </c>
      <c r="F74" s="36">
        <f>E74*12</f>
        <v>61951.200000000004</v>
      </c>
      <c r="G74" s="36">
        <v>2.37</v>
      </c>
      <c r="H74" s="100"/>
      <c r="I74" s="13">
        <f>G74*61951.2/12</f>
        <v>12235.362000000001</v>
      </c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</row>
    <row r="75" spans="1:22" ht="19.5" hidden="1" customHeight="1">
      <c r="A75" s="112"/>
      <c r="B75" s="111" t="s">
        <v>118</v>
      </c>
      <c r="C75" s="111"/>
      <c r="D75" s="111"/>
      <c r="E75" s="111"/>
      <c r="F75" s="111"/>
      <c r="G75" s="111"/>
      <c r="H75" s="111"/>
      <c r="I75" s="18"/>
    </row>
    <row r="76" spans="1:22" ht="17.25" hidden="1" customHeight="1">
      <c r="A76" s="29">
        <v>11</v>
      </c>
      <c r="B76" s="82" t="s">
        <v>119</v>
      </c>
      <c r="C76" s="16"/>
      <c r="D76" s="99"/>
      <c r="E76" s="77"/>
      <c r="F76" s="13">
        <v>1</v>
      </c>
      <c r="G76" s="13">
        <v>27865.200000000001</v>
      </c>
      <c r="H76" s="100">
        <f>G76*F76/1000</f>
        <v>27.865200000000002</v>
      </c>
      <c r="I76" s="13">
        <f>G76</f>
        <v>27865.200000000001</v>
      </c>
    </row>
    <row r="77" spans="1:22" ht="15.75" customHeight="1">
      <c r="A77" s="29"/>
      <c r="B77" s="48" t="s">
        <v>70</v>
      </c>
      <c r="C77" s="48"/>
      <c r="D77" s="48"/>
      <c r="E77" s="18"/>
      <c r="F77" s="18"/>
      <c r="G77" s="29"/>
      <c r="H77" s="29"/>
      <c r="I77" s="18"/>
    </row>
    <row r="78" spans="1:22" ht="29.25" customHeight="1">
      <c r="A78" s="29">
        <v>21</v>
      </c>
      <c r="B78" s="37" t="s">
        <v>225</v>
      </c>
      <c r="C78" s="38" t="s">
        <v>111</v>
      </c>
      <c r="D78" s="37" t="s">
        <v>315</v>
      </c>
      <c r="E78" s="17">
        <v>2</v>
      </c>
      <c r="F78" s="36">
        <f>E78</f>
        <v>2</v>
      </c>
      <c r="G78" s="36">
        <v>2112.2800000000002</v>
      </c>
      <c r="H78" s="181"/>
      <c r="I78" s="18">
        <f>G78*1</f>
        <v>2112.2800000000002</v>
      </c>
    </row>
    <row r="79" spans="1:22" ht="20.25" customHeight="1">
      <c r="A79" s="29">
        <v>22</v>
      </c>
      <c r="B79" s="37" t="s">
        <v>71</v>
      </c>
      <c r="C79" s="38" t="s">
        <v>73</v>
      </c>
      <c r="D79" s="37"/>
      <c r="E79" s="17">
        <v>8</v>
      </c>
      <c r="F79" s="36">
        <f>E79/10</f>
        <v>0.8</v>
      </c>
      <c r="G79" s="36">
        <v>684.19</v>
      </c>
      <c r="H79" s="100">
        <f t="shared" ref="H79:H83" si="11">SUM(F79*G79/1000)</f>
        <v>0.54735200000000006</v>
      </c>
      <c r="I79" s="13">
        <f>G79*0.4</f>
        <v>273.67600000000004</v>
      </c>
    </row>
    <row r="80" spans="1:22" ht="17.25" hidden="1" customHeight="1">
      <c r="A80" s="29"/>
      <c r="B80" s="99" t="s">
        <v>132</v>
      </c>
      <c r="C80" s="16" t="s">
        <v>31</v>
      </c>
      <c r="D80" s="99"/>
      <c r="E80" s="18">
        <v>1</v>
      </c>
      <c r="F80" s="13">
        <v>1</v>
      </c>
      <c r="G80" s="13">
        <v>99.85</v>
      </c>
      <c r="H80" s="100">
        <f>F80*G80/1000</f>
        <v>9.9849999999999994E-2</v>
      </c>
      <c r="I80" s="13">
        <v>0</v>
      </c>
    </row>
    <row r="81" spans="1:9" ht="21" hidden="1" customHeight="1">
      <c r="A81" s="29"/>
      <c r="B81" s="99" t="s">
        <v>133</v>
      </c>
      <c r="C81" s="16" t="s">
        <v>31</v>
      </c>
      <c r="D81" s="99"/>
      <c r="E81" s="18">
        <v>1</v>
      </c>
      <c r="F81" s="13">
        <v>1</v>
      </c>
      <c r="G81" s="13">
        <v>120.26</v>
      </c>
      <c r="H81" s="100">
        <f>F81*G81/1000</f>
        <v>0.12026000000000001</v>
      </c>
      <c r="I81" s="13">
        <v>0</v>
      </c>
    </row>
    <row r="82" spans="1:9" ht="17.25" hidden="1" customHeight="1">
      <c r="A82" s="29">
        <v>19</v>
      </c>
      <c r="B82" s="99" t="s">
        <v>72</v>
      </c>
      <c r="C82" s="16" t="s">
        <v>31</v>
      </c>
      <c r="D82" s="99"/>
      <c r="E82" s="18">
        <v>2</v>
      </c>
      <c r="F82" s="97">
        <v>2</v>
      </c>
      <c r="G82" s="13">
        <v>852.99</v>
      </c>
      <c r="H82" s="100">
        <f>F82*G82/1000</f>
        <v>1.7059800000000001</v>
      </c>
      <c r="I82" s="13">
        <f>G82</f>
        <v>852.99</v>
      </c>
    </row>
    <row r="83" spans="1:9" ht="18.75" hidden="1" customHeight="1">
      <c r="A83" s="29">
        <v>10</v>
      </c>
      <c r="B83" s="99" t="s">
        <v>83</v>
      </c>
      <c r="C83" s="16" t="s">
        <v>111</v>
      </c>
      <c r="D83" s="99"/>
      <c r="E83" s="18">
        <v>1</v>
      </c>
      <c r="F83" s="85">
        <f>SUM(E83)</f>
        <v>1</v>
      </c>
      <c r="G83" s="13">
        <v>358.51</v>
      </c>
      <c r="H83" s="100">
        <f t="shared" si="11"/>
        <v>0.35851</v>
      </c>
      <c r="I83" s="13">
        <f>G83</f>
        <v>358.51</v>
      </c>
    </row>
    <row r="84" spans="1:9" ht="31.5" customHeight="1">
      <c r="A84" s="29">
        <v>23</v>
      </c>
      <c r="B84" s="37" t="s">
        <v>184</v>
      </c>
      <c r="C84" s="38" t="s">
        <v>111</v>
      </c>
      <c r="D84" s="37" t="s">
        <v>233</v>
      </c>
      <c r="E84" s="17">
        <v>1</v>
      </c>
      <c r="F84" s="36">
        <f>E84*12</f>
        <v>12</v>
      </c>
      <c r="G84" s="36">
        <v>55.55</v>
      </c>
      <c r="H84" s="100"/>
      <c r="I84" s="13">
        <f>G84*1</f>
        <v>55.55</v>
      </c>
    </row>
    <row r="85" spans="1:9" ht="18.75" hidden="1" customHeight="1">
      <c r="A85" s="29"/>
      <c r="B85" s="49" t="s">
        <v>74</v>
      </c>
      <c r="C85" s="38"/>
      <c r="D85" s="29"/>
      <c r="E85" s="18"/>
      <c r="F85" s="18"/>
      <c r="G85" s="36"/>
      <c r="H85" s="36"/>
      <c r="I85" s="18"/>
    </row>
    <row r="86" spans="1:9" ht="16.5" hidden="1" customHeight="1">
      <c r="A86" s="29">
        <v>39</v>
      </c>
      <c r="B86" s="51" t="s">
        <v>120</v>
      </c>
      <c r="C86" s="16" t="s">
        <v>75</v>
      </c>
      <c r="D86" s="99"/>
      <c r="E86" s="18"/>
      <c r="F86" s="13">
        <v>1.35</v>
      </c>
      <c r="G86" s="13">
        <v>2759.44</v>
      </c>
      <c r="H86" s="100">
        <f t="shared" ref="H86" si="12">SUM(F86*G86/1000)</f>
        <v>3.725244</v>
      </c>
      <c r="I86" s="13">
        <v>0</v>
      </c>
    </row>
    <row r="87" spans="1:9" ht="15.75" customHeight="1">
      <c r="A87" s="208" t="s">
        <v>139</v>
      </c>
      <c r="B87" s="209"/>
      <c r="C87" s="209"/>
      <c r="D87" s="209"/>
      <c r="E87" s="209"/>
      <c r="F87" s="209"/>
      <c r="G87" s="209"/>
      <c r="H87" s="209"/>
      <c r="I87" s="210"/>
    </row>
    <row r="88" spans="1:9" ht="15.75" customHeight="1">
      <c r="A88" s="29">
        <v>24</v>
      </c>
      <c r="B88" s="32" t="s">
        <v>121</v>
      </c>
      <c r="C88" s="38" t="s">
        <v>53</v>
      </c>
      <c r="D88" s="63"/>
      <c r="E88" s="36">
        <v>5162.6000000000004</v>
      </c>
      <c r="F88" s="36">
        <f>SUM(E88*12)</f>
        <v>61951.200000000004</v>
      </c>
      <c r="G88" s="36">
        <v>3.22</v>
      </c>
      <c r="H88" s="102">
        <f>SUM(F88*G88/1000)</f>
        <v>199.48286400000003</v>
      </c>
      <c r="I88" s="13">
        <f>F88/12*G88</f>
        <v>16623.572000000004</v>
      </c>
    </row>
    <row r="89" spans="1:9" ht="31.5" customHeight="1">
      <c r="A89" s="29">
        <v>25</v>
      </c>
      <c r="B89" s="37" t="s">
        <v>185</v>
      </c>
      <c r="C89" s="114" t="s">
        <v>186</v>
      </c>
      <c r="D89" s="37"/>
      <c r="E89" s="17">
        <v>5162.6000000000004</v>
      </c>
      <c r="F89" s="36">
        <f>E89*12</f>
        <v>61951.200000000004</v>
      </c>
      <c r="G89" s="36">
        <v>3.64</v>
      </c>
      <c r="H89" s="100">
        <f>F89*G89/1000</f>
        <v>225.50236800000002</v>
      </c>
      <c r="I89" s="13">
        <f>F89/12*G89</f>
        <v>18791.864000000001</v>
      </c>
    </row>
    <row r="90" spans="1:9" ht="15.75" customHeight="1">
      <c r="A90" s="112"/>
      <c r="B90" s="39" t="s">
        <v>78</v>
      </c>
      <c r="C90" s="40"/>
      <c r="D90" s="15"/>
      <c r="E90" s="15"/>
      <c r="F90" s="15"/>
      <c r="G90" s="18"/>
      <c r="H90" s="18"/>
      <c r="I90" s="31">
        <f>I89+I88+I84+I79+I78+I74+I65+I63+I60+I59+I58+I51+I45+I44+I43+I42+I40+I39+I38+I27+I21+I20+I18+I17+I16</f>
        <v>104726.78199493332</v>
      </c>
    </row>
    <row r="91" spans="1:9" ht="15.75" customHeight="1">
      <c r="A91" s="211" t="s">
        <v>58</v>
      </c>
      <c r="B91" s="212"/>
      <c r="C91" s="212"/>
      <c r="D91" s="212"/>
      <c r="E91" s="212"/>
      <c r="F91" s="212"/>
      <c r="G91" s="212"/>
      <c r="H91" s="212"/>
      <c r="I91" s="213"/>
    </row>
    <row r="92" spans="1:9" ht="15.75" customHeight="1">
      <c r="A92" s="29">
        <v>26</v>
      </c>
      <c r="B92" s="66" t="s">
        <v>160</v>
      </c>
      <c r="C92" s="67" t="s">
        <v>111</v>
      </c>
      <c r="D92" s="37"/>
      <c r="E92" s="36"/>
      <c r="F92" s="36">
        <f>6+7</f>
        <v>13</v>
      </c>
      <c r="G92" s="36">
        <v>207.55</v>
      </c>
      <c r="H92" s="102">
        <f t="shared" ref="H92:H99" si="13">G92*F92/1000</f>
        <v>2.69815</v>
      </c>
      <c r="I92" s="13">
        <f>G92*1</f>
        <v>207.55</v>
      </c>
    </row>
    <row r="93" spans="1:9" ht="31.5" customHeight="1">
      <c r="A93" s="29">
        <v>27</v>
      </c>
      <c r="B93" s="66" t="s">
        <v>228</v>
      </c>
      <c r="C93" s="67" t="s">
        <v>154</v>
      </c>
      <c r="D93" s="37" t="s">
        <v>317</v>
      </c>
      <c r="E93" s="36"/>
      <c r="F93" s="36">
        <v>0.02</v>
      </c>
      <c r="G93" s="36">
        <v>561.86</v>
      </c>
      <c r="H93" s="102">
        <f t="shared" si="13"/>
        <v>1.1237199999999999E-2</v>
      </c>
      <c r="I93" s="13">
        <f>G93*2</f>
        <v>1123.72</v>
      </c>
    </row>
    <row r="94" spans="1:9" ht="16.5" customHeight="1">
      <c r="A94" s="29">
        <v>28</v>
      </c>
      <c r="B94" s="66" t="s">
        <v>143</v>
      </c>
      <c r="C94" s="67" t="s">
        <v>80</v>
      </c>
      <c r="D94" s="37" t="s">
        <v>319</v>
      </c>
      <c r="E94" s="36"/>
      <c r="F94" s="36">
        <v>2</v>
      </c>
      <c r="G94" s="36">
        <v>214.07</v>
      </c>
      <c r="H94" s="102">
        <f t="shared" si="13"/>
        <v>0.42813999999999997</v>
      </c>
      <c r="I94" s="13">
        <f>G94*1</f>
        <v>214.07</v>
      </c>
    </row>
    <row r="95" spans="1:9" ht="27.75" customHeight="1">
      <c r="A95" s="29">
        <v>29</v>
      </c>
      <c r="B95" s="66" t="s">
        <v>134</v>
      </c>
      <c r="C95" s="67" t="s">
        <v>37</v>
      </c>
      <c r="D95" s="37"/>
      <c r="E95" s="36"/>
      <c r="F95" s="36">
        <v>1</v>
      </c>
      <c r="G95" s="36">
        <v>3914.31</v>
      </c>
      <c r="H95" s="102">
        <f t="shared" si="13"/>
        <v>3.91431</v>
      </c>
      <c r="I95" s="13">
        <f>G95*0.02</f>
        <v>78.286199999999994</v>
      </c>
    </row>
    <row r="96" spans="1:9" ht="32.25" customHeight="1">
      <c r="A96" s="29">
        <v>30</v>
      </c>
      <c r="B96" s="66" t="s">
        <v>209</v>
      </c>
      <c r="C96" s="67" t="s">
        <v>111</v>
      </c>
      <c r="D96" s="37" t="s">
        <v>316</v>
      </c>
      <c r="E96" s="36"/>
      <c r="F96" s="36">
        <v>1</v>
      </c>
      <c r="G96" s="36">
        <v>909</v>
      </c>
      <c r="H96" s="102">
        <f t="shared" si="13"/>
        <v>0.90900000000000003</v>
      </c>
      <c r="I96" s="13">
        <f>G96*1</f>
        <v>909</v>
      </c>
    </row>
    <row r="97" spans="1:9" ht="31.5" customHeight="1">
      <c r="A97" s="29">
        <v>31</v>
      </c>
      <c r="B97" s="66" t="s">
        <v>291</v>
      </c>
      <c r="C97" s="67" t="s">
        <v>111</v>
      </c>
      <c r="D97" s="37" t="s">
        <v>316</v>
      </c>
      <c r="E97" s="36"/>
      <c r="F97" s="36">
        <v>0.03</v>
      </c>
      <c r="G97" s="36">
        <v>1133.92</v>
      </c>
      <c r="H97" s="102">
        <f t="shared" si="13"/>
        <v>3.4017600000000002E-2</v>
      </c>
      <c r="I97" s="13">
        <f>G97*2</f>
        <v>2267.84</v>
      </c>
    </row>
    <row r="98" spans="1:9" ht="16.5" customHeight="1">
      <c r="A98" s="29">
        <v>32</v>
      </c>
      <c r="B98" s="66" t="s">
        <v>292</v>
      </c>
      <c r="C98" s="67" t="s">
        <v>111</v>
      </c>
      <c r="D98" s="37"/>
      <c r="E98" s="36"/>
      <c r="F98" s="36">
        <v>1</v>
      </c>
      <c r="G98" s="36">
        <v>98</v>
      </c>
      <c r="H98" s="102">
        <f t="shared" si="13"/>
        <v>9.8000000000000004E-2</v>
      </c>
      <c r="I98" s="13">
        <f>G98*1</f>
        <v>98</v>
      </c>
    </row>
    <row r="99" spans="1:9" ht="15.75" customHeight="1">
      <c r="A99" s="29">
        <v>33</v>
      </c>
      <c r="B99" s="66" t="s">
        <v>293</v>
      </c>
      <c r="C99" s="67" t="s">
        <v>111</v>
      </c>
      <c r="D99" s="37"/>
      <c r="E99" s="36"/>
      <c r="F99" s="36">
        <v>1</v>
      </c>
      <c r="G99" s="36">
        <v>235</v>
      </c>
      <c r="H99" s="102">
        <f t="shared" si="13"/>
        <v>0.23499999999999999</v>
      </c>
      <c r="I99" s="13">
        <f>G99*2</f>
        <v>470</v>
      </c>
    </row>
    <row r="100" spans="1:9" ht="15.75" customHeight="1">
      <c r="A100" s="29">
        <v>34</v>
      </c>
      <c r="B100" s="66" t="s">
        <v>311</v>
      </c>
      <c r="C100" s="67" t="s">
        <v>111</v>
      </c>
      <c r="D100" s="37"/>
      <c r="E100" s="36"/>
      <c r="F100" s="36"/>
      <c r="G100" s="36">
        <v>86</v>
      </c>
      <c r="H100" s="102"/>
      <c r="I100" s="13">
        <f>G100*1</f>
        <v>86</v>
      </c>
    </row>
    <row r="101" spans="1:9" ht="15.75" customHeight="1">
      <c r="A101" s="29">
        <v>35</v>
      </c>
      <c r="B101" s="66" t="s">
        <v>213</v>
      </c>
      <c r="C101" s="67" t="s">
        <v>111</v>
      </c>
      <c r="D101" s="37"/>
      <c r="E101" s="36"/>
      <c r="F101" s="36"/>
      <c r="G101" s="36">
        <v>110</v>
      </c>
      <c r="H101" s="102"/>
      <c r="I101" s="13">
        <f>G101*2</f>
        <v>220</v>
      </c>
    </row>
    <row r="102" spans="1:9" ht="15.75" customHeight="1">
      <c r="A102" s="29">
        <v>36</v>
      </c>
      <c r="B102" s="66" t="s">
        <v>214</v>
      </c>
      <c r="C102" s="67" t="s">
        <v>111</v>
      </c>
      <c r="D102" s="37"/>
      <c r="E102" s="36"/>
      <c r="F102" s="36"/>
      <c r="G102" s="36">
        <v>67</v>
      </c>
      <c r="H102" s="102"/>
      <c r="I102" s="13">
        <f>G102*1</f>
        <v>67</v>
      </c>
    </row>
    <row r="103" spans="1:9" ht="15.75" customHeight="1">
      <c r="A103" s="29">
        <v>37</v>
      </c>
      <c r="B103" s="66" t="s">
        <v>215</v>
      </c>
      <c r="C103" s="67" t="s">
        <v>111</v>
      </c>
      <c r="D103" s="37"/>
      <c r="E103" s="36"/>
      <c r="F103" s="36"/>
      <c r="G103" s="36">
        <v>62</v>
      </c>
      <c r="H103" s="102"/>
      <c r="I103" s="13">
        <f>G103*2</f>
        <v>124</v>
      </c>
    </row>
    <row r="104" spans="1:9" ht="15.75" customHeight="1">
      <c r="A104" s="29">
        <v>38</v>
      </c>
      <c r="B104" s="66" t="s">
        <v>312</v>
      </c>
      <c r="C104" s="67" t="s">
        <v>154</v>
      </c>
      <c r="D104" s="40" t="s">
        <v>318</v>
      </c>
      <c r="E104" s="36"/>
      <c r="F104" s="36"/>
      <c r="G104" s="36">
        <v>1209.49</v>
      </c>
      <c r="H104" s="102"/>
      <c r="I104" s="13">
        <f>G104*1</f>
        <v>1209.49</v>
      </c>
    </row>
    <row r="105" spans="1:9" ht="27.75" customHeight="1">
      <c r="A105" s="29">
        <v>39</v>
      </c>
      <c r="B105" s="66" t="s">
        <v>77</v>
      </c>
      <c r="C105" s="67" t="s">
        <v>111</v>
      </c>
      <c r="D105" s="37"/>
      <c r="E105" s="36"/>
      <c r="F105" s="36"/>
      <c r="G105" s="36">
        <v>91.11</v>
      </c>
      <c r="H105" s="102"/>
      <c r="I105" s="13">
        <f>G105*1</f>
        <v>91.11</v>
      </c>
    </row>
    <row r="106" spans="1:9" ht="15.75" customHeight="1">
      <c r="A106" s="29">
        <v>40</v>
      </c>
      <c r="B106" s="66" t="s">
        <v>313</v>
      </c>
      <c r="C106" s="105" t="s">
        <v>314</v>
      </c>
      <c r="D106" s="37"/>
      <c r="E106" s="36"/>
      <c r="F106" s="36"/>
      <c r="G106" s="36">
        <v>3909.84</v>
      </c>
      <c r="H106" s="102"/>
      <c r="I106" s="13">
        <f>G106*0.5</f>
        <v>1954.92</v>
      </c>
    </row>
    <row r="107" spans="1:9" ht="15.75" customHeight="1">
      <c r="A107" s="29">
        <v>41</v>
      </c>
      <c r="B107" s="66" t="s">
        <v>193</v>
      </c>
      <c r="C107" s="67" t="s">
        <v>111</v>
      </c>
      <c r="D107" s="37"/>
      <c r="E107" s="36"/>
      <c r="F107" s="36"/>
      <c r="G107" s="36">
        <v>247.31</v>
      </c>
      <c r="H107" s="102"/>
      <c r="I107" s="13">
        <f>G107*2</f>
        <v>494.62</v>
      </c>
    </row>
    <row r="108" spans="1:9" ht="15.75" customHeight="1">
      <c r="A108" s="29"/>
      <c r="B108" s="45" t="s">
        <v>50</v>
      </c>
      <c r="C108" s="41"/>
      <c r="D108" s="53"/>
      <c r="E108" s="41">
        <v>1</v>
      </c>
      <c r="F108" s="41"/>
      <c r="G108" s="41"/>
      <c r="H108" s="41"/>
      <c r="I108" s="31">
        <f>SUM(I92:I107)</f>
        <v>9615.6062000000002</v>
      </c>
    </row>
    <row r="109" spans="1:9" ht="15.75" customHeight="1">
      <c r="A109" s="29"/>
      <c r="B109" s="51" t="s">
        <v>76</v>
      </c>
      <c r="C109" s="15"/>
      <c r="D109" s="15"/>
      <c r="E109" s="42"/>
      <c r="F109" s="42"/>
      <c r="G109" s="43"/>
      <c r="H109" s="43"/>
      <c r="I109" s="17">
        <v>0</v>
      </c>
    </row>
    <row r="110" spans="1:9" ht="15.75" customHeight="1">
      <c r="A110" s="54"/>
      <c r="B110" s="46" t="s">
        <v>144</v>
      </c>
      <c r="C110" s="34"/>
      <c r="D110" s="34"/>
      <c r="E110" s="34"/>
      <c r="F110" s="34"/>
      <c r="G110" s="34"/>
      <c r="H110" s="34"/>
      <c r="I110" s="44">
        <f>I90+I108</f>
        <v>114342.38819493332</v>
      </c>
    </row>
    <row r="111" spans="1:9" ht="15.75">
      <c r="A111" s="205" t="s">
        <v>320</v>
      </c>
      <c r="B111" s="205"/>
      <c r="C111" s="205"/>
      <c r="D111" s="205"/>
      <c r="E111" s="205"/>
      <c r="F111" s="205"/>
      <c r="G111" s="205"/>
      <c r="H111" s="205"/>
      <c r="I111" s="205"/>
    </row>
    <row r="112" spans="1:9" ht="15.75">
      <c r="A112" s="61"/>
      <c r="B112" s="206" t="s">
        <v>321</v>
      </c>
      <c r="C112" s="206"/>
      <c r="D112" s="206"/>
      <c r="E112" s="206"/>
      <c r="F112" s="206"/>
      <c r="G112" s="206"/>
      <c r="H112" s="80"/>
      <c r="I112" s="3"/>
    </row>
    <row r="113" spans="1:9">
      <c r="A113" s="107"/>
      <c r="B113" s="204" t="s">
        <v>6</v>
      </c>
      <c r="C113" s="204"/>
      <c r="D113" s="204"/>
      <c r="E113" s="204"/>
      <c r="F113" s="204"/>
      <c r="G113" s="204"/>
      <c r="H113" s="24"/>
      <c r="I113" s="5"/>
    </row>
    <row r="114" spans="1:9">
      <c r="A114" s="10"/>
      <c r="B114" s="10"/>
      <c r="C114" s="10"/>
      <c r="D114" s="10"/>
      <c r="E114" s="10"/>
      <c r="F114" s="10"/>
      <c r="G114" s="10"/>
      <c r="H114" s="10"/>
      <c r="I114" s="10"/>
    </row>
    <row r="115" spans="1:9" ht="15.75">
      <c r="A115" s="207" t="s">
        <v>7</v>
      </c>
      <c r="B115" s="207"/>
      <c r="C115" s="207"/>
      <c r="D115" s="207"/>
      <c r="E115" s="207"/>
      <c r="F115" s="207"/>
      <c r="G115" s="207"/>
      <c r="H115" s="207"/>
      <c r="I115" s="207"/>
    </row>
    <row r="116" spans="1:9" ht="15.75">
      <c r="A116" s="207" t="s">
        <v>8</v>
      </c>
      <c r="B116" s="207"/>
      <c r="C116" s="207"/>
      <c r="D116" s="207"/>
      <c r="E116" s="207"/>
      <c r="F116" s="207"/>
      <c r="G116" s="207"/>
      <c r="H116" s="207"/>
      <c r="I116" s="207"/>
    </row>
    <row r="117" spans="1:9" ht="15.75">
      <c r="A117" s="201" t="s">
        <v>59</v>
      </c>
      <c r="B117" s="201"/>
      <c r="C117" s="201"/>
      <c r="D117" s="201"/>
      <c r="E117" s="201"/>
      <c r="F117" s="201"/>
      <c r="G117" s="201"/>
      <c r="H117" s="201"/>
      <c r="I117" s="201"/>
    </row>
    <row r="118" spans="1:9" ht="15.75">
      <c r="A118" s="11"/>
    </row>
    <row r="119" spans="1:9" ht="15.75">
      <c r="A119" s="202" t="s">
        <v>9</v>
      </c>
      <c r="B119" s="202"/>
      <c r="C119" s="202"/>
      <c r="D119" s="202"/>
      <c r="E119" s="202"/>
      <c r="F119" s="202"/>
      <c r="G119" s="202"/>
      <c r="H119" s="202"/>
      <c r="I119" s="202"/>
    </row>
    <row r="120" spans="1:9" ht="15.75">
      <c r="A120" s="4"/>
    </row>
    <row r="121" spans="1:9" ht="15.75">
      <c r="B121" s="108" t="s">
        <v>10</v>
      </c>
      <c r="C121" s="203" t="s">
        <v>84</v>
      </c>
      <c r="D121" s="203"/>
      <c r="E121" s="203"/>
      <c r="F121" s="78"/>
      <c r="I121" s="106"/>
    </row>
    <row r="122" spans="1:9">
      <c r="A122" s="107"/>
      <c r="C122" s="204" t="s">
        <v>11</v>
      </c>
      <c r="D122" s="204"/>
      <c r="E122" s="204"/>
      <c r="F122" s="24"/>
      <c r="I122" s="109" t="s">
        <v>12</v>
      </c>
    </row>
    <row r="123" spans="1:9" ht="15.75">
      <c r="A123" s="25"/>
      <c r="C123" s="12"/>
      <c r="D123" s="12"/>
      <c r="G123" s="12"/>
      <c r="H123" s="12"/>
    </row>
    <row r="124" spans="1:9" ht="15.75">
      <c r="B124" s="108" t="s">
        <v>13</v>
      </c>
      <c r="C124" s="198"/>
      <c r="D124" s="198"/>
      <c r="E124" s="198"/>
      <c r="F124" s="79"/>
      <c r="I124" s="106"/>
    </row>
    <row r="125" spans="1:9">
      <c r="A125" s="107"/>
      <c r="C125" s="199" t="s">
        <v>11</v>
      </c>
      <c r="D125" s="199"/>
      <c r="E125" s="199"/>
      <c r="F125" s="107"/>
      <c r="I125" s="109" t="s">
        <v>12</v>
      </c>
    </row>
    <row r="126" spans="1:9" ht="15.75">
      <c r="A126" s="4" t="s">
        <v>14</v>
      </c>
    </row>
    <row r="127" spans="1:9">
      <c r="A127" s="200" t="s">
        <v>15</v>
      </c>
      <c r="B127" s="200"/>
      <c r="C127" s="200"/>
      <c r="D127" s="200"/>
      <c r="E127" s="200"/>
      <c r="F127" s="200"/>
      <c r="G127" s="200"/>
      <c r="H127" s="200"/>
      <c r="I127" s="200"/>
    </row>
    <row r="128" spans="1:9" ht="45" customHeight="1">
      <c r="A128" s="197" t="s">
        <v>16</v>
      </c>
      <c r="B128" s="197"/>
      <c r="C128" s="197"/>
      <c r="D128" s="197"/>
      <c r="E128" s="197"/>
      <c r="F128" s="197"/>
      <c r="G128" s="197"/>
      <c r="H128" s="197"/>
      <c r="I128" s="197"/>
    </row>
    <row r="129" spans="1:9" ht="30" customHeight="1">
      <c r="A129" s="197" t="s">
        <v>17</v>
      </c>
      <c r="B129" s="197"/>
      <c r="C129" s="197"/>
      <c r="D129" s="197"/>
      <c r="E129" s="197"/>
      <c r="F129" s="197"/>
      <c r="G129" s="197"/>
      <c r="H129" s="197"/>
      <c r="I129" s="197"/>
    </row>
    <row r="130" spans="1:9" ht="30" customHeight="1">
      <c r="A130" s="197" t="s">
        <v>21</v>
      </c>
      <c r="B130" s="197"/>
      <c r="C130" s="197"/>
      <c r="D130" s="197"/>
      <c r="E130" s="197"/>
      <c r="F130" s="197"/>
      <c r="G130" s="197"/>
      <c r="H130" s="197"/>
      <c r="I130" s="197"/>
    </row>
    <row r="131" spans="1:9" ht="15" customHeight="1">
      <c r="A131" s="197" t="s">
        <v>20</v>
      </c>
      <c r="B131" s="197"/>
      <c r="C131" s="197"/>
      <c r="D131" s="197"/>
      <c r="E131" s="197"/>
      <c r="F131" s="197"/>
      <c r="G131" s="197"/>
      <c r="H131" s="197"/>
      <c r="I131" s="197"/>
    </row>
  </sheetData>
  <autoFilter ref="I12:I66"/>
  <mergeCells count="29">
    <mergeCell ref="A14:I14"/>
    <mergeCell ref="A15:I15"/>
    <mergeCell ref="A28:I28"/>
    <mergeCell ref="A46:I46"/>
    <mergeCell ref="A56:I56"/>
    <mergeCell ref="A3:I3"/>
    <mergeCell ref="A4:I4"/>
    <mergeCell ref="A5:I5"/>
    <mergeCell ref="A8:I8"/>
    <mergeCell ref="A10:I10"/>
    <mergeCell ref="R71:U71"/>
    <mergeCell ref="C125:E125"/>
    <mergeCell ref="A91:I91"/>
    <mergeCell ref="A111:I111"/>
    <mergeCell ref="B112:G112"/>
    <mergeCell ref="B113:G113"/>
    <mergeCell ref="A115:I115"/>
    <mergeCell ref="A116:I116"/>
    <mergeCell ref="A117:I117"/>
    <mergeCell ref="A119:I119"/>
    <mergeCell ref="C121:E121"/>
    <mergeCell ref="C122:E122"/>
    <mergeCell ref="C124:E124"/>
    <mergeCell ref="A87:I87"/>
    <mergeCell ref="A127:I127"/>
    <mergeCell ref="A128:I128"/>
    <mergeCell ref="A129:I129"/>
    <mergeCell ref="A130:I130"/>
    <mergeCell ref="A131:I131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12</vt:i4>
      </vt:variant>
    </vt:vector>
  </HeadingPairs>
  <TitlesOfParts>
    <vt:vector size="24" baseType="lpstr">
      <vt:lpstr>01.19</vt:lpstr>
      <vt:lpstr>02.19</vt:lpstr>
      <vt:lpstr>03.19</vt:lpstr>
      <vt:lpstr>04.19</vt:lpstr>
      <vt:lpstr>05.19</vt:lpstr>
      <vt:lpstr>06.19</vt:lpstr>
      <vt:lpstr>07.19</vt:lpstr>
      <vt:lpstr>08.19</vt:lpstr>
      <vt:lpstr>09.19</vt:lpstr>
      <vt:lpstr>10.19</vt:lpstr>
      <vt:lpstr>11.19</vt:lpstr>
      <vt:lpstr>12.19</vt:lpstr>
      <vt:lpstr>'01.19'!Область_печати</vt:lpstr>
      <vt:lpstr>'02.19'!Область_печати</vt:lpstr>
      <vt:lpstr>'03.19'!Область_печати</vt:lpstr>
      <vt:lpstr>'04.19'!Область_печати</vt:lpstr>
      <vt:lpstr>'05.19'!Область_печати</vt:lpstr>
      <vt:lpstr>'06.19'!Область_печати</vt:lpstr>
      <vt:lpstr>'07.19'!Область_печати</vt:lpstr>
      <vt:lpstr>'08.19'!Область_печати</vt:lpstr>
      <vt:lpstr>'09.19'!Область_печати</vt:lpstr>
      <vt:lpstr>'10.19'!Область_печати</vt:lpstr>
      <vt:lpstr>'11.19'!Область_печати</vt:lpstr>
      <vt:lpstr>'12.19'!Область_печати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2020-04-03T08:20:36Z</cp:lastPrinted>
  <dcterms:created xsi:type="dcterms:W3CDTF">2016-03-25T08:33:47Z</dcterms:created>
  <dcterms:modified xsi:type="dcterms:W3CDTF">2020-04-03T08:27:28Z</dcterms:modified>
</cp:coreProperties>
</file>