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19" sheetId="33" r:id="rId1"/>
    <sheet name="02.19" sheetId="34" r:id="rId2"/>
    <sheet name="03.19" sheetId="35" r:id="rId3"/>
    <sheet name="04.19" sheetId="36" r:id="rId4"/>
    <sheet name="05.19" sheetId="38" r:id="rId5"/>
    <sheet name="06.19" sheetId="39" r:id="rId6"/>
    <sheet name="07.19" sheetId="27" r:id="rId7"/>
    <sheet name="08.19" sheetId="28" r:id="rId8"/>
    <sheet name="09.19" sheetId="29" r:id="rId9"/>
    <sheet name="10.19" sheetId="30" r:id="rId10"/>
    <sheet name="11.19" sheetId="31" r:id="rId11"/>
    <sheet name="12.19" sheetId="32" r:id="rId12"/>
  </sheets>
  <definedNames>
    <definedName name="_xlnm._FilterDatabase" localSheetId="0" hidden="1">'01.19'!$I$12:$I$65</definedName>
    <definedName name="_xlnm._FilterDatabase" localSheetId="1" hidden="1">'02.19'!$I$12:$I$66</definedName>
    <definedName name="_xlnm._FilterDatabase" localSheetId="2" hidden="1">'03.19'!$I$12:$I$65</definedName>
    <definedName name="_xlnm._FilterDatabase" localSheetId="6" hidden="1">'07.19'!$I$12:$I$64</definedName>
    <definedName name="_xlnm._FilterDatabase" localSheetId="7" hidden="1">'08.19'!$I$12:$I$64</definedName>
    <definedName name="_xlnm._FilterDatabase" localSheetId="8" hidden="1">'09.19'!$I$12:$I$64</definedName>
    <definedName name="_xlnm._FilterDatabase" localSheetId="9" hidden="1">'10.19'!$I$12:$I$64</definedName>
    <definedName name="_xlnm._FilterDatabase" localSheetId="10" hidden="1">'11.19'!$I$12:$I$66</definedName>
    <definedName name="_xlnm._FilterDatabase" localSheetId="11" hidden="1">'12.19'!$I$12:$I$66</definedName>
    <definedName name="_xlnm.Print_Area" localSheetId="0">'01.19'!$A$1:$I$120</definedName>
    <definedName name="_xlnm.Print_Area" localSheetId="1">'02.19'!$A$1:$I$118</definedName>
    <definedName name="_xlnm.Print_Area" localSheetId="2">'03.19'!$A$1:$I$115</definedName>
    <definedName name="_xlnm.Print_Area" localSheetId="6">'07.19'!$A$1:$I$113</definedName>
    <definedName name="_xlnm.Print_Area" localSheetId="7">'08.19'!$A$1:$I$111</definedName>
    <definedName name="_xlnm.Print_Area" localSheetId="8">'09.19'!$A$1:$I$114</definedName>
    <definedName name="_xlnm.Print_Area" localSheetId="9">'10.19'!$A$1:$I$115</definedName>
    <definedName name="_xlnm.Print_Area" localSheetId="10">'11.19'!$A$1:$I$120</definedName>
    <definedName name="_xlnm.Print_Area" localSheetId="11">'12.19'!$A$1:$I$117</definedName>
  </definedNames>
  <calcPr calcId="124519"/>
</workbook>
</file>

<file path=xl/calcChain.xml><?xml version="1.0" encoding="utf-8"?>
<calcChain xmlns="http://schemas.openxmlformats.org/spreadsheetml/2006/main">
  <c r="I87" i="32"/>
  <c r="I94"/>
  <c r="I93"/>
  <c r="H93"/>
  <c r="I58"/>
  <c r="I89"/>
  <c r="I64"/>
  <c r="I44"/>
  <c r="H44"/>
  <c r="F43"/>
  <c r="H43" s="1"/>
  <c r="F42"/>
  <c r="I42" s="1"/>
  <c r="H41"/>
  <c r="F40"/>
  <c r="I40" s="1"/>
  <c r="F39"/>
  <c r="H39" s="1"/>
  <c r="I38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21" l="1"/>
  <c r="H17"/>
  <c r="I39"/>
  <c r="H40"/>
  <c r="H42"/>
  <c r="I43"/>
  <c r="I18"/>
  <c r="H18"/>
  <c r="I16"/>
  <c r="I20"/>
  <c r="I26"/>
  <c r="I90" i="31" l="1"/>
  <c r="I87"/>
  <c r="I97"/>
  <c r="I96"/>
  <c r="I95"/>
  <c r="I94"/>
  <c r="I93"/>
  <c r="I92"/>
  <c r="I91"/>
  <c r="I89"/>
  <c r="I38"/>
  <c r="F26"/>
  <c r="H26" s="1"/>
  <c r="F25"/>
  <c r="H25" s="1"/>
  <c r="F24"/>
  <c r="H24" s="1"/>
  <c r="F23"/>
  <c r="H23" s="1"/>
  <c r="F22"/>
  <c r="H22" s="1"/>
  <c r="H21"/>
  <c r="F21"/>
  <c r="I21" s="1"/>
  <c r="F20"/>
  <c r="H20" s="1"/>
  <c r="F19"/>
  <c r="H19" s="1"/>
  <c r="E18"/>
  <c r="F18" s="1"/>
  <c r="H17"/>
  <c r="F17"/>
  <c r="I17" s="1"/>
  <c r="F16"/>
  <c r="H16" s="1"/>
  <c r="I18" l="1"/>
  <c r="H18"/>
  <c r="I16"/>
  <c r="I20"/>
  <c r="I26"/>
  <c r="I92" i="30" l="1"/>
  <c r="I91"/>
  <c r="I90" l="1"/>
  <c r="I91" i="29" l="1"/>
  <c r="I90"/>
  <c r="I89" i="30"/>
  <c r="I88"/>
  <c r="I87"/>
  <c r="I74"/>
  <c r="I62"/>
  <c r="F32"/>
  <c r="H32" s="1"/>
  <c r="E31"/>
  <c r="F31" s="1"/>
  <c r="F30"/>
  <c r="I30" s="1"/>
  <c r="F29"/>
  <c r="H29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H20" l="1"/>
  <c r="H16"/>
  <c r="I31"/>
  <c r="H31"/>
  <c r="I29"/>
  <c r="H30"/>
  <c r="I32"/>
  <c r="H17"/>
  <c r="H18"/>
  <c r="H21"/>
  <c r="I26"/>
  <c r="I85" i="29" l="1"/>
  <c r="I89"/>
  <c r="I88"/>
  <c r="I62"/>
  <c r="I87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F17"/>
  <c r="I17" s="1"/>
  <c r="F16"/>
  <c r="H16" s="1"/>
  <c r="I85" i="28"/>
  <c r="I87"/>
  <c r="I88" s="1"/>
  <c r="F32"/>
  <c r="H32" s="1"/>
  <c r="E31"/>
  <c r="F31" s="1"/>
  <c r="F30"/>
  <c r="I30" s="1"/>
  <c r="F29"/>
  <c r="I29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F60" i="27"/>
  <c r="I89"/>
  <c r="I88"/>
  <c r="I57"/>
  <c r="I87"/>
  <c r="I90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95" i="34"/>
  <c r="I93"/>
  <c r="I84" i="39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6" i="38"/>
  <c r="F26"/>
  <c r="H26" s="1"/>
  <c r="E18"/>
  <c r="F18" s="1"/>
  <c r="F17"/>
  <c r="I17" s="1"/>
  <c r="F16"/>
  <c r="I16" s="1"/>
  <c r="F26" i="36"/>
  <c r="H26" s="1"/>
  <c r="F25"/>
  <c r="H25" s="1"/>
  <c r="F24"/>
  <c r="H24" s="1"/>
  <c r="F23"/>
  <c r="H23" s="1"/>
  <c r="F22"/>
  <c r="H22" s="1"/>
  <c r="H21"/>
  <c r="F21"/>
  <c r="I21" s="1"/>
  <c r="F20"/>
  <c r="H20" s="1"/>
  <c r="F19"/>
  <c r="H19" s="1"/>
  <c r="E18"/>
  <c r="F18" s="1"/>
  <c r="H17"/>
  <c r="F17"/>
  <c r="I17" s="1"/>
  <c r="F16"/>
  <c r="H16" s="1"/>
  <c r="F26" i="35"/>
  <c r="H26" s="1"/>
  <c r="F25"/>
  <c r="H25" s="1"/>
  <c r="F24"/>
  <c r="H24" s="1"/>
  <c r="F23"/>
  <c r="H23" s="1"/>
  <c r="F22"/>
  <c r="H22" s="1"/>
  <c r="H21"/>
  <c r="F21"/>
  <c r="I21" s="1"/>
  <c r="F20"/>
  <c r="H20" s="1"/>
  <c r="F19"/>
  <c r="H19" s="1"/>
  <c r="E18"/>
  <c r="F18" s="1"/>
  <c r="H17"/>
  <c r="F17"/>
  <c r="I17" s="1"/>
  <c r="F16"/>
  <c r="H16" s="1"/>
  <c r="F26" i="34"/>
  <c r="H26" s="1"/>
  <c r="F25"/>
  <c r="H25" s="1"/>
  <c r="F24"/>
  <c r="H24" s="1"/>
  <c r="F23"/>
  <c r="H23" s="1"/>
  <c r="F22"/>
  <c r="H22" s="1"/>
  <c r="H21"/>
  <c r="F21"/>
  <c r="I21" s="1"/>
  <c r="F20"/>
  <c r="H20" s="1"/>
  <c r="F19"/>
  <c r="H19" s="1"/>
  <c r="E18"/>
  <c r="F18" s="1"/>
  <c r="H17"/>
  <c r="F17"/>
  <c r="I17" s="1"/>
  <c r="F16"/>
  <c r="H16" s="1"/>
  <c r="F26" i="33"/>
  <c r="I86" i="39"/>
  <c r="I87" s="1"/>
  <c r="I62" i="38"/>
  <c r="I95"/>
  <c r="I94"/>
  <c r="I93"/>
  <c r="I92"/>
  <c r="I91"/>
  <c r="I90"/>
  <c r="I89"/>
  <c r="I88"/>
  <c r="I96" s="1"/>
  <c r="I40" i="36"/>
  <c r="I92"/>
  <c r="I91"/>
  <c r="I90"/>
  <c r="I89"/>
  <c r="I88"/>
  <c r="I87"/>
  <c r="H20" i="29" l="1"/>
  <c r="I18"/>
  <c r="H18"/>
  <c r="I16"/>
  <c r="H17"/>
  <c r="H21"/>
  <c r="I26"/>
  <c r="H29" i="28"/>
  <c r="I31"/>
  <c r="H31"/>
  <c r="H30"/>
  <c r="I32"/>
  <c r="H17"/>
  <c r="H21"/>
  <c r="I18"/>
  <c r="H18"/>
  <c r="I16"/>
  <c r="I20"/>
  <c r="I26"/>
  <c r="H17" i="27"/>
  <c r="H21"/>
  <c r="I18"/>
  <c r="H18"/>
  <c r="I16"/>
  <c r="I20"/>
  <c r="I26"/>
  <c r="H17" i="39"/>
  <c r="H21"/>
  <c r="I18"/>
  <c r="H18"/>
  <c r="I16"/>
  <c r="I20"/>
  <c r="I26"/>
  <c r="H17" i="38"/>
  <c r="I26"/>
  <c r="H18"/>
  <c r="I18"/>
  <c r="H16"/>
  <c r="I18" i="36"/>
  <c r="H18"/>
  <c r="I16"/>
  <c r="I20"/>
  <c r="I26"/>
  <c r="I85" s="1"/>
  <c r="I18" i="35"/>
  <c r="H18"/>
  <c r="I16"/>
  <c r="I20"/>
  <c r="I26"/>
  <c r="I18" i="34"/>
  <c r="H18"/>
  <c r="I16"/>
  <c r="I20"/>
  <c r="I26"/>
  <c r="I94"/>
  <c r="I92" i="35"/>
  <c r="I86"/>
  <c r="I58"/>
  <c r="I57"/>
  <c r="I91"/>
  <c r="I89"/>
  <c r="I90"/>
  <c r="I88"/>
  <c r="H88"/>
  <c r="I37"/>
  <c r="I38" i="34"/>
  <c r="I92"/>
  <c r="I91"/>
  <c r="I90"/>
  <c r="I89"/>
  <c r="I64"/>
  <c r="I37" i="33"/>
  <c r="I96" l="1"/>
  <c r="I95"/>
  <c r="I94"/>
  <c r="I93"/>
  <c r="I92"/>
  <c r="I91"/>
  <c r="I90"/>
  <c r="I89"/>
  <c r="I88"/>
  <c r="I97" s="1"/>
  <c r="F88"/>
  <c r="I77" i="32" l="1"/>
  <c r="I62"/>
  <c r="H62"/>
  <c r="I44" i="31"/>
  <c r="I74" i="29" l="1"/>
  <c r="I62" i="28"/>
  <c r="I74" i="27" l="1"/>
  <c r="I62"/>
  <c r="H86" i="39"/>
  <c r="F83"/>
  <c r="I83" s="1"/>
  <c r="F82"/>
  <c r="I82" s="1"/>
  <c r="H79"/>
  <c r="I77"/>
  <c r="F77"/>
  <c r="H77" s="1"/>
  <c r="I76"/>
  <c r="F76"/>
  <c r="H76" s="1"/>
  <c r="F75"/>
  <c r="H75" s="1"/>
  <c r="I74"/>
  <c r="F74"/>
  <c r="H74" s="1"/>
  <c r="H73"/>
  <c r="F72"/>
  <c r="H72" s="1"/>
  <c r="E70"/>
  <c r="F70" s="1"/>
  <c r="I69"/>
  <c r="F69"/>
  <c r="H69" s="1"/>
  <c r="I68"/>
  <c r="E68"/>
  <c r="F68" s="1"/>
  <c r="H68" s="1"/>
  <c r="I67"/>
  <c r="F67"/>
  <c r="H67" s="1"/>
  <c r="I66"/>
  <c r="F66"/>
  <c r="H66" s="1"/>
  <c r="I65"/>
  <c r="F65"/>
  <c r="H65" s="1"/>
  <c r="I64"/>
  <c r="F64"/>
  <c r="H64" s="1"/>
  <c r="F63"/>
  <c r="H63" s="1"/>
  <c r="I62"/>
  <c r="F62"/>
  <c r="H62" s="1"/>
  <c r="F60"/>
  <c r="I60" s="1"/>
  <c r="F59"/>
  <c r="I57"/>
  <c r="H57"/>
  <c r="I56"/>
  <c r="F56"/>
  <c r="H56" s="1"/>
  <c r="I53"/>
  <c r="F53"/>
  <c r="H53" s="1"/>
  <c r="I52"/>
  <c r="H52"/>
  <c r="F51"/>
  <c r="I51" s="1"/>
  <c r="E50"/>
  <c r="F50" s="1"/>
  <c r="H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H39"/>
  <c r="F38"/>
  <c r="I38" s="1"/>
  <c r="F37"/>
  <c r="H37" s="1"/>
  <c r="I36"/>
  <c r="H36"/>
  <c r="H34"/>
  <c r="H33"/>
  <c r="F32"/>
  <c r="I32" s="1"/>
  <c r="E31"/>
  <c r="F31" s="1"/>
  <c r="H31" s="1"/>
  <c r="F30"/>
  <c r="H30" s="1"/>
  <c r="F29"/>
  <c r="I29" s="1"/>
  <c r="H60" l="1"/>
  <c r="H29"/>
  <c r="H32"/>
  <c r="H83"/>
  <c r="H84" s="1"/>
  <c r="H51"/>
  <c r="H48"/>
  <c r="H46"/>
  <c r="H44"/>
  <c r="H40"/>
  <c r="H38"/>
  <c r="I70"/>
  <c r="H70"/>
  <c r="H80" s="1"/>
  <c r="I30"/>
  <c r="I31"/>
  <c r="I37"/>
  <c r="I41"/>
  <c r="I45"/>
  <c r="I47"/>
  <c r="I49"/>
  <c r="I50"/>
  <c r="H82"/>
  <c r="I89" l="1"/>
  <c r="I65" i="38" l="1"/>
  <c r="I68"/>
  <c r="I67"/>
  <c r="I66"/>
  <c r="I64"/>
  <c r="I76"/>
  <c r="I25"/>
  <c r="I24"/>
  <c r="I23"/>
  <c r="I22"/>
  <c r="I21"/>
  <c r="I19"/>
  <c r="H89"/>
  <c r="H88"/>
  <c r="F85"/>
  <c r="I85" s="1"/>
  <c r="F84"/>
  <c r="H84" s="1"/>
  <c r="H81"/>
  <c r="I79"/>
  <c r="F79"/>
  <c r="H79" s="1"/>
  <c r="I78"/>
  <c r="F78"/>
  <c r="H78" s="1"/>
  <c r="F77"/>
  <c r="H77" s="1"/>
  <c r="F76"/>
  <c r="H76" s="1"/>
  <c r="H75"/>
  <c r="F74"/>
  <c r="H74" s="1"/>
  <c r="I72"/>
  <c r="E70"/>
  <c r="F70" s="1"/>
  <c r="I69"/>
  <c r="F69"/>
  <c r="H69" s="1"/>
  <c r="E68"/>
  <c r="F68" s="1"/>
  <c r="H68" s="1"/>
  <c r="F67"/>
  <c r="H67" s="1"/>
  <c r="F66"/>
  <c r="H66" s="1"/>
  <c r="F65"/>
  <c r="H65" s="1"/>
  <c r="F64"/>
  <c r="H64" s="1"/>
  <c r="F63"/>
  <c r="H63" s="1"/>
  <c r="F62"/>
  <c r="H62" s="1"/>
  <c r="F60"/>
  <c r="I60" s="1"/>
  <c r="F59"/>
  <c r="I57"/>
  <c r="H57"/>
  <c r="I56"/>
  <c r="F56"/>
  <c r="H56" s="1"/>
  <c r="I53"/>
  <c r="F53"/>
  <c r="H53" s="1"/>
  <c r="I52"/>
  <c r="H52"/>
  <c r="F51"/>
  <c r="I51" s="1"/>
  <c r="E50"/>
  <c r="F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H39"/>
  <c r="F38"/>
  <c r="I38" s="1"/>
  <c r="F37"/>
  <c r="H37" s="1"/>
  <c r="I36"/>
  <c r="H36"/>
  <c r="H34"/>
  <c r="H33"/>
  <c r="F32"/>
  <c r="I32" s="1"/>
  <c r="E31"/>
  <c r="F31" s="1"/>
  <c r="F30"/>
  <c r="H30" s="1"/>
  <c r="F29"/>
  <c r="I29" s="1"/>
  <c r="F25"/>
  <c r="H25" s="1"/>
  <c r="F24"/>
  <c r="H24" s="1"/>
  <c r="F23"/>
  <c r="H23" s="1"/>
  <c r="F22"/>
  <c r="H22" s="1"/>
  <c r="F21"/>
  <c r="H21" s="1"/>
  <c r="F20"/>
  <c r="I20" s="1"/>
  <c r="F19"/>
  <c r="H19" s="1"/>
  <c r="H85" l="1"/>
  <c r="H86" s="1"/>
  <c r="H31"/>
  <c r="I31"/>
  <c r="H70"/>
  <c r="I70"/>
  <c r="H50"/>
  <c r="I50"/>
  <c r="H20"/>
  <c r="H29"/>
  <c r="I30"/>
  <c r="H32"/>
  <c r="I37"/>
  <c r="H38"/>
  <c r="H40"/>
  <c r="I41"/>
  <c r="H44"/>
  <c r="I45"/>
  <c r="H46"/>
  <c r="I47"/>
  <c r="H48"/>
  <c r="I49"/>
  <c r="H51"/>
  <c r="H60"/>
  <c r="H82" s="1"/>
  <c r="I84"/>
  <c r="I98" l="1"/>
  <c r="I63" i="35"/>
  <c r="I57" i="36"/>
  <c r="I58" l="1"/>
  <c r="F75"/>
  <c r="H75" s="1"/>
  <c r="I75"/>
  <c r="F76"/>
  <c r="H76" s="1"/>
  <c r="F77"/>
  <c r="H77" s="1"/>
  <c r="I77"/>
  <c r="H91"/>
  <c r="H88"/>
  <c r="H87"/>
  <c r="F84"/>
  <c r="I84" s="1"/>
  <c r="F83"/>
  <c r="I83" s="1"/>
  <c r="H80"/>
  <c r="I78"/>
  <c r="F78"/>
  <c r="H78" s="1"/>
  <c r="H74"/>
  <c r="F73"/>
  <c r="H73" s="1"/>
  <c r="E71"/>
  <c r="F71" s="1"/>
  <c r="I70"/>
  <c r="F70"/>
  <c r="H70" s="1"/>
  <c r="E69"/>
  <c r="F69" s="1"/>
  <c r="H69" s="1"/>
  <c r="F68"/>
  <c r="H68" s="1"/>
  <c r="F67"/>
  <c r="H67" s="1"/>
  <c r="F66"/>
  <c r="H66" s="1"/>
  <c r="F65"/>
  <c r="H65" s="1"/>
  <c r="F64"/>
  <c r="H64" s="1"/>
  <c r="I63"/>
  <c r="F63"/>
  <c r="H63" s="1"/>
  <c r="F61"/>
  <c r="I61" s="1"/>
  <c r="F60"/>
  <c r="H58"/>
  <c r="F57"/>
  <c r="I54"/>
  <c r="F54"/>
  <c r="H54" s="1"/>
  <c r="I53"/>
  <c r="H53"/>
  <c r="F52"/>
  <c r="I52" s="1"/>
  <c r="E51"/>
  <c r="F51" s="1"/>
  <c r="F50"/>
  <c r="I50" s="1"/>
  <c r="F49"/>
  <c r="I49" s="1"/>
  <c r="F48"/>
  <c r="I48" s="1"/>
  <c r="F47"/>
  <c r="I47" s="1"/>
  <c r="F46"/>
  <c r="I46" s="1"/>
  <c r="F45"/>
  <c r="I45" s="1"/>
  <c r="I43"/>
  <c r="H43"/>
  <c r="F42"/>
  <c r="I42" s="1"/>
  <c r="F41"/>
  <c r="I41" s="1"/>
  <c r="H40"/>
  <c r="F39"/>
  <c r="I39" s="1"/>
  <c r="F38"/>
  <c r="I38" s="1"/>
  <c r="I37"/>
  <c r="H37"/>
  <c r="H35"/>
  <c r="H34"/>
  <c r="F33"/>
  <c r="I33" s="1"/>
  <c r="E33"/>
  <c r="F32"/>
  <c r="I32" s="1"/>
  <c r="E31"/>
  <c r="F31" s="1"/>
  <c r="F30"/>
  <c r="I30" s="1"/>
  <c r="F29"/>
  <c r="I29" s="1"/>
  <c r="H91" i="35"/>
  <c r="H90"/>
  <c r="I75"/>
  <c r="I43"/>
  <c r="H89"/>
  <c r="F85"/>
  <c r="I85" s="1"/>
  <c r="F84"/>
  <c r="I84" s="1"/>
  <c r="F82"/>
  <c r="H82" s="1"/>
  <c r="H80"/>
  <c r="I78"/>
  <c r="F78"/>
  <c r="H78" s="1"/>
  <c r="I77"/>
  <c r="F77"/>
  <c r="H77" s="1"/>
  <c r="F76"/>
  <c r="H76" s="1"/>
  <c r="F75"/>
  <c r="H75" s="1"/>
  <c r="H74"/>
  <c r="F73"/>
  <c r="H73" s="1"/>
  <c r="E71"/>
  <c r="F71" s="1"/>
  <c r="I70"/>
  <c r="F70"/>
  <c r="H70" s="1"/>
  <c r="E69"/>
  <c r="F69" s="1"/>
  <c r="H69" s="1"/>
  <c r="F68"/>
  <c r="H68" s="1"/>
  <c r="F67"/>
  <c r="H67" s="1"/>
  <c r="F66"/>
  <c r="H66" s="1"/>
  <c r="F65"/>
  <c r="H65" s="1"/>
  <c r="F64"/>
  <c r="H64" s="1"/>
  <c r="F63"/>
  <c r="H63" s="1"/>
  <c r="F61"/>
  <c r="I61" s="1"/>
  <c r="F60"/>
  <c r="H58"/>
  <c r="F57"/>
  <c r="I54"/>
  <c r="F54"/>
  <c r="H54" s="1"/>
  <c r="I53"/>
  <c r="H53"/>
  <c r="F52"/>
  <c r="I52" s="1"/>
  <c r="E51"/>
  <c r="F51" s="1"/>
  <c r="F50"/>
  <c r="H50" s="1"/>
  <c r="F49"/>
  <c r="I49" s="1"/>
  <c r="F48"/>
  <c r="H48" s="1"/>
  <c r="F47"/>
  <c r="I47" s="1"/>
  <c r="F46"/>
  <c r="I46" s="1"/>
  <c r="F45"/>
  <c r="I45" s="1"/>
  <c r="H43"/>
  <c r="F42"/>
  <c r="I42" s="1"/>
  <c r="F41"/>
  <c r="I41" s="1"/>
  <c r="H40"/>
  <c r="F39"/>
  <c r="I39" s="1"/>
  <c r="F38"/>
  <c r="I38" s="1"/>
  <c r="H37"/>
  <c r="H35"/>
  <c r="H34"/>
  <c r="F33"/>
  <c r="I33" s="1"/>
  <c r="E33"/>
  <c r="F32"/>
  <c r="I32" s="1"/>
  <c r="E31"/>
  <c r="F31" s="1"/>
  <c r="F30"/>
  <c r="I30" s="1"/>
  <c r="F29"/>
  <c r="I29" s="1"/>
  <c r="H91" i="34"/>
  <c r="H90"/>
  <c r="H42" i="35" l="1"/>
  <c r="H46"/>
  <c r="H30"/>
  <c r="H38"/>
  <c r="H85"/>
  <c r="H86" s="1"/>
  <c r="H30" i="36"/>
  <c r="H38"/>
  <c r="H42"/>
  <c r="H84"/>
  <c r="H85" s="1"/>
  <c r="H50"/>
  <c r="H48"/>
  <c r="H46"/>
  <c r="H31"/>
  <c r="I31"/>
  <c r="H51"/>
  <c r="I51"/>
  <c r="H71"/>
  <c r="I71"/>
  <c r="H29"/>
  <c r="H32"/>
  <c r="H33"/>
  <c r="H39"/>
  <c r="H41"/>
  <c r="H45"/>
  <c r="H47"/>
  <c r="H49"/>
  <c r="H52"/>
  <c r="H57"/>
  <c r="H61"/>
  <c r="H83"/>
  <c r="H31" i="35"/>
  <c r="I31"/>
  <c r="H51"/>
  <c r="I51"/>
  <c r="H71"/>
  <c r="I71"/>
  <c r="H29"/>
  <c r="H32"/>
  <c r="H33"/>
  <c r="H39"/>
  <c r="H41"/>
  <c r="H45"/>
  <c r="H47"/>
  <c r="I48"/>
  <c r="H49"/>
  <c r="I50"/>
  <c r="H52"/>
  <c r="H57"/>
  <c r="H61"/>
  <c r="H84"/>
  <c r="I94" i="36" l="1"/>
  <c r="H81" i="35"/>
  <c r="H81" i="36"/>
  <c r="I94" i="35"/>
  <c r="I43" i="33" l="1"/>
  <c r="I44" i="34"/>
  <c r="H89" l="1"/>
  <c r="F86"/>
  <c r="I86" s="1"/>
  <c r="F85"/>
  <c r="I85" s="1"/>
  <c r="F83"/>
  <c r="H83" s="1"/>
  <c r="H81"/>
  <c r="I79"/>
  <c r="F79"/>
  <c r="H79" s="1"/>
  <c r="I78"/>
  <c r="F78"/>
  <c r="H78" s="1"/>
  <c r="F77"/>
  <c r="H77" s="1"/>
  <c r="I76"/>
  <c r="F76"/>
  <c r="H76" s="1"/>
  <c r="H75"/>
  <c r="F74"/>
  <c r="H74" s="1"/>
  <c r="E72"/>
  <c r="F72" s="1"/>
  <c r="I7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F64"/>
  <c r="H64" s="1"/>
  <c r="F62"/>
  <c r="I62" s="1"/>
  <c r="F61"/>
  <c r="I59"/>
  <c r="H59"/>
  <c r="F58"/>
  <c r="I58" s="1"/>
  <c r="I55"/>
  <c r="F55"/>
  <c r="H55" s="1"/>
  <c r="I54"/>
  <c r="H54"/>
  <c r="F53"/>
  <c r="I53" s="1"/>
  <c r="E52"/>
  <c r="F52" s="1"/>
  <c r="H52" s="1"/>
  <c r="F51"/>
  <c r="H51" s="1"/>
  <c r="F50"/>
  <c r="I50" s="1"/>
  <c r="F49"/>
  <c r="H49" s="1"/>
  <c r="F48"/>
  <c r="I48" s="1"/>
  <c r="F47"/>
  <c r="H47" s="1"/>
  <c r="F46"/>
  <c r="I46" s="1"/>
  <c r="H44"/>
  <c r="F43"/>
  <c r="F42"/>
  <c r="I42" s="1"/>
  <c r="H41"/>
  <c r="F40"/>
  <c r="I40" s="1"/>
  <c r="F39"/>
  <c r="H39" s="1"/>
  <c r="H38"/>
  <c r="H36"/>
  <c r="H35"/>
  <c r="F34"/>
  <c r="I34" s="1"/>
  <c r="E34"/>
  <c r="F33"/>
  <c r="I33" s="1"/>
  <c r="E32"/>
  <c r="F32" s="1"/>
  <c r="F31"/>
  <c r="H31" s="1"/>
  <c r="F30"/>
  <c r="I30" s="1"/>
  <c r="F27"/>
  <c r="H27" s="1"/>
  <c r="H43" l="1"/>
  <c r="I43"/>
  <c r="H53"/>
  <c r="H58"/>
  <c r="H50"/>
  <c r="H62"/>
  <c r="H86"/>
  <c r="H87" s="1"/>
  <c r="H72"/>
  <c r="I72"/>
  <c r="I87" s="1"/>
  <c r="H82"/>
  <c r="H32"/>
  <c r="I32"/>
  <c r="I27"/>
  <c r="H30"/>
  <c r="I31"/>
  <c r="H33"/>
  <c r="H34"/>
  <c r="I39"/>
  <c r="H40"/>
  <c r="H42"/>
  <c r="H46"/>
  <c r="I47"/>
  <c r="H48"/>
  <c r="I49"/>
  <c r="I51"/>
  <c r="I52"/>
  <c r="H85"/>
  <c r="I97" l="1"/>
  <c r="H89" i="33" l="1"/>
  <c r="H88"/>
  <c r="F61"/>
  <c r="H61" l="1"/>
  <c r="I61"/>
  <c r="F85"/>
  <c r="I85" s="1"/>
  <c r="F84"/>
  <c r="H84" s="1"/>
  <c r="F82"/>
  <c r="H82" s="1"/>
  <c r="H80"/>
  <c r="I78"/>
  <c r="F78"/>
  <c r="H78" s="1"/>
  <c r="I77"/>
  <c r="F77"/>
  <c r="H77" s="1"/>
  <c r="F76"/>
  <c r="H76" s="1"/>
  <c r="I75"/>
  <c r="F75"/>
  <c r="H75" s="1"/>
  <c r="H74"/>
  <c r="F73"/>
  <c r="H73" s="1"/>
  <c r="E71"/>
  <c r="F71" s="1"/>
  <c r="I70"/>
  <c r="F70"/>
  <c r="H70" s="1"/>
  <c r="E69"/>
  <c r="F69" s="1"/>
  <c r="H69" s="1"/>
  <c r="F68"/>
  <c r="H68" s="1"/>
  <c r="F67"/>
  <c r="H67" s="1"/>
  <c r="F66"/>
  <c r="H66" s="1"/>
  <c r="F65"/>
  <c r="H65" s="1"/>
  <c r="F64"/>
  <c r="H64" s="1"/>
  <c r="I63"/>
  <c r="F63"/>
  <c r="H63" s="1"/>
  <c r="F60"/>
  <c r="I58"/>
  <c r="H58"/>
  <c r="F57"/>
  <c r="H57" s="1"/>
  <c r="I54"/>
  <c r="F54"/>
  <c r="H54" s="1"/>
  <c r="I53"/>
  <c r="H53"/>
  <c r="F52"/>
  <c r="I52" s="1"/>
  <c r="E51"/>
  <c r="F51" s="1"/>
  <c r="I51" s="1"/>
  <c r="F50"/>
  <c r="I50" s="1"/>
  <c r="F49"/>
  <c r="H49" s="1"/>
  <c r="F48"/>
  <c r="I48" s="1"/>
  <c r="F47"/>
  <c r="H47" s="1"/>
  <c r="F46"/>
  <c r="I46" s="1"/>
  <c r="F45"/>
  <c r="H45" s="1"/>
  <c r="H43"/>
  <c r="F42"/>
  <c r="I42" s="1"/>
  <c r="F41"/>
  <c r="H41" s="1"/>
  <c r="H40"/>
  <c r="F39"/>
  <c r="H39" s="1"/>
  <c r="F38"/>
  <c r="I38" s="1"/>
  <c r="H37"/>
  <c r="H35"/>
  <c r="H34"/>
  <c r="F33"/>
  <c r="H33" s="1"/>
  <c r="E33"/>
  <c r="F32"/>
  <c r="H32" s="1"/>
  <c r="E31"/>
  <c r="F31" s="1"/>
  <c r="F30"/>
  <c r="I30" s="1"/>
  <c r="F29"/>
  <c r="H29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17" l="1"/>
  <c r="H42"/>
  <c r="H48"/>
  <c r="H85"/>
  <c r="H86" s="1"/>
  <c r="H21"/>
  <c r="H30"/>
  <c r="H38"/>
  <c r="H46"/>
  <c r="H52"/>
  <c r="I31"/>
  <c r="H31"/>
  <c r="I18"/>
  <c r="H18"/>
  <c r="I71"/>
  <c r="H71"/>
  <c r="H81" s="1"/>
  <c r="I16"/>
  <c r="I20"/>
  <c r="I26"/>
  <c r="I29"/>
  <c r="I32"/>
  <c r="I33"/>
  <c r="I39"/>
  <c r="I41"/>
  <c r="I45"/>
  <c r="I47"/>
  <c r="I49"/>
  <c r="H50"/>
  <c r="H51"/>
  <c r="I57"/>
  <c r="I84"/>
  <c r="I86" s="1"/>
  <c r="I99" l="1"/>
  <c r="F92" i="32" l="1"/>
  <c r="H92" s="1"/>
  <c r="H91"/>
  <c r="H90"/>
  <c r="I76"/>
  <c r="H89"/>
  <c r="H86"/>
  <c r="H87" s="1"/>
  <c r="F86"/>
  <c r="I86" s="1"/>
  <c r="F85"/>
  <c r="H85" s="1"/>
  <c r="F83"/>
  <c r="H83" s="1"/>
  <c r="H81"/>
  <c r="I79"/>
  <c r="H79"/>
  <c r="F79"/>
  <c r="I78"/>
  <c r="F78"/>
  <c r="H78" s="1"/>
  <c r="F77"/>
  <c r="H77" s="1"/>
  <c r="F76"/>
  <c r="H76" s="1"/>
  <c r="H75"/>
  <c r="F74"/>
  <c r="H74" s="1"/>
  <c r="E72"/>
  <c r="F72" s="1"/>
  <c r="H72" s="1"/>
  <c r="I7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F64"/>
  <c r="H64" s="1"/>
  <c r="F61"/>
  <c r="I59"/>
  <c r="H59"/>
  <c r="F58"/>
  <c r="I55"/>
  <c r="F55"/>
  <c r="H55" s="1"/>
  <c r="I54"/>
  <c r="H54"/>
  <c r="F53"/>
  <c r="I53" s="1"/>
  <c r="F52"/>
  <c r="H52" s="1"/>
  <c r="E52"/>
  <c r="F51"/>
  <c r="H51" s="1"/>
  <c r="F50"/>
  <c r="I50" s="1"/>
  <c r="F49"/>
  <c r="H49" s="1"/>
  <c r="F48"/>
  <c r="I48" s="1"/>
  <c r="F47"/>
  <c r="H47" s="1"/>
  <c r="F46"/>
  <c r="I46" s="1"/>
  <c r="H38"/>
  <c r="H36"/>
  <c r="H35"/>
  <c r="F34"/>
  <c r="I34" s="1"/>
  <c r="E34"/>
  <c r="H33"/>
  <c r="F33"/>
  <c r="I33" s="1"/>
  <c r="F32"/>
  <c r="H32" s="1"/>
  <c r="E32"/>
  <c r="F31"/>
  <c r="H31" s="1"/>
  <c r="F30"/>
  <c r="I30" s="1"/>
  <c r="F27"/>
  <c r="H27" s="1"/>
  <c r="H89" i="31"/>
  <c r="I64"/>
  <c r="H90"/>
  <c r="F86"/>
  <c r="I86" s="1"/>
  <c r="F85"/>
  <c r="I85" s="1"/>
  <c r="F83"/>
  <c r="H83" s="1"/>
  <c r="H81"/>
  <c r="I79"/>
  <c r="F79"/>
  <c r="H79" s="1"/>
  <c r="I78"/>
  <c r="F78"/>
  <c r="H78" s="1"/>
  <c r="F77"/>
  <c r="H77" s="1"/>
  <c r="F76"/>
  <c r="H76" s="1"/>
  <c r="H75"/>
  <c r="F74"/>
  <c r="H74" s="1"/>
  <c r="E72"/>
  <c r="F72" s="1"/>
  <c r="I7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F64"/>
  <c r="H64" s="1"/>
  <c r="H62"/>
  <c r="F61"/>
  <c r="I59"/>
  <c r="H59"/>
  <c r="F58"/>
  <c r="I58" s="1"/>
  <c r="I55"/>
  <c r="F55"/>
  <c r="H55" s="1"/>
  <c r="I54"/>
  <c r="H54"/>
  <c r="F53"/>
  <c r="H53" s="1"/>
  <c r="E52"/>
  <c r="F52" s="1"/>
  <c r="F51"/>
  <c r="I51" s="1"/>
  <c r="F50"/>
  <c r="I50" s="1"/>
  <c r="F49"/>
  <c r="I49" s="1"/>
  <c r="F48"/>
  <c r="I48" s="1"/>
  <c r="F47"/>
  <c r="I47" s="1"/>
  <c r="F46"/>
  <c r="I46" s="1"/>
  <c r="H44"/>
  <c r="F43"/>
  <c r="I43" s="1"/>
  <c r="F42"/>
  <c r="H42" s="1"/>
  <c r="H41"/>
  <c r="F40"/>
  <c r="H40" s="1"/>
  <c r="F39"/>
  <c r="I39" s="1"/>
  <c r="H38"/>
  <c r="H36"/>
  <c r="H35"/>
  <c r="F34"/>
  <c r="H34" s="1"/>
  <c r="E34"/>
  <c r="F33"/>
  <c r="H33" s="1"/>
  <c r="E32"/>
  <c r="F32" s="1"/>
  <c r="F31"/>
  <c r="I31" s="1"/>
  <c r="F30"/>
  <c r="H30" s="1"/>
  <c r="F27"/>
  <c r="I27" s="1"/>
  <c r="H30" i="32" l="1"/>
  <c r="H34"/>
  <c r="H58"/>
  <c r="H82" s="1"/>
  <c r="H53"/>
  <c r="H86" i="31"/>
  <c r="H87" s="1"/>
  <c r="H50"/>
  <c r="H48" i="32"/>
  <c r="H46"/>
  <c r="H50"/>
  <c r="I27"/>
  <c r="I31"/>
  <c r="I32"/>
  <c r="I47"/>
  <c r="I49"/>
  <c r="I51"/>
  <c r="I52"/>
  <c r="I72"/>
  <c r="I85"/>
  <c r="H58" i="31"/>
  <c r="H46"/>
  <c r="H48"/>
  <c r="I32"/>
  <c r="H32"/>
  <c r="I52"/>
  <c r="H52"/>
  <c r="I72"/>
  <c r="H72"/>
  <c r="H27"/>
  <c r="I30"/>
  <c r="H31"/>
  <c r="I33"/>
  <c r="I34"/>
  <c r="H39"/>
  <c r="I40"/>
  <c r="I42"/>
  <c r="H43"/>
  <c r="H47"/>
  <c r="H49"/>
  <c r="H51"/>
  <c r="I53"/>
  <c r="I62"/>
  <c r="H85"/>
  <c r="I99" l="1"/>
  <c r="H82"/>
  <c r="I96" i="32"/>
  <c r="H87" i="30" l="1"/>
  <c r="F84"/>
  <c r="I84" s="1"/>
  <c r="F83"/>
  <c r="H83" s="1"/>
  <c r="F81"/>
  <c r="H81" s="1"/>
  <c r="H79"/>
  <c r="I77"/>
  <c r="F77"/>
  <c r="H77" s="1"/>
  <c r="I76"/>
  <c r="F76"/>
  <c r="H76" s="1"/>
  <c r="F75"/>
  <c r="H75" s="1"/>
  <c r="F74"/>
  <c r="H74" s="1"/>
  <c r="H73"/>
  <c r="F72"/>
  <c r="H72" s="1"/>
  <c r="E70"/>
  <c r="F70" s="1"/>
  <c r="I69"/>
  <c r="F69"/>
  <c r="H69" s="1"/>
  <c r="E68"/>
  <c r="F68" s="1"/>
  <c r="H68" s="1"/>
  <c r="F67"/>
  <c r="H67" s="1"/>
  <c r="F66"/>
  <c r="H66" s="1"/>
  <c r="F65"/>
  <c r="H65" s="1"/>
  <c r="F64"/>
  <c r="H64" s="1"/>
  <c r="F63"/>
  <c r="H63" s="1"/>
  <c r="F62"/>
  <c r="H62" s="1"/>
  <c r="I60"/>
  <c r="F59"/>
  <c r="I57"/>
  <c r="H57"/>
  <c r="F56"/>
  <c r="I56" s="1"/>
  <c r="I53"/>
  <c r="F53"/>
  <c r="H53" s="1"/>
  <c r="I52"/>
  <c r="H52"/>
  <c r="F51"/>
  <c r="I51" s="1"/>
  <c r="E50"/>
  <c r="F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H39"/>
  <c r="F38"/>
  <c r="I38" s="1"/>
  <c r="F37"/>
  <c r="H37" s="1"/>
  <c r="I36"/>
  <c r="H36"/>
  <c r="H34"/>
  <c r="H33"/>
  <c r="H84" l="1"/>
  <c r="H85" s="1"/>
  <c r="H50"/>
  <c r="I50"/>
  <c r="H70"/>
  <c r="I70"/>
  <c r="I37"/>
  <c r="H38"/>
  <c r="H40"/>
  <c r="I41"/>
  <c r="H44"/>
  <c r="I45"/>
  <c r="H46"/>
  <c r="I47"/>
  <c r="H48"/>
  <c r="I49"/>
  <c r="H51"/>
  <c r="H56"/>
  <c r="H60"/>
  <c r="I83"/>
  <c r="I85" s="1"/>
  <c r="I94" l="1"/>
  <c r="H80"/>
  <c r="I69" i="29" l="1"/>
  <c r="H87"/>
  <c r="F84"/>
  <c r="I84" s="1"/>
  <c r="F83"/>
  <c r="H83" s="1"/>
  <c r="F81"/>
  <c r="H81" s="1"/>
  <c r="H79"/>
  <c r="I77"/>
  <c r="F77"/>
  <c r="H77" s="1"/>
  <c r="I76"/>
  <c r="F76"/>
  <c r="H76" s="1"/>
  <c r="F75"/>
  <c r="H75" s="1"/>
  <c r="F74"/>
  <c r="H74" s="1"/>
  <c r="H73"/>
  <c r="F72"/>
  <c r="H72" s="1"/>
  <c r="E70"/>
  <c r="F70" s="1"/>
  <c r="F69"/>
  <c r="H69" s="1"/>
  <c r="E68"/>
  <c r="F68" s="1"/>
  <c r="H68" s="1"/>
  <c r="F67"/>
  <c r="H67" s="1"/>
  <c r="F66"/>
  <c r="H66" s="1"/>
  <c r="F65"/>
  <c r="H65" s="1"/>
  <c r="F64"/>
  <c r="H64" s="1"/>
  <c r="F63"/>
  <c r="H63" s="1"/>
  <c r="F62"/>
  <c r="H62" s="1"/>
  <c r="H60"/>
  <c r="F59"/>
  <c r="I57"/>
  <c r="H57"/>
  <c r="F56"/>
  <c r="H56" s="1"/>
  <c r="I53"/>
  <c r="F53"/>
  <c r="H53" s="1"/>
  <c r="I52"/>
  <c r="H52"/>
  <c r="F51"/>
  <c r="H51" s="1"/>
  <c r="E50"/>
  <c r="F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H39"/>
  <c r="F38"/>
  <c r="I38" s="1"/>
  <c r="F37"/>
  <c r="I37" s="1"/>
  <c r="I36"/>
  <c r="H36"/>
  <c r="H34"/>
  <c r="H33"/>
  <c r="F32"/>
  <c r="H32" s="1"/>
  <c r="E31"/>
  <c r="F31" s="1"/>
  <c r="F30"/>
  <c r="I30" s="1"/>
  <c r="F29"/>
  <c r="H29" s="1"/>
  <c r="I57" i="28"/>
  <c r="H87"/>
  <c r="F84"/>
  <c r="H84" s="1"/>
  <c r="H85" s="1"/>
  <c r="F83"/>
  <c r="I83" s="1"/>
  <c r="F81"/>
  <c r="H81" s="1"/>
  <c r="H79"/>
  <c r="I77"/>
  <c r="F77"/>
  <c r="H77" s="1"/>
  <c r="I76"/>
  <c r="F76"/>
  <c r="H76" s="1"/>
  <c r="F75"/>
  <c r="H75" s="1"/>
  <c r="F74"/>
  <c r="H74" s="1"/>
  <c r="H73"/>
  <c r="F72"/>
  <c r="H72" s="1"/>
  <c r="E70"/>
  <c r="F70" s="1"/>
  <c r="F69"/>
  <c r="H69" s="1"/>
  <c r="E68"/>
  <c r="F68" s="1"/>
  <c r="H68" s="1"/>
  <c r="F67"/>
  <c r="H67" s="1"/>
  <c r="F66"/>
  <c r="H66" s="1"/>
  <c r="F65"/>
  <c r="H65" s="1"/>
  <c r="F64"/>
  <c r="H64" s="1"/>
  <c r="F63"/>
  <c r="H63" s="1"/>
  <c r="F62"/>
  <c r="H62" s="1"/>
  <c r="I60"/>
  <c r="F59"/>
  <c r="H57"/>
  <c r="F56"/>
  <c r="H56" s="1"/>
  <c r="I53"/>
  <c r="F53"/>
  <c r="H53" s="1"/>
  <c r="I52"/>
  <c r="H52"/>
  <c r="F51"/>
  <c r="H51" s="1"/>
  <c r="E50"/>
  <c r="F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H39"/>
  <c r="F38"/>
  <c r="H38" s="1"/>
  <c r="F37"/>
  <c r="I37" s="1"/>
  <c r="I36"/>
  <c r="H36"/>
  <c r="H34"/>
  <c r="H33"/>
  <c r="H89" i="27"/>
  <c r="H88"/>
  <c r="H87"/>
  <c r="F84"/>
  <c r="H84" s="1"/>
  <c r="F83"/>
  <c r="H83" s="1"/>
  <c r="F81"/>
  <c r="H81" s="1"/>
  <c r="H79"/>
  <c r="I77"/>
  <c r="I76"/>
  <c r="F77"/>
  <c r="H77" s="1"/>
  <c r="F76"/>
  <c r="H76" s="1"/>
  <c r="F75"/>
  <c r="H75" s="1"/>
  <c r="F74"/>
  <c r="H74" s="1"/>
  <c r="H73"/>
  <c r="F72"/>
  <c r="H72" s="1"/>
  <c r="E70"/>
  <c r="F70" s="1"/>
  <c r="H70" s="1"/>
  <c r="F69"/>
  <c r="H69" s="1"/>
  <c r="E68"/>
  <c r="F68" s="1"/>
  <c r="H68" s="1"/>
  <c r="F67"/>
  <c r="H67" s="1"/>
  <c r="F66"/>
  <c r="H66" s="1"/>
  <c r="F65"/>
  <c r="H65" s="1"/>
  <c r="F64"/>
  <c r="H64" s="1"/>
  <c r="F63"/>
  <c r="H63" s="1"/>
  <c r="F62"/>
  <c r="H62" s="1"/>
  <c r="H60"/>
  <c r="F59"/>
  <c r="H57"/>
  <c r="F56"/>
  <c r="H56" s="1"/>
  <c r="I52"/>
  <c r="F53"/>
  <c r="H53" s="1"/>
  <c r="H52"/>
  <c r="F51"/>
  <c r="H51" s="1"/>
  <c r="E50"/>
  <c r="F50" s="1"/>
  <c r="H50" s="1"/>
  <c r="F49"/>
  <c r="H49" s="1"/>
  <c r="F48"/>
  <c r="H48" s="1"/>
  <c r="F47"/>
  <c r="H47" s="1"/>
  <c r="F46"/>
  <c r="H46" s="1"/>
  <c r="F45"/>
  <c r="H45" s="1"/>
  <c r="F44"/>
  <c r="H44" s="1"/>
  <c r="I42"/>
  <c r="H42"/>
  <c r="F41"/>
  <c r="H41" s="1"/>
  <c r="F40"/>
  <c r="H40" s="1"/>
  <c r="H39"/>
  <c r="F38"/>
  <c r="H38" s="1"/>
  <c r="F37"/>
  <c r="I37" s="1"/>
  <c r="H36"/>
  <c r="H34"/>
  <c r="H33"/>
  <c r="F32"/>
  <c r="H32" s="1"/>
  <c r="E31"/>
  <c r="F31" s="1"/>
  <c r="H31" s="1"/>
  <c r="F30"/>
  <c r="H30" s="1"/>
  <c r="F29"/>
  <c r="H29" s="1"/>
  <c r="H84" i="29" l="1"/>
  <c r="H85" s="1"/>
  <c r="H38"/>
  <c r="I31"/>
  <c r="H31"/>
  <c r="I50"/>
  <c r="H50"/>
  <c r="H70"/>
  <c r="I70"/>
  <c r="H80"/>
  <c r="I29"/>
  <c r="H30"/>
  <c r="I32"/>
  <c r="H37"/>
  <c r="I40"/>
  <c r="H41"/>
  <c r="I44"/>
  <c r="H45"/>
  <c r="I46"/>
  <c r="H47"/>
  <c r="I48"/>
  <c r="H49"/>
  <c r="I51"/>
  <c r="I56"/>
  <c r="I60"/>
  <c r="I83"/>
  <c r="I70" i="28"/>
  <c r="H70"/>
  <c r="I50"/>
  <c r="H50"/>
  <c r="H37"/>
  <c r="I38"/>
  <c r="I40"/>
  <c r="H41"/>
  <c r="I44"/>
  <c r="H45"/>
  <c r="I46"/>
  <c r="H47"/>
  <c r="I48"/>
  <c r="H49"/>
  <c r="I51"/>
  <c r="I56"/>
  <c r="H60"/>
  <c r="H80" s="1"/>
  <c r="H83"/>
  <c r="I84"/>
  <c r="I70" i="27"/>
  <c r="I48"/>
  <c r="I46"/>
  <c r="I50"/>
  <c r="I51"/>
  <c r="I44"/>
  <c r="I47"/>
  <c r="I45"/>
  <c r="H37"/>
  <c r="I40"/>
  <c r="I41"/>
  <c r="I38"/>
  <c r="I93" i="29" l="1"/>
  <c r="I90" i="28"/>
  <c r="I83" i="27" l="1"/>
  <c r="I60"/>
  <c r="I53"/>
  <c r="I49"/>
  <c r="I36"/>
  <c r="I32"/>
  <c r="I31"/>
  <c r="I29"/>
  <c r="H80" l="1"/>
  <c r="I84"/>
  <c r="I85" s="1"/>
  <c r="H85"/>
  <c r="I30"/>
  <c r="I56"/>
  <c r="I92" l="1"/>
</calcChain>
</file>

<file path=xl/sharedStrings.xml><?xml version="1.0" encoding="utf-8"?>
<sst xmlns="http://schemas.openxmlformats.org/spreadsheetml/2006/main" count="2709" uniqueCount="253">
  <si>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</si>
  <si>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</si>
  <si>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</si>
  <si>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</si>
  <si>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</si>
  <si>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</si>
  <si>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</si>
  <si>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</si>
  <si>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</si>
  <si>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</si>
  <si>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</si>
  <si>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</si>
  <si>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</si>
  <si>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</si>
  <si>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</si>
  <si>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</si>
  <si>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</si>
  <si>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</si>
  <si>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</si>
  <si>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</si>
  <si>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</si>
  <si>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</si>
  <si>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</si>
  <si>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</si>
  <si>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</si>
  <si>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</si>
  <si>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</si>
  <si>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</si>
  <si>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</si>
  <si>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</si>
  <si>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</si>
  <si>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</si>
  <si>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</si>
  <si>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</si>
  <si>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</si>
  <si>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</si>
  <si>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</si>
  <si>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</si>
  <si>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</si>
  <si>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</si>
  <si>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</si>
  <si>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</si>
  <si>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</si>
  <si>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</si>
  <si>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</si>
  <si>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</si>
  <si>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</si>
  <si>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</si>
  <si>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</si>
  <si>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</si>
  <si>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</si>
  <si>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</si>
  <si>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</si>
  <si>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</si>
  <si>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</si>
  <si>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</si>
  <si>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</si>
  <si>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</si>
  <si>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</si>
  <si>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</si>
  <si>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</si>
  <si>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</si>
  <si>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</si>
  <si>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</si>
  <si>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</si>
  <si>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</si>
  <si>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</si>
  <si>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</si>
  <si>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</si>
  <si>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</si>
  <si>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</si>
  <si>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</si>
  <si>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</si>
  <si>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</si>
  <si>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</si>
  <si>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</si>
  <si>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</si>
  <si>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</si>
  <si>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</si>
  <si>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</si>
  <si>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</si>
  <si>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</si>
  <si>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</si>
  <si>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</si>
  <si>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Влажное подметание лестничных клеток 1 этажа</t>
  </si>
  <si>
    <t>Влажное подметание лестничных клеток 2-4 этажа</t>
  </si>
  <si>
    <t>Мытье лестничных  площадок и маршей 1-4 этаж.</t>
  </si>
  <si>
    <t>Смена арматуры - вентилей и клапанов обратных муфтовых диаметром до 20 мм</t>
  </si>
  <si>
    <t>генеральный директор Куканов Ю.Л.</t>
  </si>
  <si>
    <t>шт</t>
  </si>
  <si>
    <t>Дератизация</t>
  </si>
  <si>
    <t>10 м2</t>
  </si>
  <si>
    <t>Влажная протирка перил</t>
  </si>
  <si>
    <t>100м2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</si>
  <si>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</si>
  <si>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</si>
  <si>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</si>
  <si>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1 шт</t>
  </si>
  <si>
    <t>Влажная протирка почтовых ящиков</t>
  </si>
  <si>
    <t>Влажная протирка шкафов для щитов и слаботочных устройств</t>
  </si>
  <si>
    <t>Мытье окон</t>
  </si>
  <si>
    <t>10м2</t>
  </si>
  <si>
    <t xml:space="preserve">1 раз в год     </t>
  </si>
  <si>
    <t>Уборка газонов</t>
  </si>
  <si>
    <t>1000м2</t>
  </si>
  <si>
    <t>Уборка контейнерной площадки (16 кв.м.)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</si>
  <si>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</si>
  <si>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</si>
  <si>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</si>
  <si>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</si>
  <si>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</si>
  <si>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</si>
  <si>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</si>
  <si>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</si>
  <si>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</si>
  <si>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</si>
  <si>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</si>
  <si>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№17 по ул.Лермонтова пгт.Ярега
</t>
  </si>
  <si>
    <t>52 раза в сезон</t>
  </si>
  <si>
    <t>78 раз за сезон</t>
  </si>
  <si>
    <t>155 раз за сезон</t>
  </si>
  <si>
    <t>Смена плвкой вставки в электрощитке</t>
  </si>
  <si>
    <t>АКТ №1</t>
  </si>
  <si>
    <t xml:space="preserve"> </t>
  </si>
  <si>
    <t>Осмотр электросетей, арматуры и электооборудования на лестничных клетках</t>
  </si>
  <si>
    <t>Работа автовышки</t>
  </si>
  <si>
    <t>маш/час</t>
  </si>
  <si>
    <t>м</t>
  </si>
  <si>
    <t>Подметание территории с усовершенствованным покрытием асф.: крыльца, контейнерн пл., проезд, тротуар</t>
  </si>
  <si>
    <t>III. Проведение технических осмотров</t>
  </si>
  <si>
    <t>IV. Содержание общего имущества МКД</t>
  </si>
  <si>
    <t>V. Прочие услуги</t>
  </si>
  <si>
    <t>5 раз в год</t>
  </si>
  <si>
    <t>АКТ №2</t>
  </si>
  <si>
    <t>III. Содержание общего имущества МКД</t>
  </si>
  <si>
    <t>IV. Прочие услуги</t>
  </si>
  <si>
    <t>АКТ №7</t>
  </si>
  <si>
    <t>АКТ №8</t>
  </si>
  <si>
    <t>АКТ №9</t>
  </si>
  <si>
    <t>АКТ №10</t>
  </si>
  <si>
    <t>II. Уборка земельного участка</t>
  </si>
  <si>
    <t>Итого затраты за месяц</t>
  </si>
  <si>
    <t xml:space="preserve">2 раза в год     </t>
  </si>
  <si>
    <t>Очистка урн от мусора</t>
  </si>
  <si>
    <t>18 раз за сезон</t>
  </si>
  <si>
    <t>Вывоз снега с придомовой территории</t>
  </si>
  <si>
    <t>1м3</t>
  </si>
  <si>
    <t>35 раз за сезон</t>
  </si>
  <si>
    <t>ТО внутренних сетей водопровода и канализации</t>
  </si>
  <si>
    <t>руб/м2 в мес.</t>
  </si>
  <si>
    <t>Смена светодиодных светильников в.о.</t>
  </si>
  <si>
    <t>1 шт.</t>
  </si>
  <si>
    <t>Стоимость светодиодного светильника</t>
  </si>
  <si>
    <t>руб.</t>
  </si>
  <si>
    <t>Снятие показаний с общедомовых приборов учёта электрической энергии и холодной воды</t>
  </si>
  <si>
    <t>Обслуживание общедомового прибора учета тепловой энергии</t>
  </si>
  <si>
    <t>АКТ №11</t>
  </si>
  <si>
    <t>АКТ №12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</si>
  <si>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ул.Лермонтова, д.17</t>
    </r>
  </si>
  <si>
    <t>Очистка канализационной сети внутренней</t>
  </si>
  <si>
    <t>АКТ №3</t>
  </si>
  <si>
    <t>Смена арматуры - вентилей и клапанов обратных муфтовых диаметром до 32 мм</t>
  </si>
  <si>
    <t>по мере необходимости</t>
  </si>
  <si>
    <t>АКТ №5</t>
  </si>
  <si>
    <t>Внеплановый осмотр водопроводов, канализации, отопления в квартирах</t>
  </si>
  <si>
    <t>100 кв.</t>
  </si>
  <si>
    <t>АКТ №4</t>
  </si>
  <si>
    <t>АКТ №6</t>
  </si>
  <si>
    <t>ООО «Движение»</t>
  </si>
  <si>
    <r>
      <t xml:space="preserve">    Собственники помещений в многоквартирном доме, расположенном по адресу: пгт.Ярега, ул.Лермонтова, д.17,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27.06.2017г.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</si>
  <si>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Внеплановый осмотр кровель из штучных материалов</t>
  </si>
  <si>
    <t>100 шт</t>
  </si>
  <si>
    <t>место</t>
  </si>
  <si>
    <t>Очистка вручную от снега и наледи люков каналиационных и водопроводных колодцев</t>
  </si>
  <si>
    <t>за период с 01.01.2019 г. по 31.01.2019 г.</t>
  </si>
  <si>
    <t>Смена полипропиленовых канализационных труб 50*2000</t>
  </si>
  <si>
    <t>Смена полипропиленовых канализационных труб 50*1000</t>
  </si>
  <si>
    <t>Отвод 50-90</t>
  </si>
  <si>
    <t>Ревизия 50</t>
  </si>
  <si>
    <t>Муфта  чуг.-пл. Dу 50мм</t>
  </si>
  <si>
    <t>Муфта соединительная 50</t>
  </si>
  <si>
    <t>за период с 01.02.2019 г. по 28.02.2019 г.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</si>
  <si>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</si>
  <si>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</si>
  <si>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Смена арматуры - вентилей и клапанов обратных муфтовых диаметром до 20 мм ( без материалов)</t>
  </si>
  <si>
    <t>Водочсетчик ВСКМ Ду 32 в комплекте с присоед. Узлом</t>
  </si>
  <si>
    <t>за период с 01.03.2019 г. по 31.03.2019 г.</t>
  </si>
  <si>
    <t>Работа автопогрузчика</t>
  </si>
  <si>
    <t>Внеплановый осмотр деревянных заполнений проемов</t>
  </si>
  <si>
    <t>за период с 01.04.2019 г. по 30.04.2019 г.</t>
  </si>
  <si>
    <t>Внеплановый осмотр деревянных  и иных заполнений проемов</t>
  </si>
  <si>
    <t>за период с 01.05.2019 г. по 31.05.2019 г.</t>
  </si>
  <si>
    <t>Осмотр электросетей, армазуры и электрооборудования на лестничных клетках</t>
  </si>
  <si>
    <t xml:space="preserve"> Переход чугун-пластик Ду 50 </t>
  </si>
  <si>
    <t>Манжета 50</t>
  </si>
  <si>
    <t>Патрубок компенсационный 50</t>
  </si>
  <si>
    <t>за период с 01.06.2019 г. по 30.06.2019 г.</t>
  </si>
  <si>
    <t>Установка хомута диаметром до 50мм</t>
  </si>
  <si>
    <t>Организация и содержание мест накопления ТКО</t>
  </si>
  <si>
    <t>13 раз</t>
  </si>
  <si>
    <t>8 раз</t>
  </si>
  <si>
    <t>1 раз</t>
  </si>
  <si>
    <t>2 раза</t>
  </si>
  <si>
    <t>25 раз</t>
  </si>
  <si>
    <t>6 раз</t>
  </si>
  <si>
    <t>7 раз</t>
  </si>
  <si>
    <t xml:space="preserve">1 раз </t>
  </si>
  <si>
    <t>2. Всего за период с 01.01.2019 по 31.01.2019 выполнено работ (оказано услуг) на общую сумму: 66858,59  руб.</t>
  </si>
  <si>
    <t>(шестьдесят шесть тысяч восемьсот пятьдесят восемь рублей 59 копеек)</t>
  </si>
  <si>
    <t>4 маш/часа</t>
  </si>
  <si>
    <t>2. Всего за период с 01.03.2019 по 31.03.2019 выполнено работ (оказано услуг) на общую сумму: 63960,14 руб.</t>
  </si>
  <si>
    <t>(шестьдесят три тысячи девятьсот шестьдесят рублей 14 копеек)</t>
  </si>
  <si>
    <t>2. Всего за период с 01.04.2019 по 30.04.2019 выполнено работ (оказано услуг) на общую сумму: 66614,70 руб.</t>
  </si>
  <si>
    <t>(шестьдесят шесть тысяч шестьсот четырнадцать рублей 70 копеек)</t>
  </si>
  <si>
    <t>2. Всего за период с 01.05.2019 по 31.05.2019 выполнено работ (оказано услуг) на общую сумму: 78754,30 руб.</t>
  </si>
  <si>
    <t>(семьдесят восемь тысяч семьсот пятьдесят четыре рубля 30 копеек)</t>
  </si>
  <si>
    <t>2. Всего за период с 01.06.2019 по 30.06.2019 выполнено работ (оказано услуг) на общую сумму: 159216,67 руб.</t>
  </si>
  <si>
    <t>(сто пятьдесят девять тысяч двести шестнадцать рублей 67 копеек)</t>
  </si>
  <si>
    <t>Смена санитарных приборов - водомеров (без стоимости водомеров)</t>
  </si>
  <si>
    <t>2. Всего за период с 01.02.2019 по 28.02.2019 выполнено работ (оказано услуг) на общую сумму: 64694,88 руб.</t>
  </si>
  <si>
    <t>(шестьдесят четыре тысячи шестьсот девяносто четыре рубля 88 копеек)</t>
  </si>
  <si>
    <t>за период с 01.07.2019 г. по 31.07.2019 г.</t>
  </si>
  <si>
    <t>3 раза</t>
  </si>
  <si>
    <t>Ремонт отдельных мест покрытия из асбоцементных листов обыкновенного профиля</t>
  </si>
  <si>
    <t>Шифер</t>
  </si>
  <si>
    <t>2. Всего за период с 01.07.2019 по 31.07.2019 выполнено работ (оказано услуг) на общую сумму: 54732,91 руб.</t>
  </si>
  <si>
    <t>(пятьдесят четыре тысячи семьсот тридцать два рубля 91 копейка)</t>
  </si>
  <si>
    <t>2. Всего за период с 01.08.2019 по 31.08.2019 выполнено работ (оказано услуг) на общую сумму: 57813,83 руб.</t>
  </si>
  <si>
    <t>(пятьдесят семь тысяч восемьсот тринадцать рублей 83 копейки)</t>
  </si>
  <si>
    <t xml:space="preserve">Смена сгонов у трубопроводов диаметром до 20 мм </t>
  </si>
  <si>
    <t>1 сгон</t>
  </si>
  <si>
    <t>кв.63</t>
  </si>
  <si>
    <t>за период с 01.10.2019 г. по 31.10.2019 г.</t>
  </si>
  <si>
    <t>2 шт</t>
  </si>
  <si>
    <t xml:space="preserve">Внеплановый осмотр водопроводов, канализации, отопления </t>
  </si>
  <si>
    <t>кв.47</t>
  </si>
  <si>
    <t>ГВС. Кв.35</t>
  </si>
  <si>
    <t>2. Всего за период с 01.09.2019 по 30.09.2019 выполнено работ (оказано услуг) на общую сумму: 65138,53 руб.</t>
  </si>
  <si>
    <t>(шестьдесят пять тысяч сто тридцать восемь рублей 53 копейки)</t>
  </si>
  <si>
    <t>Закрыли окно</t>
  </si>
  <si>
    <t>2 под.</t>
  </si>
  <si>
    <t>2. Всего за период с 01.10.2019 по 31.10.2019 выполнено работ (оказано услуг) на общую сумму: 46907,34 руб.</t>
  </si>
  <si>
    <t>( сорок шесть тысяч девятьсот семь рублей 34 копейки)</t>
  </si>
  <si>
    <t>за период с 01.11.2019 г. по 30.11.2019 г.</t>
  </si>
  <si>
    <t>Замена гибкого шланга</t>
  </si>
  <si>
    <t>2. Всего за период с 01.11.2019 по 30.11.2019 выполнено работ (оказано услуг) на общую сумму: 52958,42 руб.</t>
  </si>
  <si>
    <t>(пятьдесят две тысячи девятьсот пятьдесят восемь рублей 42 копейки)</t>
  </si>
  <si>
    <t>кв.43 полотенцесушитель</t>
  </si>
  <si>
    <t>за период с 01.12.2019 г. по 31.12.2019 г.</t>
  </si>
  <si>
    <t>2. Всего за период с 01.12.2019 по 31.12.2019 выполнено работ (оказано услуг) на общую сумму: 54051,81 руб.</t>
  </si>
  <si>
    <t>(пятьдесят четыре тысячи пятьдесят один рубль 81 копейка)</t>
  </si>
  <si>
    <t>за период с 01.08.2019 г. по 31.08.2019 г.</t>
  </si>
  <si>
    <t>за период с 01.09.2019 г. по 30.09.2019 г.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</si>
</sst>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0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3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164" fontId="11" fillId="0" borderId="17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1" fontId="11" fillId="0" borderId="7" xfId="0" applyNumberFormat="1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center" vertical="center" wrapText="1"/>
    </xf>
    <xf numFmtId="4" fontId="11" fillId="0" borderId="19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8" fillId="2" borderId="5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4" fontId="11" fillId="3" borderId="9" xfId="0" applyNumberFormat="1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7" xfId="0" applyNumberFormat="1" applyFont="1" applyFill="1" applyBorder="1" applyAlignment="1">
      <alignment horizontal="center" vertical="center"/>
    </xf>
    <xf numFmtId="0" fontId="14" fillId="0" borderId="0" xfId="0" applyFont="1"/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/>
    </xf>
    <xf numFmtId="4" fontId="11" fillId="3" borderId="6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4" fontId="11" fillId="0" borderId="3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20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14" fontId="11" fillId="2" borderId="3" xfId="0" applyNumberFormat="1" applyFont="1" applyFill="1" applyBorder="1" applyAlignment="1">
      <alignment horizontal="left" vertical="center" wrapText="1"/>
    </xf>
    <xf numFmtId="4" fontId="18" fillId="0" borderId="3" xfId="0" applyNumberFormat="1" applyFont="1" applyFill="1" applyBorder="1" applyAlignment="1">
      <alignment horizontal="center" vertical="center"/>
    </xf>
    <xf numFmtId="14" fontId="11" fillId="2" borderId="9" xfId="0" applyNumberFormat="1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0"/>
  <sheetViews>
    <sheetView view="pageBreakPreview" topLeftCell="A92" zoomScale="60" workbookViewId="0">
      <selection activeCell="B16" sqref="B16:I2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168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7" t="s">
        <v>122</v>
      </c>
      <c r="B3" s="197"/>
      <c r="C3" s="197"/>
      <c r="D3" s="197"/>
      <c r="E3" s="197"/>
      <c r="F3" s="197"/>
      <c r="G3" s="197"/>
      <c r="H3" s="197"/>
      <c r="I3" s="197"/>
      <c r="J3" s="3"/>
      <c r="K3" s="3"/>
      <c r="L3" s="3"/>
    </row>
    <row r="4" spans="1:13" ht="31.5" customHeight="1">
      <c r="A4" s="198" t="s">
        <v>117</v>
      </c>
      <c r="B4" s="198"/>
      <c r="C4" s="198"/>
      <c r="D4" s="198"/>
      <c r="E4" s="198"/>
      <c r="F4" s="198"/>
      <c r="G4" s="198"/>
      <c r="H4" s="198"/>
      <c r="I4" s="198"/>
    </row>
    <row r="5" spans="1:13" ht="15.75" customHeight="1">
      <c r="A5" s="197" t="s">
        <v>174</v>
      </c>
      <c r="B5" s="199"/>
      <c r="C5" s="199"/>
      <c r="D5" s="199"/>
      <c r="E5" s="199"/>
      <c r="F5" s="199"/>
      <c r="G5" s="199"/>
      <c r="H5" s="199"/>
      <c r="I5" s="199"/>
      <c r="J5" s="2"/>
      <c r="K5" s="2"/>
      <c r="L5" s="2"/>
      <c r="M5" s="2"/>
    </row>
    <row r="6" spans="1:13" ht="15.75" customHeight="1">
      <c r="A6" s="2"/>
      <c r="B6" s="147"/>
      <c r="C6" s="147"/>
      <c r="D6" s="147"/>
      <c r="E6" s="147"/>
      <c r="F6" s="147"/>
      <c r="G6" s="147"/>
      <c r="H6" s="147"/>
      <c r="I6" s="30">
        <v>43496</v>
      </c>
      <c r="J6" s="2"/>
      <c r="K6" s="2"/>
      <c r="L6" s="2"/>
      <c r="M6" s="2"/>
    </row>
    <row r="7" spans="1:13" ht="15.75" customHeight="1">
      <c r="B7" s="145"/>
      <c r="C7" s="145"/>
      <c r="D7" s="14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0" t="s">
        <v>169</v>
      </c>
      <c r="B8" s="200"/>
      <c r="C8" s="200"/>
      <c r="D8" s="200"/>
      <c r="E8" s="200"/>
      <c r="F8" s="200"/>
      <c r="G8" s="200"/>
      <c r="H8" s="200"/>
      <c r="I8" s="20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1" t="s">
        <v>158</v>
      </c>
      <c r="B10" s="201"/>
      <c r="C10" s="201"/>
      <c r="D10" s="201"/>
      <c r="E10" s="201"/>
      <c r="F10" s="201"/>
      <c r="G10" s="201"/>
      <c r="H10" s="201"/>
      <c r="I10" s="201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2" t="s">
        <v>59</v>
      </c>
      <c r="B14" s="202"/>
      <c r="C14" s="202"/>
      <c r="D14" s="202"/>
      <c r="E14" s="202"/>
      <c r="F14" s="202"/>
      <c r="G14" s="202"/>
      <c r="H14" s="202"/>
      <c r="I14" s="202"/>
      <c r="J14" s="8"/>
      <c r="K14" s="8"/>
      <c r="L14" s="8"/>
      <c r="M14" s="8"/>
    </row>
    <row r="15" spans="1:13" ht="15.75" customHeight="1">
      <c r="A15" s="203" t="s">
        <v>4</v>
      </c>
      <c r="B15" s="203"/>
      <c r="C15" s="203"/>
      <c r="D15" s="203"/>
      <c r="E15" s="203"/>
      <c r="F15" s="203"/>
      <c r="G15" s="203"/>
      <c r="H15" s="203"/>
      <c r="I15" s="203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93</v>
      </c>
      <c r="D16" s="71" t="s">
        <v>199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5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93</v>
      </c>
      <c r="D17" s="71" t="s">
        <v>200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93</v>
      </c>
      <c r="D18" s="71" t="s">
        <v>201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100</v>
      </c>
      <c r="C19" s="72" t="s">
        <v>101</v>
      </c>
      <c r="D19" s="71" t="s">
        <v>102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92</v>
      </c>
      <c r="C20" s="72" t="s">
        <v>93</v>
      </c>
      <c r="D20" s="71" t="s">
        <v>142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98</v>
      </c>
      <c r="C21" s="72" t="s">
        <v>93</v>
      </c>
      <c r="D21" s="71" t="s">
        <v>142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94</v>
      </c>
      <c r="C22" s="72" t="s">
        <v>53</v>
      </c>
      <c r="D22" s="71" t="s">
        <v>102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95</v>
      </c>
      <c r="C23" s="72" t="s">
        <v>53</v>
      </c>
      <c r="D23" s="71" t="s">
        <v>102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96</v>
      </c>
      <c r="C24" s="72" t="s">
        <v>53</v>
      </c>
      <c r="D24" s="71" t="s">
        <v>102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99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198</v>
      </c>
      <c r="C26" s="44" t="s">
        <v>25</v>
      </c>
      <c r="D26" s="34" t="s">
        <v>201</v>
      </c>
      <c r="E26" s="118">
        <v>7.71</v>
      </c>
      <c r="F26" s="33">
        <f>E26*258</f>
        <v>1989.18</v>
      </c>
      <c r="G26" s="33">
        <v>10.39</v>
      </c>
      <c r="H26" s="119">
        <f t="shared" ref="H26" si="1">SUM(F26*G26/1000)</f>
        <v>20.6675802</v>
      </c>
      <c r="I26" s="13">
        <f>F26/12*G26</f>
        <v>1722.2983500000003</v>
      </c>
      <c r="J26" s="23"/>
    </row>
    <row r="27" spans="1:13" ht="15.75" customHeight="1">
      <c r="A27" s="203" t="s">
        <v>140</v>
      </c>
      <c r="B27" s="203"/>
      <c r="C27" s="203"/>
      <c r="D27" s="203"/>
      <c r="E27" s="203"/>
      <c r="F27" s="203"/>
      <c r="G27" s="203"/>
      <c r="H27" s="203"/>
      <c r="I27" s="203"/>
      <c r="J27" s="22"/>
      <c r="K27" s="8"/>
      <c r="L27" s="8"/>
      <c r="M27" s="8"/>
    </row>
    <row r="28" spans="1:13" ht="15.75" hidden="1" customHeight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  <c r="J28" s="22"/>
      <c r="K28" s="8"/>
      <c r="L28" s="8"/>
      <c r="M28" s="8"/>
    </row>
    <row r="29" spans="1:13" ht="15.75" hidden="1" customHeight="1">
      <c r="A29" s="29">
        <v>6</v>
      </c>
      <c r="B29" s="71" t="s">
        <v>103</v>
      </c>
      <c r="C29" s="72" t="s">
        <v>104</v>
      </c>
      <c r="D29" s="71" t="s">
        <v>118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5" si="2">SUM(F29*G29/1000)</f>
        <v>3.3774305759999996</v>
      </c>
      <c r="I29" s="13">
        <f t="shared" ref="I29:I33" si="3">F29/6*G29</f>
        <v>562.90509599999996</v>
      </c>
      <c r="J29" s="22"/>
      <c r="K29" s="8"/>
      <c r="L29" s="8"/>
      <c r="M29" s="8"/>
    </row>
    <row r="30" spans="1:13" ht="31.5" hidden="1" customHeight="1">
      <c r="A30" s="29">
        <v>7</v>
      </c>
      <c r="B30" s="71" t="s">
        <v>128</v>
      </c>
      <c r="C30" s="72" t="s">
        <v>104</v>
      </c>
      <c r="D30" s="71" t="s">
        <v>119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2"/>
        <v>3.8655693179999995</v>
      </c>
      <c r="I30" s="13">
        <f t="shared" si="3"/>
        <v>644.26155299999994</v>
      </c>
      <c r="J30" s="22"/>
      <c r="K30" s="8"/>
      <c r="L30" s="8"/>
      <c r="M30" s="8"/>
    </row>
    <row r="31" spans="1:13" ht="15.75" hidden="1" customHeight="1">
      <c r="A31" s="29">
        <v>11</v>
      </c>
      <c r="B31" s="71" t="s">
        <v>27</v>
      </c>
      <c r="C31" s="72" t="s">
        <v>104</v>
      </c>
      <c r="D31" s="71" t="s">
        <v>54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2"/>
        <v>1.2584827709999999</v>
      </c>
      <c r="I31" s="13">
        <f>F31*G31</f>
        <v>1258.482771</v>
      </c>
      <c r="J31" s="22"/>
      <c r="K31" s="8"/>
      <c r="L31" s="8"/>
      <c r="M31" s="8"/>
    </row>
    <row r="32" spans="1:13" ht="15.75" hidden="1" customHeight="1">
      <c r="A32" s="29">
        <v>8</v>
      </c>
      <c r="B32" s="71" t="s">
        <v>143</v>
      </c>
      <c r="C32" s="72" t="s">
        <v>40</v>
      </c>
      <c r="D32" s="71" t="s">
        <v>63</v>
      </c>
      <c r="E32" s="74">
        <v>5</v>
      </c>
      <c r="F32" s="74">
        <f>E32*155/100</f>
        <v>7.75</v>
      </c>
      <c r="G32" s="74">
        <v>1707.63</v>
      </c>
      <c r="H32" s="78">
        <f t="shared" si="2"/>
        <v>13.234132500000001</v>
      </c>
      <c r="I32" s="13">
        <f t="shared" si="3"/>
        <v>2205.6887500000003</v>
      </c>
      <c r="J32" s="22"/>
      <c r="K32" s="8"/>
      <c r="L32" s="8"/>
      <c r="M32" s="8"/>
    </row>
    <row r="33" spans="1:14" ht="15.75" hidden="1" customHeight="1">
      <c r="A33" s="29">
        <v>9</v>
      </c>
      <c r="B33" s="71" t="s">
        <v>105</v>
      </c>
      <c r="C33" s="72" t="s">
        <v>30</v>
      </c>
      <c r="D33" s="71" t="s">
        <v>63</v>
      </c>
      <c r="E33" s="80">
        <f>1/6</f>
        <v>0.16666666666666666</v>
      </c>
      <c r="F33" s="74">
        <f>155/6</f>
        <v>25.833333333333332</v>
      </c>
      <c r="G33" s="74">
        <v>74.349999999999994</v>
      </c>
      <c r="H33" s="78">
        <f t="shared" si="2"/>
        <v>1.920708333333333</v>
      </c>
      <c r="I33" s="13">
        <f t="shared" si="3"/>
        <v>320.11805555555554</v>
      </c>
      <c r="J33" s="22"/>
      <c r="K33" s="8"/>
      <c r="L33" s="8"/>
      <c r="M33" s="8"/>
    </row>
    <row r="34" spans="1:14" ht="15.75" hidden="1" customHeight="1">
      <c r="A34" s="29"/>
      <c r="B34" s="34" t="s">
        <v>64</v>
      </c>
      <c r="C34" s="44" t="s">
        <v>32</v>
      </c>
      <c r="D34" s="34" t="s">
        <v>66</v>
      </c>
      <c r="E34" s="121"/>
      <c r="F34" s="33">
        <v>2</v>
      </c>
      <c r="G34" s="33">
        <v>250.92</v>
      </c>
      <c r="H34" s="119">
        <f t="shared" si="2"/>
        <v>0.50183999999999995</v>
      </c>
      <c r="I34" s="13">
        <v>0</v>
      </c>
      <c r="J34" s="22"/>
      <c r="K34" s="8"/>
    </row>
    <row r="35" spans="1:14" ht="15.75" hidden="1" customHeight="1">
      <c r="A35" s="29"/>
      <c r="B35" s="34" t="s">
        <v>65</v>
      </c>
      <c r="C35" s="44" t="s">
        <v>31</v>
      </c>
      <c r="D35" s="34" t="s">
        <v>66</v>
      </c>
      <c r="E35" s="121"/>
      <c r="F35" s="33">
        <v>1</v>
      </c>
      <c r="G35" s="33">
        <v>1490.31</v>
      </c>
      <c r="H35" s="119">
        <f t="shared" si="2"/>
        <v>1.49031</v>
      </c>
      <c r="I35" s="13"/>
      <c r="J35" s="22"/>
      <c r="K35" s="8"/>
    </row>
    <row r="36" spans="1:14" ht="15.75" customHeight="1">
      <c r="A36" s="29"/>
      <c r="B36" s="93" t="s">
        <v>5</v>
      </c>
      <c r="C36" s="72"/>
      <c r="D36" s="71"/>
      <c r="E36" s="73"/>
      <c r="F36" s="74"/>
      <c r="G36" s="74"/>
      <c r="H36" s="78" t="s">
        <v>123</v>
      </c>
      <c r="I36" s="79"/>
      <c r="J36" s="23"/>
    </row>
    <row r="37" spans="1:14" ht="15.75" customHeight="1">
      <c r="A37" s="29">
        <v>5</v>
      </c>
      <c r="B37" s="71" t="s">
        <v>26</v>
      </c>
      <c r="C37" s="72" t="s">
        <v>31</v>
      </c>
      <c r="D37" s="71"/>
      <c r="E37" s="73"/>
      <c r="F37" s="74">
        <v>3</v>
      </c>
      <c r="G37" s="74">
        <v>2003</v>
      </c>
      <c r="H37" s="78">
        <f t="shared" ref="H37:H43" si="4">SUM(F37*G37/1000)</f>
        <v>6.0090000000000003</v>
      </c>
      <c r="I37" s="13">
        <f>G37*0.9</f>
        <v>1802.7</v>
      </c>
      <c r="J37" s="23"/>
    </row>
    <row r="38" spans="1:14" ht="15.75" customHeight="1">
      <c r="A38" s="29">
        <v>6</v>
      </c>
      <c r="B38" s="71" t="s">
        <v>67</v>
      </c>
      <c r="C38" s="72" t="s">
        <v>29</v>
      </c>
      <c r="D38" s="71" t="s">
        <v>202</v>
      </c>
      <c r="E38" s="74">
        <v>160.6</v>
      </c>
      <c r="F38" s="74">
        <f>SUM(E38*18/1000)</f>
        <v>2.8907999999999996</v>
      </c>
      <c r="G38" s="74">
        <v>2757.78</v>
      </c>
      <c r="H38" s="78">
        <f t="shared" si="4"/>
        <v>7.972190423999999</v>
      </c>
      <c r="I38" s="13">
        <f t="shared" ref="I38:I41" si="5">F38/6*G38</f>
        <v>1328.698404</v>
      </c>
      <c r="J38" s="23"/>
    </row>
    <row r="39" spans="1:14" ht="15.75" customHeight="1">
      <c r="A39" s="29">
        <v>7</v>
      </c>
      <c r="B39" s="71" t="s">
        <v>68</v>
      </c>
      <c r="C39" s="72" t="s">
        <v>29</v>
      </c>
      <c r="D39" s="71" t="s">
        <v>203</v>
      </c>
      <c r="E39" s="73">
        <v>89.1</v>
      </c>
      <c r="F39" s="74">
        <f>SUM(E39*155/1000)</f>
        <v>13.810499999999999</v>
      </c>
      <c r="G39" s="74">
        <v>460.02</v>
      </c>
      <c r="H39" s="78">
        <f t="shared" si="4"/>
        <v>6.3531062099999991</v>
      </c>
      <c r="I39" s="13">
        <f t="shared" si="5"/>
        <v>1058.8510349999999</v>
      </c>
      <c r="J39" s="23"/>
    </row>
    <row r="40" spans="1:14" ht="15.75" hidden="1" customHeight="1">
      <c r="A40" s="29">
        <v>12</v>
      </c>
      <c r="B40" s="71" t="s">
        <v>145</v>
      </c>
      <c r="C40" s="72" t="s">
        <v>146</v>
      </c>
      <c r="D40" s="71" t="s">
        <v>66</v>
      </c>
      <c r="E40" s="73"/>
      <c r="F40" s="74">
        <v>39</v>
      </c>
      <c r="G40" s="74">
        <v>301.70999999999998</v>
      </c>
      <c r="H40" s="78">
        <f t="shared" si="4"/>
        <v>11.766689999999999</v>
      </c>
      <c r="I40" s="13">
        <v>0</v>
      </c>
      <c r="J40" s="23"/>
    </row>
    <row r="41" spans="1:14" ht="47.25" customHeight="1">
      <c r="A41" s="29">
        <v>8</v>
      </c>
      <c r="B41" s="71" t="s">
        <v>83</v>
      </c>
      <c r="C41" s="72" t="s">
        <v>104</v>
      </c>
      <c r="D41" s="71" t="s">
        <v>204</v>
      </c>
      <c r="E41" s="74">
        <v>46.5</v>
      </c>
      <c r="F41" s="74">
        <f>SUM(E41*35/1000)</f>
        <v>1.6274999999999999</v>
      </c>
      <c r="G41" s="74">
        <v>7611.16</v>
      </c>
      <c r="H41" s="78">
        <f t="shared" si="4"/>
        <v>12.3871629</v>
      </c>
      <c r="I41" s="13">
        <f t="shared" si="5"/>
        <v>2064.5271499999999</v>
      </c>
      <c r="J41" s="23"/>
      <c r="L41" s="19"/>
      <c r="M41" s="20"/>
      <c r="N41" s="21"/>
    </row>
    <row r="42" spans="1:14" ht="15.75" customHeight="1">
      <c r="A42" s="94">
        <v>9</v>
      </c>
      <c r="B42" s="83" t="s">
        <v>106</v>
      </c>
      <c r="C42" s="84" t="s">
        <v>104</v>
      </c>
      <c r="D42" s="83" t="s">
        <v>205</v>
      </c>
      <c r="E42" s="85">
        <v>89.1</v>
      </c>
      <c r="F42" s="85">
        <f>SUM(E42*45/1000)</f>
        <v>4.0094999999999992</v>
      </c>
      <c r="G42" s="85">
        <v>562.25</v>
      </c>
      <c r="H42" s="82">
        <f t="shared" si="4"/>
        <v>2.2543413749999996</v>
      </c>
      <c r="I42" s="95">
        <f>F42/7.5*G42</f>
        <v>300.57884999999993</v>
      </c>
      <c r="J42" s="23"/>
      <c r="L42" s="19"/>
      <c r="M42" s="20"/>
      <c r="N42" s="21"/>
    </row>
    <row r="43" spans="1:14" ht="15.75" customHeight="1">
      <c r="A43" s="29">
        <v>10</v>
      </c>
      <c r="B43" s="14" t="s">
        <v>70</v>
      </c>
      <c r="C43" s="16" t="s">
        <v>32</v>
      </c>
      <c r="D43" s="14"/>
      <c r="E43" s="18"/>
      <c r="F43" s="13">
        <v>0.9</v>
      </c>
      <c r="G43" s="13">
        <v>974.83</v>
      </c>
      <c r="H43" s="13">
        <f t="shared" si="4"/>
        <v>0.8773470000000001</v>
      </c>
      <c r="I43" s="95">
        <f>F43/7.5*G43</f>
        <v>116.97960000000002</v>
      </c>
      <c r="J43" s="23"/>
      <c r="L43" s="19"/>
      <c r="M43" s="20"/>
      <c r="N43" s="21"/>
    </row>
    <row r="44" spans="1:14" ht="15.75" customHeight="1">
      <c r="A44" s="194" t="s">
        <v>129</v>
      </c>
      <c r="B44" s="195"/>
      <c r="C44" s="195"/>
      <c r="D44" s="195"/>
      <c r="E44" s="195"/>
      <c r="F44" s="195"/>
      <c r="G44" s="195"/>
      <c r="H44" s="195"/>
      <c r="I44" s="196"/>
      <c r="J44" s="23"/>
      <c r="L44" s="19"/>
      <c r="M44" s="20"/>
      <c r="N44" s="21"/>
    </row>
    <row r="45" spans="1:14" ht="15.75" hidden="1" customHeight="1">
      <c r="A45" s="29">
        <v>12</v>
      </c>
      <c r="B45" s="39" t="s">
        <v>107</v>
      </c>
      <c r="C45" s="40" t="s">
        <v>104</v>
      </c>
      <c r="D45" s="39" t="s">
        <v>42</v>
      </c>
      <c r="E45" s="17">
        <v>1632.75</v>
      </c>
      <c r="F45" s="36">
        <f>SUM(E45*2/1000)</f>
        <v>3.2654999999999998</v>
      </c>
      <c r="G45" s="36">
        <v>1062</v>
      </c>
      <c r="H45" s="36">
        <f t="shared" ref="H45:H54" si="6">SUM(F45*G45/1000)</f>
        <v>3.4679609999999998</v>
      </c>
      <c r="I45" s="13">
        <f>F45/2*G45</f>
        <v>1733.9804999999999</v>
      </c>
      <c r="J45" s="23"/>
      <c r="L45" s="19"/>
      <c r="M45" s="20"/>
      <c r="N45" s="21"/>
    </row>
    <row r="46" spans="1:14" ht="15.75" hidden="1" customHeight="1">
      <c r="A46" s="29">
        <v>13</v>
      </c>
      <c r="B46" s="39" t="s">
        <v>35</v>
      </c>
      <c r="C46" s="40" t="s">
        <v>104</v>
      </c>
      <c r="D46" s="39" t="s">
        <v>42</v>
      </c>
      <c r="E46" s="17">
        <v>53.75</v>
      </c>
      <c r="F46" s="36">
        <f>SUM(E46*2/1000)</f>
        <v>0.1075</v>
      </c>
      <c r="G46" s="36">
        <v>759.98</v>
      </c>
      <c r="H46" s="36">
        <f t="shared" si="6"/>
        <v>8.1697850000000002E-2</v>
      </c>
      <c r="I46" s="13">
        <f t="shared" ref="I46:I53" si="7">F46/2*G46</f>
        <v>40.848925000000001</v>
      </c>
      <c r="J46" s="23"/>
      <c r="L46" s="19"/>
      <c r="M46" s="20"/>
      <c r="N46" s="21"/>
    </row>
    <row r="47" spans="1:14" ht="15.75" hidden="1" customHeight="1">
      <c r="A47" s="29">
        <v>14</v>
      </c>
      <c r="B47" s="39" t="s">
        <v>36</v>
      </c>
      <c r="C47" s="40" t="s">
        <v>104</v>
      </c>
      <c r="D47" s="39" t="s">
        <v>42</v>
      </c>
      <c r="E47" s="17">
        <v>2285.6</v>
      </c>
      <c r="F47" s="36">
        <f>SUM(E47*2/1000)</f>
        <v>4.5712000000000002</v>
      </c>
      <c r="G47" s="36">
        <v>759.98</v>
      </c>
      <c r="H47" s="36">
        <f t="shared" si="6"/>
        <v>3.4740205760000005</v>
      </c>
      <c r="I47" s="13">
        <f t="shared" si="7"/>
        <v>1737.0102880000002</v>
      </c>
      <c r="J47" s="23"/>
      <c r="L47" s="19"/>
      <c r="M47" s="20"/>
      <c r="N47" s="21"/>
    </row>
    <row r="48" spans="1:14" ht="15.75" hidden="1" customHeight="1">
      <c r="A48" s="29">
        <v>15</v>
      </c>
      <c r="B48" s="39" t="s">
        <v>37</v>
      </c>
      <c r="C48" s="40" t="s">
        <v>104</v>
      </c>
      <c r="D48" s="39" t="s">
        <v>42</v>
      </c>
      <c r="E48" s="17">
        <v>1860</v>
      </c>
      <c r="F48" s="36">
        <f>SUM(E48*2/1000)</f>
        <v>3.72</v>
      </c>
      <c r="G48" s="36">
        <v>795.82</v>
      </c>
      <c r="H48" s="36">
        <f t="shared" si="6"/>
        <v>2.9604504</v>
      </c>
      <c r="I48" s="13">
        <f t="shared" si="7"/>
        <v>1480.2252000000001</v>
      </c>
      <c r="J48" s="23"/>
      <c r="L48" s="19"/>
      <c r="M48" s="20"/>
      <c r="N48" s="21"/>
    </row>
    <row r="49" spans="1:14" ht="15.75" hidden="1" customHeight="1">
      <c r="A49" s="29">
        <v>16</v>
      </c>
      <c r="B49" s="39" t="s">
        <v>33</v>
      </c>
      <c r="C49" s="40" t="s">
        <v>34</v>
      </c>
      <c r="D49" s="39" t="s">
        <v>42</v>
      </c>
      <c r="E49" s="17">
        <v>120.5</v>
      </c>
      <c r="F49" s="36">
        <f>SUM(E49*2/100)</f>
        <v>2.41</v>
      </c>
      <c r="G49" s="36">
        <v>95.49</v>
      </c>
      <c r="H49" s="36">
        <f t="shared" si="6"/>
        <v>0.2301309</v>
      </c>
      <c r="I49" s="13">
        <f t="shared" si="7"/>
        <v>115.06545</v>
      </c>
      <c r="J49" s="23"/>
      <c r="L49" s="19"/>
      <c r="M49" s="20"/>
      <c r="N49" s="21"/>
    </row>
    <row r="50" spans="1:14" ht="15.75" customHeight="1">
      <c r="A50" s="29">
        <v>11</v>
      </c>
      <c r="B50" s="39" t="s">
        <v>56</v>
      </c>
      <c r="C50" s="40" t="s">
        <v>104</v>
      </c>
      <c r="D50" s="39" t="s">
        <v>201</v>
      </c>
      <c r="E50" s="17">
        <v>3053.4</v>
      </c>
      <c r="F50" s="36">
        <f>SUM(E50*5/1000)</f>
        <v>15.266999999999999</v>
      </c>
      <c r="G50" s="36">
        <v>1591.6</v>
      </c>
      <c r="H50" s="36">
        <f t="shared" si="6"/>
        <v>24.298957199999997</v>
      </c>
      <c r="I50" s="13">
        <f>F50/5*G50</f>
        <v>4859.79144</v>
      </c>
      <c r="J50" s="23"/>
      <c r="L50" s="19"/>
      <c r="M50" s="20"/>
      <c r="N50" s="21"/>
    </row>
    <row r="51" spans="1:14" ht="31.5" hidden="1" customHeight="1">
      <c r="A51" s="29">
        <v>16</v>
      </c>
      <c r="B51" s="39" t="s">
        <v>108</v>
      </c>
      <c r="C51" s="40" t="s">
        <v>104</v>
      </c>
      <c r="D51" s="39" t="s">
        <v>42</v>
      </c>
      <c r="E51" s="17">
        <f>E50</f>
        <v>3053.4</v>
      </c>
      <c r="F51" s="36">
        <f>SUM(E51*2/1000)</f>
        <v>6.1067999999999998</v>
      </c>
      <c r="G51" s="36">
        <v>1591.6</v>
      </c>
      <c r="H51" s="36">
        <f t="shared" si="6"/>
        <v>9.7195828800000008</v>
      </c>
      <c r="I51" s="13">
        <f t="shared" si="7"/>
        <v>4859.79144</v>
      </c>
      <c r="J51" s="23"/>
      <c r="L51" s="19"/>
      <c r="M51" s="20"/>
      <c r="N51" s="21"/>
    </row>
    <row r="52" spans="1:14" ht="31.5" hidden="1" customHeight="1">
      <c r="A52" s="29">
        <v>17</v>
      </c>
      <c r="B52" s="39" t="s">
        <v>124</v>
      </c>
      <c r="C52" s="40" t="s">
        <v>38</v>
      </c>
      <c r="D52" s="39" t="s">
        <v>42</v>
      </c>
      <c r="E52" s="17">
        <v>20</v>
      </c>
      <c r="F52" s="36">
        <f>SUM(E52*2/100)</f>
        <v>0.4</v>
      </c>
      <c r="G52" s="36">
        <v>3581.13</v>
      </c>
      <c r="H52" s="36">
        <f t="shared" si="6"/>
        <v>1.4324520000000003</v>
      </c>
      <c r="I52" s="13">
        <f t="shared" si="7"/>
        <v>716.22600000000011</v>
      </c>
      <c r="J52" s="23"/>
      <c r="L52" s="19"/>
      <c r="M52" s="20"/>
      <c r="N52" s="21"/>
    </row>
    <row r="53" spans="1:14" ht="15.75" hidden="1" customHeight="1">
      <c r="A53" s="29">
        <v>18</v>
      </c>
      <c r="B53" s="39" t="s">
        <v>39</v>
      </c>
      <c r="C53" s="40" t="s">
        <v>40</v>
      </c>
      <c r="D53" s="39" t="s">
        <v>42</v>
      </c>
      <c r="E53" s="17">
        <v>1</v>
      </c>
      <c r="F53" s="36">
        <v>0.02</v>
      </c>
      <c r="G53" s="36">
        <v>7412.92</v>
      </c>
      <c r="H53" s="36">
        <f t="shared" si="6"/>
        <v>0.14825839999999998</v>
      </c>
      <c r="I53" s="13">
        <f t="shared" si="7"/>
        <v>74.129199999999997</v>
      </c>
      <c r="J53" s="23"/>
      <c r="L53" s="19"/>
      <c r="M53" s="20"/>
      <c r="N53" s="21"/>
    </row>
    <row r="54" spans="1:14" ht="15.75" customHeight="1">
      <c r="A54" s="29">
        <v>12</v>
      </c>
      <c r="B54" s="39" t="s">
        <v>41</v>
      </c>
      <c r="C54" s="40" t="s">
        <v>89</v>
      </c>
      <c r="D54" s="176">
        <v>43495</v>
      </c>
      <c r="E54" s="17">
        <v>128</v>
      </c>
      <c r="F54" s="36">
        <f>SUM(E54)*3</f>
        <v>384</v>
      </c>
      <c r="G54" s="37">
        <v>86.15</v>
      </c>
      <c r="H54" s="36">
        <f t="shared" si="6"/>
        <v>33.081600000000009</v>
      </c>
      <c r="I54" s="13">
        <f>E54*G54</f>
        <v>11027.2</v>
      </c>
      <c r="J54" s="23"/>
      <c r="L54" s="19"/>
      <c r="M54" s="20"/>
      <c r="N54" s="21"/>
    </row>
    <row r="55" spans="1:14" ht="15.75" customHeight="1">
      <c r="A55" s="194" t="s">
        <v>130</v>
      </c>
      <c r="B55" s="195"/>
      <c r="C55" s="195"/>
      <c r="D55" s="195"/>
      <c r="E55" s="195"/>
      <c r="F55" s="195"/>
      <c r="G55" s="195"/>
      <c r="H55" s="195"/>
      <c r="I55" s="196"/>
      <c r="J55" s="23"/>
      <c r="L55" s="19"/>
      <c r="M55" s="20"/>
      <c r="N55" s="21"/>
    </row>
    <row r="56" spans="1:14" ht="15.75" hidden="1" customHeight="1">
      <c r="A56" s="96"/>
      <c r="B56" s="104" t="s">
        <v>43</v>
      </c>
      <c r="C56" s="98"/>
      <c r="D56" s="97"/>
      <c r="E56" s="99"/>
      <c r="F56" s="100"/>
      <c r="G56" s="100"/>
      <c r="H56" s="105"/>
      <c r="I56" s="106"/>
      <c r="J56" s="23"/>
      <c r="L56" s="19"/>
      <c r="M56" s="20"/>
      <c r="N56" s="21"/>
    </row>
    <row r="57" spans="1:14" ht="31.5" hidden="1" customHeight="1">
      <c r="A57" s="29">
        <v>17</v>
      </c>
      <c r="B57" s="71" t="s">
        <v>109</v>
      </c>
      <c r="C57" s="72" t="s">
        <v>93</v>
      </c>
      <c r="D57" s="71" t="s">
        <v>110</v>
      </c>
      <c r="E57" s="73">
        <v>92.7</v>
      </c>
      <c r="F57" s="74">
        <f>SUM(E57*6/100)</f>
        <v>5.5620000000000003</v>
      </c>
      <c r="G57" s="13">
        <v>2431.1799999999998</v>
      </c>
      <c r="H57" s="78">
        <f>SUM(F57*G57/1000)</f>
        <v>13.522223159999999</v>
      </c>
      <c r="I57" s="13">
        <f>F57/6*G57</f>
        <v>2253.7038600000001</v>
      </c>
      <c r="J57" s="23"/>
      <c r="L57" s="19"/>
      <c r="M57" s="20"/>
      <c r="N57" s="21"/>
    </row>
    <row r="58" spans="1:14" ht="15.75" hidden="1" customHeight="1">
      <c r="A58" s="29"/>
      <c r="B58" s="71" t="s">
        <v>125</v>
      </c>
      <c r="C58" s="72" t="s">
        <v>126</v>
      </c>
      <c r="D58" s="14" t="s">
        <v>66</v>
      </c>
      <c r="E58" s="73"/>
      <c r="F58" s="74">
        <v>2</v>
      </c>
      <c r="G58" s="67">
        <v>1582.05</v>
      </c>
      <c r="H58" s="78">
        <f>SUM(F58*G58/1000)</f>
        <v>3.1640999999999999</v>
      </c>
      <c r="I58" s="13">
        <f>G58*2</f>
        <v>3164.1</v>
      </c>
      <c r="J58" s="23"/>
      <c r="L58" s="19"/>
      <c r="M58" s="20"/>
      <c r="N58" s="21"/>
    </row>
    <row r="59" spans="1:14" ht="15.75" customHeight="1">
      <c r="A59" s="29"/>
      <c r="B59" s="93" t="s">
        <v>44</v>
      </c>
      <c r="C59" s="72"/>
      <c r="D59" s="71"/>
      <c r="E59" s="73"/>
      <c r="F59" s="74"/>
      <c r="G59" s="74"/>
      <c r="H59" s="75" t="s">
        <v>123</v>
      </c>
      <c r="I59" s="79"/>
      <c r="J59" s="23"/>
      <c r="L59" s="19"/>
      <c r="M59" s="20"/>
      <c r="N59" s="21"/>
    </row>
    <row r="60" spans="1:14" ht="15.75" hidden="1" customHeight="1">
      <c r="A60" s="29"/>
      <c r="B60" s="34" t="s">
        <v>45</v>
      </c>
      <c r="C60" s="44" t="s">
        <v>93</v>
      </c>
      <c r="D60" s="34" t="s">
        <v>54</v>
      </c>
      <c r="E60" s="123">
        <v>145</v>
      </c>
      <c r="F60" s="33">
        <f>SUM(E60/100)</f>
        <v>1.45</v>
      </c>
      <c r="G60" s="36">
        <v>1040.8399999999999</v>
      </c>
      <c r="H60" s="124">
        <v>9.1679999999999993</v>
      </c>
      <c r="I60" s="13">
        <v>0</v>
      </c>
      <c r="J60" s="23"/>
      <c r="L60" s="19"/>
      <c r="M60" s="20"/>
      <c r="N60" s="21"/>
    </row>
    <row r="61" spans="1:14" ht="15.75" customHeight="1">
      <c r="A61" s="29">
        <v>13</v>
      </c>
      <c r="B61" s="125" t="s">
        <v>90</v>
      </c>
      <c r="C61" s="126" t="s">
        <v>25</v>
      </c>
      <c r="D61" s="125" t="s">
        <v>206</v>
      </c>
      <c r="E61" s="123">
        <v>200</v>
      </c>
      <c r="F61" s="33">
        <f>SUM(E61*12)</f>
        <v>2400</v>
      </c>
      <c r="G61" s="127">
        <v>1.4</v>
      </c>
      <c r="H61" s="128">
        <f>G61*F61/1000</f>
        <v>3.36</v>
      </c>
      <c r="I61" s="13">
        <f>G61*F61/12</f>
        <v>280</v>
      </c>
      <c r="J61" s="23"/>
      <c r="L61" s="19"/>
      <c r="M61" s="20"/>
      <c r="N61" s="21"/>
    </row>
    <row r="62" spans="1:14" ht="15.75" customHeight="1">
      <c r="A62" s="29"/>
      <c r="B62" s="102" t="s">
        <v>46</v>
      </c>
      <c r="C62" s="84"/>
      <c r="D62" s="83"/>
      <c r="E62" s="81"/>
      <c r="F62" s="85"/>
      <c r="G62" s="85"/>
      <c r="H62" s="86" t="s">
        <v>123</v>
      </c>
      <c r="I62" s="79"/>
      <c r="J62" s="23"/>
      <c r="L62" s="19"/>
      <c r="M62" s="20"/>
      <c r="N62" s="21"/>
    </row>
    <row r="63" spans="1:14" ht="15.75" hidden="1" customHeight="1">
      <c r="A63" s="29">
        <v>21</v>
      </c>
      <c r="B63" s="56" t="s">
        <v>47</v>
      </c>
      <c r="C63" s="40" t="s">
        <v>89</v>
      </c>
      <c r="D63" s="39" t="s">
        <v>66</v>
      </c>
      <c r="E63" s="17">
        <v>6</v>
      </c>
      <c r="F63" s="33">
        <f>SUM(E63)</f>
        <v>6</v>
      </c>
      <c r="G63" s="36">
        <v>291.68</v>
      </c>
      <c r="H63" s="114">
        <f t="shared" ref="H63:H71" si="8">SUM(F63*G63/1000)</f>
        <v>1.7500799999999999</v>
      </c>
      <c r="I63" s="13">
        <f>G63*3</f>
        <v>875.04</v>
      </c>
      <c r="J63" s="23"/>
      <c r="L63" s="19"/>
    </row>
    <row r="64" spans="1:14" ht="15.75" hidden="1" customHeight="1">
      <c r="A64" s="29"/>
      <c r="B64" s="56" t="s">
        <v>48</v>
      </c>
      <c r="C64" s="40" t="s">
        <v>89</v>
      </c>
      <c r="D64" s="39" t="s">
        <v>66</v>
      </c>
      <c r="E64" s="17">
        <v>4</v>
      </c>
      <c r="F64" s="33">
        <f>SUM(E64)</f>
        <v>4</v>
      </c>
      <c r="G64" s="36">
        <v>100.01</v>
      </c>
      <c r="H64" s="114">
        <f t="shared" si="8"/>
        <v>0.40004000000000001</v>
      </c>
      <c r="I64" s="13">
        <v>0</v>
      </c>
      <c r="J64" s="23"/>
      <c r="L64" s="19"/>
    </row>
    <row r="65" spans="1:22" ht="15.75" hidden="1" customHeight="1">
      <c r="A65" s="29"/>
      <c r="B65" s="56" t="s">
        <v>49</v>
      </c>
      <c r="C65" s="42" t="s">
        <v>111</v>
      </c>
      <c r="D65" s="39" t="s">
        <v>54</v>
      </c>
      <c r="E65" s="121">
        <v>15552</v>
      </c>
      <c r="F65" s="37">
        <f>SUM(E65/100)</f>
        <v>155.52000000000001</v>
      </c>
      <c r="G65" s="36">
        <v>278.24</v>
      </c>
      <c r="H65" s="114">
        <f t="shared" si="8"/>
        <v>43.271884800000009</v>
      </c>
      <c r="I65" s="13">
        <v>0</v>
      </c>
    </row>
    <row r="66" spans="1:22" ht="15.75" hidden="1" customHeight="1">
      <c r="A66" s="29"/>
      <c r="B66" s="56" t="s">
        <v>50</v>
      </c>
      <c r="C66" s="40" t="s">
        <v>112</v>
      </c>
      <c r="D66" s="39"/>
      <c r="E66" s="121">
        <v>15552</v>
      </c>
      <c r="F66" s="36">
        <f>SUM(E66/1000)</f>
        <v>15.552</v>
      </c>
      <c r="G66" s="36">
        <v>216.68</v>
      </c>
      <c r="H66" s="114">
        <f t="shared" si="8"/>
        <v>3.3698073600000003</v>
      </c>
      <c r="I66" s="13">
        <v>0</v>
      </c>
    </row>
    <row r="67" spans="1:22" ht="15.75" hidden="1" customHeight="1">
      <c r="A67" s="29"/>
      <c r="B67" s="56" t="s">
        <v>51</v>
      </c>
      <c r="C67" s="40" t="s">
        <v>78</v>
      </c>
      <c r="D67" s="39" t="s">
        <v>54</v>
      </c>
      <c r="E67" s="121">
        <v>2432</v>
      </c>
      <c r="F67" s="36">
        <f>SUM(E67/100)</f>
        <v>24.32</v>
      </c>
      <c r="G67" s="36">
        <v>2720.94</v>
      </c>
      <c r="H67" s="114">
        <f t="shared" si="8"/>
        <v>66.173260800000008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/>
      <c r="B68" s="53" t="s">
        <v>72</v>
      </c>
      <c r="C68" s="40" t="s">
        <v>32</v>
      </c>
      <c r="D68" s="39"/>
      <c r="E68" s="121">
        <v>14.8</v>
      </c>
      <c r="F68" s="36">
        <f>SUM(E68)</f>
        <v>14.8</v>
      </c>
      <c r="G68" s="36">
        <v>42.61</v>
      </c>
      <c r="H68" s="114">
        <f t="shared" si="8"/>
        <v>0.63062800000000008</v>
      </c>
      <c r="I68" s="13">
        <v>0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31.5" hidden="1" customHeight="1">
      <c r="A69" s="29"/>
      <c r="B69" s="53" t="s">
        <v>73</v>
      </c>
      <c r="C69" s="40" t="s">
        <v>32</v>
      </c>
      <c r="D69" s="39"/>
      <c r="E69" s="121">
        <f>E68</f>
        <v>14.8</v>
      </c>
      <c r="F69" s="36">
        <f>SUM(E69)</f>
        <v>14.8</v>
      </c>
      <c r="G69" s="36">
        <v>46.04</v>
      </c>
      <c r="H69" s="114">
        <f t="shared" si="8"/>
        <v>0.681392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22</v>
      </c>
      <c r="B70" s="39" t="s">
        <v>57</v>
      </c>
      <c r="C70" s="40" t="s">
        <v>58</v>
      </c>
      <c r="D70" s="39" t="s">
        <v>54</v>
      </c>
      <c r="E70" s="17">
        <v>5</v>
      </c>
      <c r="F70" s="33">
        <f>SUM(E70)</f>
        <v>5</v>
      </c>
      <c r="G70" s="36">
        <v>65.42</v>
      </c>
      <c r="H70" s="114">
        <f t="shared" si="8"/>
        <v>0.3271</v>
      </c>
      <c r="I70" s="13">
        <f>G70*4</f>
        <v>261.68</v>
      </c>
      <c r="J70" s="5"/>
      <c r="K70" s="5"/>
      <c r="L70" s="5"/>
      <c r="M70" s="5"/>
      <c r="N70" s="5"/>
      <c r="O70" s="5"/>
      <c r="P70" s="5"/>
      <c r="Q70" s="5"/>
      <c r="R70" s="182"/>
      <c r="S70" s="182"/>
      <c r="T70" s="182"/>
      <c r="U70" s="182"/>
    </row>
    <row r="71" spans="1:22" ht="15.75" customHeight="1">
      <c r="A71" s="29">
        <v>14</v>
      </c>
      <c r="B71" s="39" t="s">
        <v>148</v>
      </c>
      <c r="C71" s="45" t="s">
        <v>149</v>
      </c>
      <c r="D71" s="39"/>
      <c r="E71" s="17">
        <f>E50</f>
        <v>3053.4</v>
      </c>
      <c r="F71" s="33">
        <f>SUM(E71*12)</f>
        <v>36640.800000000003</v>
      </c>
      <c r="G71" s="36">
        <v>2.2799999999999998</v>
      </c>
      <c r="H71" s="114">
        <f t="shared" si="8"/>
        <v>83.541024000000007</v>
      </c>
      <c r="I71" s="13">
        <f>F71/12*G71</f>
        <v>6961.7519999999995</v>
      </c>
      <c r="J71" s="5"/>
      <c r="K71" s="5"/>
      <c r="L71" s="5"/>
      <c r="M71" s="5"/>
      <c r="N71" s="5"/>
      <c r="O71" s="5"/>
      <c r="P71" s="5"/>
      <c r="Q71" s="5"/>
      <c r="R71" s="144"/>
      <c r="S71" s="144"/>
      <c r="T71" s="144"/>
      <c r="U71" s="144"/>
    </row>
    <row r="72" spans="1:22" ht="15.75" customHeight="1">
      <c r="A72" s="29"/>
      <c r="B72" s="146" t="s">
        <v>74</v>
      </c>
      <c r="C72" s="16"/>
      <c r="D72" s="14"/>
      <c r="E72" s="18"/>
      <c r="F72" s="13"/>
      <c r="G72" s="13"/>
      <c r="H72" s="87" t="s">
        <v>123</v>
      </c>
      <c r="I72" s="79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>
        <v>19</v>
      </c>
      <c r="B73" s="39" t="s">
        <v>150</v>
      </c>
      <c r="C73" s="40" t="s">
        <v>151</v>
      </c>
      <c r="D73" s="39" t="s">
        <v>66</v>
      </c>
      <c r="E73" s="17">
        <v>1</v>
      </c>
      <c r="F73" s="36">
        <f>E73</f>
        <v>1</v>
      </c>
      <c r="G73" s="36">
        <v>1029.1199999999999</v>
      </c>
      <c r="H73" s="113">
        <f t="shared" ref="H73:H74" si="9">SUM(F73*G73/1000)</f>
        <v>1.0291199999999998</v>
      </c>
      <c r="I73" s="13">
        <v>0</v>
      </c>
    </row>
    <row r="74" spans="1:22" ht="15.75" hidden="1" customHeight="1">
      <c r="A74" s="29"/>
      <c r="B74" s="39" t="s">
        <v>152</v>
      </c>
      <c r="C74" s="40" t="s">
        <v>153</v>
      </c>
      <c r="D74" s="129"/>
      <c r="E74" s="17">
        <v>1</v>
      </c>
      <c r="F74" s="36">
        <v>1</v>
      </c>
      <c r="G74" s="36">
        <v>735</v>
      </c>
      <c r="H74" s="113">
        <f t="shared" si="9"/>
        <v>0.73499999999999999</v>
      </c>
      <c r="I74" s="13">
        <v>0</v>
      </c>
    </row>
    <row r="75" spans="1:22" ht="15.75" hidden="1" customHeight="1">
      <c r="A75" s="29">
        <v>23</v>
      </c>
      <c r="B75" s="39" t="s">
        <v>75</v>
      </c>
      <c r="C75" s="40" t="s">
        <v>76</v>
      </c>
      <c r="D75" s="39" t="s">
        <v>66</v>
      </c>
      <c r="E75" s="17">
        <v>5</v>
      </c>
      <c r="F75" s="33">
        <f>SUM(E75/10)</f>
        <v>0.5</v>
      </c>
      <c r="G75" s="36">
        <v>657.87</v>
      </c>
      <c r="H75" s="113">
        <f>SUM(F75*G75/1000)</f>
        <v>0.32893499999999998</v>
      </c>
      <c r="I75" s="13">
        <f>G75*0.8</f>
        <v>526.29600000000005</v>
      </c>
    </row>
    <row r="76" spans="1:22" ht="15.75" hidden="1" customHeight="1">
      <c r="A76" s="29"/>
      <c r="B76" s="39" t="s">
        <v>121</v>
      </c>
      <c r="C76" s="40" t="s">
        <v>89</v>
      </c>
      <c r="D76" s="39" t="s">
        <v>66</v>
      </c>
      <c r="E76" s="17">
        <v>1</v>
      </c>
      <c r="F76" s="36">
        <f>E76</f>
        <v>1</v>
      </c>
      <c r="G76" s="36">
        <v>1118.72</v>
      </c>
      <c r="H76" s="113">
        <f>SUM(F76*G76/1000)</f>
        <v>1.1187199999999999</v>
      </c>
      <c r="I76" s="13">
        <v>0</v>
      </c>
    </row>
    <row r="77" spans="1:22" ht="15.75" customHeight="1">
      <c r="A77" s="29">
        <v>15</v>
      </c>
      <c r="B77" s="115" t="s">
        <v>154</v>
      </c>
      <c r="C77" s="116" t="s">
        <v>89</v>
      </c>
      <c r="D77" s="39" t="s">
        <v>201</v>
      </c>
      <c r="E77" s="17">
        <v>2</v>
      </c>
      <c r="F77" s="33">
        <f>E77*12</f>
        <v>24</v>
      </c>
      <c r="G77" s="36">
        <v>53.42</v>
      </c>
      <c r="H77" s="113">
        <f t="shared" ref="H77:H78" si="10">SUM(F77*G77/1000)</f>
        <v>1.2820799999999999</v>
      </c>
      <c r="I77" s="13">
        <f>G77*2</f>
        <v>106.84</v>
      </c>
    </row>
    <row r="78" spans="1:22" ht="31.5" customHeight="1">
      <c r="A78" s="29">
        <v>16</v>
      </c>
      <c r="B78" s="115" t="s">
        <v>155</v>
      </c>
      <c r="C78" s="116" t="s">
        <v>89</v>
      </c>
      <c r="D78" s="39" t="s">
        <v>206</v>
      </c>
      <c r="E78" s="17">
        <v>1</v>
      </c>
      <c r="F78" s="33">
        <f>E78*12</f>
        <v>12</v>
      </c>
      <c r="G78" s="36">
        <v>1194</v>
      </c>
      <c r="H78" s="113">
        <f t="shared" si="10"/>
        <v>14.327999999999999</v>
      </c>
      <c r="I78" s="13">
        <f>G78</f>
        <v>1194</v>
      </c>
    </row>
    <row r="79" spans="1:22" ht="15.75" hidden="1" customHeight="1">
      <c r="A79" s="29"/>
      <c r="B79" s="90" t="s">
        <v>77</v>
      </c>
      <c r="C79" s="16"/>
      <c r="D79" s="14"/>
      <c r="E79" s="18"/>
      <c r="F79" s="18"/>
      <c r="G79" s="18"/>
      <c r="H79" s="18"/>
      <c r="I79" s="79"/>
    </row>
    <row r="80" spans="1:22" ht="15.75" hidden="1" customHeight="1">
      <c r="A80" s="29"/>
      <c r="B80" s="41" t="s">
        <v>115</v>
      </c>
      <c r="C80" s="42" t="s">
        <v>78</v>
      </c>
      <c r="D80" s="56"/>
      <c r="E80" s="59"/>
      <c r="F80" s="37">
        <v>0.3</v>
      </c>
      <c r="G80" s="37">
        <v>3619.09</v>
      </c>
      <c r="H80" s="114">
        <f t="shared" ref="H80" si="11">SUM(F80*G80/1000)</f>
        <v>1.0857270000000001</v>
      </c>
      <c r="I80" s="13">
        <v>0</v>
      </c>
    </row>
    <row r="81" spans="1:9" ht="15.75" hidden="1" customHeight="1">
      <c r="A81" s="29"/>
      <c r="B81" s="146" t="s">
        <v>113</v>
      </c>
      <c r="C81" s="90"/>
      <c r="D81" s="31"/>
      <c r="E81" s="32"/>
      <c r="F81" s="91"/>
      <c r="G81" s="91"/>
      <c r="H81" s="92">
        <f>SUM(H57:H80)</f>
        <v>249.26712212000004</v>
      </c>
      <c r="I81" s="77"/>
    </row>
    <row r="82" spans="1:9" ht="15.75" hidden="1" customHeight="1">
      <c r="A82" s="94"/>
      <c r="B82" s="34" t="s">
        <v>114</v>
      </c>
      <c r="C82" s="130"/>
      <c r="D82" s="131"/>
      <c r="E82" s="132"/>
      <c r="F82" s="38">
        <f>232/10</f>
        <v>23.2</v>
      </c>
      <c r="G82" s="38">
        <v>12361.2</v>
      </c>
      <c r="H82" s="114">
        <f>G82*F82/1000</f>
        <v>286.77984000000004</v>
      </c>
      <c r="I82" s="95">
        <v>0</v>
      </c>
    </row>
    <row r="83" spans="1:9" ht="15.75" customHeight="1">
      <c r="A83" s="194" t="s">
        <v>131</v>
      </c>
      <c r="B83" s="195"/>
      <c r="C83" s="195"/>
      <c r="D83" s="195"/>
      <c r="E83" s="195"/>
      <c r="F83" s="195"/>
      <c r="G83" s="195"/>
      <c r="H83" s="195"/>
      <c r="I83" s="196"/>
    </row>
    <row r="84" spans="1:9" ht="15.75" customHeight="1">
      <c r="A84" s="96">
        <v>17</v>
      </c>
      <c r="B84" s="34" t="s">
        <v>116</v>
      </c>
      <c r="C84" s="40" t="s">
        <v>55</v>
      </c>
      <c r="D84" s="103"/>
      <c r="E84" s="36">
        <v>3053.4</v>
      </c>
      <c r="F84" s="36">
        <f>SUM(E84*12)</f>
        <v>36640.800000000003</v>
      </c>
      <c r="G84" s="36">
        <v>3.1</v>
      </c>
      <c r="H84" s="114">
        <f>SUM(F84*G84/1000)</f>
        <v>113.58648000000001</v>
      </c>
      <c r="I84" s="101">
        <f>F84/12*G84</f>
        <v>9465.5400000000009</v>
      </c>
    </row>
    <row r="85" spans="1:9" ht="31.5" customHeight="1">
      <c r="A85" s="29">
        <v>18</v>
      </c>
      <c r="B85" s="39" t="s">
        <v>79</v>
      </c>
      <c r="C85" s="40"/>
      <c r="D85" s="103"/>
      <c r="E85" s="121">
        <v>3053.4</v>
      </c>
      <c r="F85" s="36">
        <f>E85*12</f>
        <v>36640.800000000003</v>
      </c>
      <c r="G85" s="36">
        <v>3.5</v>
      </c>
      <c r="H85" s="114">
        <f>F85*G85/1000</f>
        <v>128.24280000000002</v>
      </c>
      <c r="I85" s="13">
        <f>F85/12*G85</f>
        <v>10686.9</v>
      </c>
    </row>
    <row r="86" spans="1:9" ht="15.75" customHeight="1">
      <c r="A86" s="29"/>
      <c r="B86" s="43" t="s">
        <v>81</v>
      </c>
      <c r="C86" s="90"/>
      <c r="D86" s="88"/>
      <c r="E86" s="91"/>
      <c r="F86" s="91"/>
      <c r="G86" s="91"/>
      <c r="H86" s="92">
        <f>SUM(H85)</f>
        <v>128.24280000000002</v>
      </c>
      <c r="I86" s="91">
        <f>I85+I84+I78+I77+I71+I61+I54+I50+I43+I42+I41+I39+I38+I37+I26+I18+I17+I16</f>
        <v>64022.101205666666</v>
      </c>
    </row>
    <row r="87" spans="1:9" ht="15.75" customHeight="1">
      <c r="A87" s="183" t="s">
        <v>60</v>
      </c>
      <c r="B87" s="184"/>
      <c r="C87" s="184"/>
      <c r="D87" s="184"/>
      <c r="E87" s="184"/>
      <c r="F87" s="184"/>
      <c r="G87" s="184"/>
      <c r="H87" s="184"/>
      <c r="I87" s="185"/>
    </row>
    <row r="88" spans="1:9" ht="32.25" customHeight="1">
      <c r="A88" s="29">
        <v>19</v>
      </c>
      <c r="B88" s="115" t="s">
        <v>173</v>
      </c>
      <c r="C88" s="116" t="s">
        <v>29</v>
      </c>
      <c r="D88" s="52"/>
      <c r="E88" s="13"/>
      <c r="F88" s="172">
        <f>6*0.599/1000</f>
        <v>3.594E-3</v>
      </c>
      <c r="G88" s="13">
        <v>19757.060000000001</v>
      </c>
      <c r="H88" s="89">
        <f>G88*F88/1000</f>
        <v>7.1006873640000009E-2</v>
      </c>
      <c r="I88" s="95">
        <f>G88*0.599*6/1000</f>
        <v>71.006873640000009</v>
      </c>
    </row>
    <row r="89" spans="1:9" ht="30.75" customHeight="1">
      <c r="A89" s="29">
        <v>20</v>
      </c>
      <c r="B89" s="115" t="s">
        <v>164</v>
      </c>
      <c r="C89" s="116" t="s">
        <v>165</v>
      </c>
      <c r="D89" s="52"/>
      <c r="E89" s="13"/>
      <c r="F89" s="172">
        <v>0.01</v>
      </c>
      <c r="G89" s="13">
        <v>26095.37</v>
      </c>
      <c r="H89" s="89">
        <f t="shared" ref="H89" si="12">G89*F89/1000</f>
        <v>0.26095369999999996</v>
      </c>
      <c r="I89" s="13">
        <f>G89*0.01</f>
        <v>260.95369999999997</v>
      </c>
    </row>
    <row r="90" spans="1:9" ht="15.75" customHeight="1">
      <c r="A90" s="29">
        <v>21</v>
      </c>
      <c r="B90" s="115" t="s">
        <v>159</v>
      </c>
      <c r="C90" s="116" t="s">
        <v>127</v>
      </c>
      <c r="D90" s="52"/>
      <c r="E90" s="13"/>
      <c r="F90" s="173">
        <v>3</v>
      </c>
      <c r="G90" s="13">
        <v>273</v>
      </c>
      <c r="H90" s="89"/>
      <c r="I90" s="13">
        <f>G90*3</f>
        <v>819</v>
      </c>
    </row>
    <row r="91" spans="1:9" ht="15.75" customHeight="1">
      <c r="A91" s="29">
        <v>22</v>
      </c>
      <c r="B91" s="115" t="s">
        <v>175</v>
      </c>
      <c r="C91" s="116" t="s">
        <v>89</v>
      </c>
      <c r="D91" s="52"/>
      <c r="E91" s="13"/>
      <c r="F91" s="173">
        <v>1</v>
      </c>
      <c r="G91" s="13">
        <v>794.28</v>
      </c>
      <c r="H91" s="89"/>
      <c r="I91" s="13">
        <f>G91*1</f>
        <v>794.28</v>
      </c>
    </row>
    <row r="92" spans="1:9" ht="15.75" customHeight="1">
      <c r="A92" s="29">
        <v>23</v>
      </c>
      <c r="B92" s="115" t="s">
        <v>176</v>
      </c>
      <c r="C92" s="116" t="s">
        <v>89</v>
      </c>
      <c r="D92" s="52"/>
      <c r="E92" s="13"/>
      <c r="F92" s="173">
        <v>1</v>
      </c>
      <c r="G92" s="13">
        <v>735.42</v>
      </c>
      <c r="H92" s="89"/>
      <c r="I92" s="13">
        <f>G92*1</f>
        <v>735.42</v>
      </c>
    </row>
    <row r="93" spans="1:9" ht="15.75" customHeight="1">
      <c r="A93" s="29">
        <v>24</v>
      </c>
      <c r="B93" s="115" t="s">
        <v>177</v>
      </c>
      <c r="C93" s="116" t="s">
        <v>89</v>
      </c>
      <c r="D93" s="52"/>
      <c r="E93" s="13"/>
      <c r="F93" s="173">
        <v>1</v>
      </c>
      <c r="G93" s="13">
        <v>15.58</v>
      </c>
      <c r="H93" s="89"/>
      <c r="I93" s="13">
        <f>G93*1</f>
        <v>15.58</v>
      </c>
    </row>
    <row r="94" spans="1:9" ht="15.75" customHeight="1">
      <c r="A94" s="29">
        <v>25</v>
      </c>
      <c r="B94" s="115" t="s">
        <v>178</v>
      </c>
      <c r="C94" s="116" t="s">
        <v>89</v>
      </c>
      <c r="D94" s="52"/>
      <c r="E94" s="13"/>
      <c r="F94" s="173">
        <v>1</v>
      </c>
      <c r="G94" s="13">
        <v>53.93</v>
      </c>
      <c r="H94" s="89"/>
      <c r="I94" s="13">
        <f>G94*1</f>
        <v>53.93</v>
      </c>
    </row>
    <row r="95" spans="1:9" ht="15.75" customHeight="1">
      <c r="A95" s="29">
        <v>26</v>
      </c>
      <c r="B95" s="115" t="s">
        <v>179</v>
      </c>
      <c r="C95" s="116" t="s">
        <v>89</v>
      </c>
      <c r="D95" s="52"/>
      <c r="E95" s="13"/>
      <c r="F95" s="173">
        <v>2</v>
      </c>
      <c r="G95" s="13">
        <v>29.67</v>
      </c>
      <c r="H95" s="89"/>
      <c r="I95" s="13">
        <f>G95*2</f>
        <v>59.34</v>
      </c>
    </row>
    <row r="96" spans="1:9" ht="15.75" customHeight="1">
      <c r="A96" s="29">
        <v>27</v>
      </c>
      <c r="B96" s="115" t="s">
        <v>180</v>
      </c>
      <c r="C96" s="116" t="s">
        <v>89</v>
      </c>
      <c r="D96" s="52"/>
      <c r="E96" s="13"/>
      <c r="F96" s="173">
        <v>1</v>
      </c>
      <c r="G96" s="13">
        <v>26.98</v>
      </c>
      <c r="H96" s="89"/>
      <c r="I96" s="13">
        <f>G96*1</f>
        <v>26.98</v>
      </c>
    </row>
    <row r="97" spans="1:9" ht="15.75" customHeight="1">
      <c r="A97" s="29"/>
      <c r="B97" s="50" t="s">
        <v>52</v>
      </c>
      <c r="C97" s="46"/>
      <c r="D97" s="54"/>
      <c r="E97" s="46">
        <v>1</v>
      </c>
      <c r="F97" s="46"/>
      <c r="G97" s="46"/>
      <c r="H97" s="46"/>
      <c r="I97" s="32">
        <f>SUM(I88:I96)</f>
        <v>2836.4905736399996</v>
      </c>
    </row>
    <row r="98" spans="1:9" ht="15.75" customHeight="1">
      <c r="A98" s="29"/>
      <c r="B98" s="52" t="s">
        <v>80</v>
      </c>
      <c r="C98" s="15"/>
      <c r="D98" s="15"/>
      <c r="E98" s="47"/>
      <c r="F98" s="47"/>
      <c r="G98" s="48"/>
      <c r="H98" s="48"/>
      <c r="I98" s="17">
        <v>0</v>
      </c>
    </row>
    <row r="99" spans="1:9" ht="15.75" customHeight="1">
      <c r="A99" s="55"/>
      <c r="B99" s="51" t="s">
        <v>141</v>
      </c>
      <c r="C99" s="35"/>
      <c r="D99" s="35"/>
      <c r="E99" s="35"/>
      <c r="F99" s="35"/>
      <c r="G99" s="35"/>
      <c r="H99" s="35"/>
      <c r="I99" s="49">
        <f>I86+I97</f>
        <v>66858.591779306662</v>
      </c>
    </row>
    <row r="100" spans="1:9" ht="15.75">
      <c r="A100" s="186" t="s">
        <v>207</v>
      </c>
      <c r="B100" s="186"/>
      <c r="C100" s="186"/>
      <c r="D100" s="186"/>
      <c r="E100" s="186"/>
      <c r="F100" s="186"/>
      <c r="G100" s="186"/>
      <c r="H100" s="186"/>
      <c r="I100" s="186"/>
    </row>
    <row r="101" spans="1:9" ht="15.75">
      <c r="A101" s="62"/>
      <c r="B101" s="187" t="s">
        <v>208</v>
      </c>
      <c r="C101" s="187"/>
      <c r="D101" s="187"/>
      <c r="E101" s="187"/>
      <c r="F101" s="187"/>
      <c r="G101" s="187"/>
      <c r="H101" s="70"/>
      <c r="I101" s="3"/>
    </row>
    <row r="102" spans="1:9">
      <c r="A102" s="144"/>
      <c r="B102" s="188" t="s">
        <v>6</v>
      </c>
      <c r="C102" s="188"/>
      <c r="D102" s="188"/>
      <c r="E102" s="188"/>
      <c r="F102" s="188"/>
      <c r="G102" s="188"/>
      <c r="H102" s="24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189" t="s">
        <v>7</v>
      </c>
      <c r="B104" s="189"/>
      <c r="C104" s="189"/>
      <c r="D104" s="189"/>
      <c r="E104" s="189"/>
      <c r="F104" s="189"/>
      <c r="G104" s="189"/>
      <c r="H104" s="189"/>
      <c r="I104" s="189"/>
    </row>
    <row r="105" spans="1:9" ht="15.75" customHeight="1">
      <c r="A105" s="189" t="s">
        <v>8</v>
      </c>
      <c r="B105" s="189"/>
      <c r="C105" s="189"/>
      <c r="D105" s="189"/>
      <c r="E105" s="189"/>
      <c r="F105" s="189"/>
      <c r="G105" s="189"/>
      <c r="H105" s="189"/>
      <c r="I105" s="189"/>
    </row>
    <row r="106" spans="1:9" ht="15.75" customHeight="1">
      <c r="A106" s="190" t="s">
        <v>61</v>
      </c>
      <c r="B106" s="190"/>
      <c r="C106" s="190"/>
      <c r="D106" s="190"/>
      <c r="E106" s="190"/>
      <c r="F106" s="190"/>
      <c r="G106" s="190"/>
      <c r="H106" s="190"/>
      <c r="I106" s="190"/>
    </row>
    <row r="107" spans="1:9" ht="15.75" customHeight="1">
      <c r="A107" s="11"/>
    </row>
    <row r="108" spans="1:9" ht="15.75" customHeight="1">
      <c r="A108" s="191" t="s">
        <v>9</v>
      </c>
      <c r="B108" s="191"/>
      <c r="C108" s="191"/>
      <c r="D108" s="191"/>
      <c r="E108" s="191"/>
      <c r="F108" s="191"/>
      <c r="G108" s="191"/>
      <c r="H108" s="191"/>
      <c r="I108" s="191"/>
    </row>
    <row r="109" spans="1:9" ht="15.75" customHeight="1">
      <c r="A109" s="4"/>
    </row>
    <row r="110" spans="1:9" ht="15.75" customHeight="1">
      <c r="B110" s="145" t="s">
        <v>10</v>
      </c>
      <c r="C110" s="192" t="s">
        <v>88</v>
      </c>
      <c r="D110" s="192"/>
      <c r="E110" s="192"/>
      <c r="F110" s="68"/>
      <c r="I110" s="143"/>
    </row>
    <row r="111" spans="1:9" ht="15.75" customHeight="1">
      <c r="A111" s="144"/>
      <c r="C111" s="188" t="s">
        <v>11</v>
      </c>
      <c r="D111" s="188"/>
      <c r="E111" s="188"/>
      <c r="F111" s="24"/>
      <c r="I111" s="142" t="s">
        <v>12</v>
      </c>
    </row>
    <row r="112" spans="1:9" ht="15.75" customHeight="1">
      <c r="A112" s="25"/>
      <c r="C112" s="12"/>
      <c r="D112" s="12"/>
      <c r="G112" s="12"/>
      <c r="H112" s="12"/>
    </row>
    <row r="113" spans="1:9" ht="15.75" customHeight="1">
      <c r="B113" s="145" t="s">
        <v>13</v>
      </c>
      <c r="C113" s="193"/>
      <c r="D113" s="193"/>
      <c r="E113" s="193"/>
      <c r="F113" s="69"/>
      <c r="I113" s="143"/>
    </row>
    <row r="114" spans="1:9" ht="15.75" customHeight="1">
      <c r="A114" s="144"/>
      <c r="C114" s="182" t="s">
        <v>11</v>
      </c>
      <c r="D114" s="182"/>
      <c r="E114" s="182"/>
      <c r="F114" s="144"/>
      <c r="I114" s="142" t="s">
        <v>12</v>
      </c>
    </row>
    <row r="115" spans="1:9" ht="15.75" customHeight="1">
      <c r="A115" s="4" t="s">
        <v>14</v>
      </c>
    </row>
    <row r="116" spans="1:9">
      <c r="A116" s="180" t="s">
        <v>15</v>
      </c>
      <c r="B116" s="180"/>
      <c r="C116" s="180"/>
      <c r="D116" s="180"/>
      <c r="E116" s="180"/>
      <c r="F116" s="180"/>
      <c r="G116" s="180"/>
      <c r="H116" s="180"/>
      <c r="I116" s="180"/>
    </row>
    <row r="117" spans="1:9" ht="45" customHeight="1">
      <c r="A117" s="181" t="s">
        <v>16</v>
      </c>
      <c r="B117" s="181"/>
      <c r="C117" s="181"/>
      <c r="D117" s="181"/>
      <c r="E117" s="181"/>
      <c r="F117" s="181"/>
      <c r="G117" s="181"/>
      <c r="H117" s="181"/>
      <c r="I117" s="181"/>
    </row>
    <row r="118" spans="1:9" ht="30" customHeight="1">
      <c r="A118" s="181" t="s">
        <v>17</v>
      </c>
      <c r="B118" s="181"/>
      <c r="C118" s="181"/>
      <c r="D118" s="181"/>
      <c r="E118" s="181"/>
      <c r="F118" s="181"/>
      <c r="G118" s="181"/>
      <c r="H118" s="181"/>
      <c r="I118" s="181"/>
    </row>
    <row r="119" spans="1:9" ht="30" customHeight="1">
      <c r="A119" s="181" t="s">
        <v>21</v>
      </c>
      <c r="B119" s="181"/>
      <c r="C119" s="181"/>
      <c r="D119" s="181"/>
      <c r="E119" s="181"/>
      <c r="F119" s="181"/>
      <c r="G119" s="181"/>
      <c r="H119" s="181"/>
      <c r="I119" s="181"/>
    </row>
    <row r="120" spans="1:9" ht="15" customHeight="1">
      <c r="A120" s="181" t="s">
        <v>20</v>
      </c>
      <c r="B120" s="181"/>
      <c r="C120" s="181"/>
      <c r="D120" s="181"/>
      <c r="E120" s="181"/>
      <c r="F120" s="181"/>
      <c r="G120" s="181"/>
      <c r="H120" s="181"/>
      <c r="I120" s="181"/>
    </row>
  </sheetData>
  <autoFilter ref="I12:I65"/>
  <mergeCells count="29">
    <mergeCell ref="A14:I14"/>
    <mergeCell ref="A15:I15"/>
    <mergeCell ref="A27:I27"/>
    <mergeCell ref="A44:I44"/>
    <mergeCell ref="A55:I55"/>
    <mergeCell ref="A3:I3"/>
    <mergeCell ref="A4:I4"/>
    <mergeCell ref="A5:I5"/>
    <mergeCell ref="A8:I8"/>
    <mergeCell ref="A10:I10"/>
    <mergeCell ref="R70:U70"/>
    <mergeCell ref="C114:E114"/>
    <mergeCell ref="A87:I87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3:I83"/>
    <mergeCell ref="A116:I116"/>
    <mergeCell ref="A117:I117"/>
    <mergeCell ref="A118:I118"/>
    <mergeCell ref="A119:I119"/>
    <mergeCell ref="A120:I12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7" max="8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B16" sqref="B16:I2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168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7" t="s">
        <v>139</v>
      </c>
      <c r="B3" s="197"/>
      <c r="C3" s="197"/>
      <c r="D3" s="197"/>
      <c r="E3" s="197"/>
      <c r="F3" s="197"/>
      <c r="G3" s="197"/>
      <c r="H3" s="197"/>
      <c r="I3" s="197"/>
      <c r="J3" s="3"/>
      <c r="K3" s="3"/>
      <c r="L3" s="3"/>
    </row>
    <row r="4" spans="1:13" ht="31.5" customHeight="1">
      <c r="A4" s="198" t="s">
        <v>117</v>
      </c>
      <c r="B4" s="198"/>
      <c r="C4" s="198"/>
      <c r="D4" s="198"/>
      <c r="E4" s="198"/>
      <c r="F4" s="198"/>
      <c r="G4" s="198"/>
      <c r="H4" s="198"/>
      <c r="I4" s="198"/>
    </row>
    <row r="5" spans="1:13" ht="15.75" customHeight="1">
      <c r="A5" s="197" t="s">
        <v>232</v>
      </c>
      <c r="B5" s="199"/>
      <c r="C5" s="199"/>
      <c r="D5" s="199"/>
      <c r="E5" s="199"/>
      <c r="F5" s="199"/>
      <c r="G5" s="199"/>
      <c r="H5" s="199"/>
      <c r="I5" s="199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0">
        <v>43769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0" t="s">
        <v>169</v>
      </c>
      <c r="B8" s="200"/>
      <c r="C8" s="200"/>
      <c r="D8" s="200"/>
      <c r="E8" s="200"/>
      <c r="F8" s="200"/>
      <c r="G8" s="200"/>
      <c r="H8" s="200"/>
      <c r="I8" s="20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1" t="s">
        <v>158</v>
      </c>
      <c r="B10" s="201"/>
      <c r="C10" s="201"/>
      <c r="D10" s="201"/>
      <c r="E10" s="201"/>
      <c r="F10" s="201"/>
      <c r="G10" s="201"/>
      <c r="H10" s="201"/>
      <c r="I10" s="201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2" t="s">
        <v>59</v>
      </c>
      <c r="B14" s="202"/>
      <c r="C14" s="202"/>
      <c r="D14" s="202"/>
      <c r="E14" s="202"/>
      <c r="F14" s="202"/>
      <c r="G14" s="202"/>
      <c r="H14" s="202"/>
      <c r="I14" s="202"/>
      <c r="J14" s="8"/>
      <c r="K14" s="8"/>
      <c r="L14" s="8"/>
      <c r="M14" s="8"/>
    </row>
    <row r="15" spans="1:13" ht="15.75" customHeight="1">
      <c r="A15" s="203" t="s">
        <v>4</v>
      </c>
      <c r="B15" s="203"/>
      <c r="C15" s="203"/>
      <c r="D15" s="203"/>
      <c r="E15" s="203"/>
      <c r="F15" s="203"/>
      <c r="G15" s="203"/>
      <c r="H15" s="203"/>
      <c r="I15" s="203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93</v>
      </c>
      <c r="D16" s="71" t="s">
        <v>199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93</v>
      </c>
      <c r="D17" s="71" t="s">
        <v>200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93</v>
      </c>
      <c r="D18" s="71" t="s">
        <v>201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100</v>
      </c>
      <c r="C19" s="72" t="s">
        <v>101</v>
      </c>
      <c r="D19" s="71" t="s">
        <v>102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92</v>
      </c>
      <c r="C20" s="72" t="s">
        <v>93</v>
      </c>
      <c r="D20" s="71" t="s">
        <v>142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98</v>
      </c>
      <c r="C21" s="72" t="s">
        <v>93</v>
      </c>
      <c r="D21" s="71" t="s">
        <v>142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94</v>
      </c>
      <c r="C22" s="72" t="s">
        <v>53</v>
      </c>
      <c r="D22" s="71" t="s">
        <v>102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95</v>
      </c>
      <c r="C23" s="72" t="s">
        <v>53</v>
      </c>
      <c r="D23" s="71" t="s">
        <v>102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96</v>
      </c>
      <c r="C24" s="72" t="s">
        <v>53</v>
      </c>
      <c r="D24" s="71" t="s">
        <v>102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99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198</v>
      </c>
      <c r="C26" s="44" t="s">
        <v>25</v>
      </c>
      <c r="D26" s="34" t="s">
        <v>201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  <c r="J26" s="23"/>
    </row>
    <row r="27" spans="1:13" ht="15.75" customHeight="1">
      <c r="A27" s="203" t="s">
        <v>140</v>
      </c>
      <c r="B27" s="203"/>
      <c r="C27" s="203"/>
      <c r="D27" s="203"/>
      <c r="E27" s="203"/>
      <c r="F27" s="203"/>
      <c r="G27" s="203"/>
      <c r="H27" s="203"/>
      <c r="I27" s="203"/>
      <c r="J27" s="22"/>
      <c r="K27" s="8"/>
      <c r="L27" s="8"/>
      <c r="M27" s="8"/>
    </row>
    <row r="28" spans="1:13" ht="15.75" customHeight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  <c r="J28" s="22"/>
      <c r="K28" s="8"/>
      <c r="L28" s="8"/>
      <c r="M28" s="8"/>
    </row>
    <row r="29" spans="1:13" ht="15.75" customHeight="1">
      <c r="A29" s="29">
        <v>5</v>
      </c>
      <c r="B29" s="71" t="s">
        <v>103</v>
      </c>
      <c r="C29" s="72" t="s">
        <v>104</v>
      </c>
      <c r="D29" s="71" t="s">
        <v>200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2" si="1">SUM(F29*G29/1000)</f>
        <v>3.3774305759999996</v>
      </c>
      <c r="I29" s="13">
        <f t="shared" ref="I29:I32" si="2">F29/6*G29</f>
        <v>562.90509599999996</v>
      </c>
      <c r="J29" s="22"/>
      <c r="K29" s="8"/>
      <c r="L29" s="8"/>
      <c r="M29" s="8"/>
    </row>
    <row r="30" spans="1:13" ht="31.5" customHeight="1">
      <c r="A30" s="29">
        <v>6</v>
      </c>
      <c r="B30" s="71" t="s">
        <v>128</v>
      </c>
      <c r="C30" s="72" t="s">
        <v>104</v>
      </c>
      <c r="D30" s="71" t="s">
        <v>199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1"/>
        <v>3.8655693179999995</v>
      </c>
      <c r="I30" s="13">
        <f t="shared" si="2"/>
        <v>644.26155299999994</v>
      </c>
      <c r="J30" s="22"/>
      <c r="K30" s="8"/>
      <c r="L30" s="8"/>
      <c r="M30" s="8"/>
    </row>
    <row r="31" spans="1:13" ht="15.75" hidden="1" customHeight="1">
      <c r="A31" s="29">
        <v>11</v>
      </c>
      <c r="B31" s="71" t="s">
        <v>27</v>
      </c>
      <c r="C31" s="72" t="s">
        <v>104</v>
      </c>
      <c r="D31" s="71" t="s">
        <v>206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1"/>
        <v>1.2584827709999999</v>
      </c>
      <c r="I31" s="13">
        <f>F31*G31</f>
        <v>1258.482771</v>
      </c>
      <c r="J31" s="22"/>
      <c r="K31" s="8"/>
      <c r="L31" s="8"/>
      <c r="M31" s="8"/>
    </row>
    <row r="32" spans="1:13" ht="15.75" customHeight="1">
      <c r="A32" s="29">
        <v>7</v>
      </c>
      <c r="B32" s="71" t="s">
        <v>143</v>
      </c>
      <c r="C32" s="72" t="s">
        <v>40</v>
      </c>
      <c r="D32" s="71" t="s">
        <v>203</v>
      </c>
      <c r="E32" s="74">
        <v>5</v>
      </c>
      <c r="F32" s="74">
        <f>E32*155/100</f>
        <v>7.75</v>
      </c>
      <c r="G32" s="74">
        <v>1707.63</v>
      </c>
      <c r="H32" s="78">
        <f t="shared" si="1"/>
        <v>13.234132500000001</v>
      </c>
      <c r="I32" s="13">
        <f t="shared" si="2"/>
        <v>2205.6887500000003</v>
      </c>
      <c r="J32" s="22"/>
      <c r="K32" s="8"/>
      <c r="L32" s="8"/>
      <c r="M32" s="8"/>
    </row>
    <row r="33" spans="1:14" ht="15.75" hidden="1" customHeight="1">
      <c r="A33" s="29"/>
      <c r="B33" s="34" t="s">
        <v>64</v>
      </c>
      <c r="C33" s="44" t="s">
        <v>32</v>
      </c>
      <c r="D33" s="34" t="s">
        <v>66</v>
      </c>
      <c r="E33" s="121"/>
      <c r="F33" s="33">
        <v>2</v>
      </c>
      <c r="G33" s="33">
        <v>250.92</v>
      </c>
      <c r="H33" s="119">
        <f t="shared" ref="H33:H34" si="3">SUM(F33*G33/1000)</f>
        <v>0.50183999999999995</v>
      </c>
      <c r="I33" s="13">
        <v>0</v>
      </c>
      <c r="J33" s="22"/>
      <c r="K33" s="8"/>
    </row>
    <row r="34" spans="1:14" ht="15.75" hidden="1" customHeight="1">
      <c r="A34" s="29"/>
      <c r="B34" s="34" t="s">
        <v>65</v>
      </c>
      <c r="C34" s="44" t="s">
        <v>31</v>
      </c>
      <c r="D34" s="34" t="s">
        <v>66</v>
      </c>
      <c r="E34" s="121"/>
      <c r="F34" s="33">
        <v>1</v>
      </c>
      <c r="G34" s="33">
        <v>1490.31</v>
      </c>
      <c r="H34" s="119">
        <f t="shared" si="3"/>
        <v>1.49031</v>
      </c>
      <c r="I34" s="13"/>
      <c r="J34" s="22"/>
      <c r="K34" s="8"/>
    </row>
    <row r="35" spans="1:14" ht="15.75" hidden="1" customHeight="1">
      <c r="A35" s="29"/>
      <c r="B35" s="93" t="s">
        <v>5</v>
      </c>
      <c r="C35" s="72"/>
      <c r="D35" s="71"/>
      <c r="E35" s="73"/>
      <c r="F35" s="74"/>
      <c r="G35" s="74"/>
      <c r="H35" s="78" t="s">
        <v>123</v>
      </c>
      <c r="I35" s="79"/>
      <c r="J35" s="23"/>
    </row>
    <row r="36" spans="1:14" ht="15.75" hidden="1" customHeight="1">
      <c r="A36" s="29">
        <v>9</v>
      </c>
      <c r="B36" s="71" t="s">
        <v>26</v>
      </c>
      <c r="C36" s="72" t="s">
        <v>31</v>
      </c>
      <c r="D36" s="71"/>
      <c r="E36" s="73"/>
      <c r="F36" s="74">
        <v>3</v>
      </c>
      <c r="G36" s="74">
        <v>2003</v>
      </c>
      <c r="H36" s="78">
        <f t="shared" ref="H36:H42" si="4">SUM(F36*G36/1000)</f>
        <v>6.0090000000000003</v>
      </c>
      <c r="I36" s="13">
        <f t="shared" ref="I36:I42" si="5">F36/6*G36</f>
        <v>1001.5</v>
      </c>
      <c r="J36" s="23"/>
    </row>
    <row r="37" spans="1:14" ht="15.75" hidden="1" customHeight="1">
      <c r="A37" s="29">
        <v>10</v>
      </c>
      <c r="B37" s="71" t="s">
        <v>67</v>
      </c>
      <c r="C37" s="72" t="s">
        <v>29</v>
      </c>
      <c r="D37" s="71" t="s">
        <v>144</v>
      </c>
      <c r="E37" s="74">
        <v>160.6</v>
      </c>
      <c r="F37" s="74">
        <f>SUM(E37*18/1000)</f>
        <v>2.8907999999999996</v>
      </c>
      <c r="G37" s="74">
        <v>2757.78</v>
      </c>
      <c r="H37" s="78">
        <f t="shared" si="4"/>
        <v>7.972190423999999</v>
      </c>
      <c r="I37" s="13">
        <f t="shared" si="5"/>
        <v>1328.698404</v>
      </c>
      <c r="J37" s="23"/>
    </row>
    <row r="38" spans="1:14" ht="15.75" hidden="1" customHeight="1">
      <c r="A38" s="29">
        <v>11</v>
      </c>
      <c r="B38" s="71" t="s">
        <v>68</v>
      </c>
      <c r="C38" s="72" t="s">
        <v>29</v>
      </c>
      <c r="D38" s="71" t="s">
        <v>120</v>
      </c>
      <c r="E38" s="73">
        <v>89.1</v>
      </c>
      <c r="F38" s="74">
        <f>SUM(E38*155/1000)</f>
        <v>13.810499999999999</v>
      </c>
      <c r="G38" s="74">
        <v>460.02</v>
      </c>
      <c r="H38" s="78">
        <f t="shared" si="4"/>
        <v>6.3531062099999991</v>
      </c>
      <c r="I38" s="13">
        <f t="shared" si="5"/>
        <v>1058.8510349999999</v>
      </c>
      <c r="J38" s="23"/>
    </row>
    <row r="39" spans="1:14" ht="15.75" hidden="1" customHeight="1">
      <c r="A39" s="29">
        <v>12</v>
      </c>
      <c r="B39" s="71" t="s">
        <v>145</v>
      </c>
      <c r="C39" s="72" t="s">
        <v>146</v>
      </c>
      <c r="D39" s="71" t="s">
        <v>66</v>
      </c>
      <c r="E39" s="73"/>
      <c r="F39" s="74">
        <v>39</v>
      </c>
      <c r="G39" s="74">
        <v>301.70999999999998</v>
      </c>
      <c r="H39" s="78">
        <f t="shared" si="4"/>
        <v>11.766689999999999</v>
      </c>
      <c r="I39" s="13">
        <v>0</v>
      </c>
      <c r="J39" s="23"/>
    </row>
    <row r="40" spans="1:14" ht="47.25" hidden="1" customHeight="1">
      <c r="A40" s="29">
        <v>13</v>
      </c>
      <c r="B40" s="71" t="s">
        <v>83</v>
      </c>
      <c r="C40" s="72" t="s">
        <v>104</v>
      </c>
      <c r="D40" s="71" t="s">
        <v>147</v>
      </c>
      <c r="E40" s="74">
        <v>46.5</v>
      </c>
      <c r="F40" s="74">
        <f>SUM(E40*35/1000)</f>
        <v>1.6274999999999999</v>
      </c>
      <c r="G40" s="74">
        <v>7611.16</v>
      </c>
      <c r="H40" s="78">
        <f t="shared" si="4"/>
        <v>12.3871629</v>
      </c>
      <c r="I40" s="13">
        <f t="shared" si="5"/>
        <v>2064.5271499999999</v>
      </c>
      <c r="J40" s="23"/>
      <c r="L40" s="19"/>
      <c r="M40" s="20"/>
      <c r="N40" s="21"/>
    </row>
    <row r="41" spans="1:14" ht="15.75" hidden="1" customHeight="1">
      <c r="A41" s="94">
        <v>14</v>
      </c>
      <c r="B41" s="71" t="s">
        <v>106</v>
      </c>
      <c r="C41" s="72" t="s">
        <v>104</v>
      </c>
      <c r="D41" s="71" t="s">
        <v>69</v>
      </c>
      <c r="E41" s="74">
        <v>89.1</v>
      </c>
      <c r="F41" s="74">
        <f>SUM(E41*45/1000)</f>
        <v>4.0094999999999992</v>
      </c>
      <c r="G41" s="74">
        <v>562.25</v>
      </c>
      <c r="H41" s="78">
        <f t="shared" si="4"/>
        <v>2.2543413749999996</v>
      </c>
      <c r="I41" s="13">
        <f t="shared" si="5"/>
        <v>375.72356249999996</v>
      </c>
      <c r="J41" s="23"/>
      <c r="L41" s="19"/>
      <c r="M41" s="20"/>
      <c r="N41" s="21"/>
    </row>
    <row r="42" spans="1:14" ht="15.75" hidden="1" customHeight="1">
      <c r="A42" s="122"/>
      <c r="B42" s="71" t="s">
        <v>70</v>
      </c>
      <c r="C42" s="72" t="s">
        <v>32</v>
      </c>
      <c r="D42" s="71"/>
      <c r="E42" s="73"/>
      <c r="F42" s="74">
        <v>0.9</v>
      </c>
      <c r="G42" s="74">
        <v>974.83</v>
      </c>
      <c r="H42" s="78">
        <f t="shared" si="4"/>
        <v>0.8773470000000001</v>
      </c>
      <c r="I42" s="13">
        <f t="shared" si="5"/>
        <v>146.22450000000001</v>
      </c>
      <c r="J42" s="23"/>
      <c r="L42" s="19"/>
      <c r="M42" s="20"/>
      <c r="N42" s="21"/>
    </row>
    <row r="43" spans="1:14" ht="15" hidden="1" customHeight="1">
      <c r="A43" s="194" t="s">
        <v>129</v>
      </c>
      <c r="B43" s="195"/>
      <c r="C43" s="195"/>
      <c r="D43" s="195"/>
      <c r="E43" s="195"/>
      <c r="F43" s="195"/>
      <c r="G43" s="195"/>
      <c r="H43" s="195"/>
      <c r="I43" s="196"/>
      <c r="J43" s="23"/>
      <c r="L43" s="19"/>
      <c r="M43" s="20"/>
      <c r="N43" s="21"/>
    </row>
    <row r="44" spans="1:14" ht="25.5" hidden="1" customHeight="1">
      <c r="A44" s="96">
        <v>12</v>
      </c>
      <c r="B44" s="34" t="s">
        <v>107</v>
      </c>
      <c r="C44" s="44" t="s">
        <v>104</v>
      </c>
      <c r="D44" s="34" t="s">
        <v>42</v>
      </c>
      <c r="E44" s="121">
        <v>1632.75</v>
      </c>
      <c r="F44" s="33">
        <f>SUM(E44*2/1000)</f>
        <v>3.2654999999999998</v>
      </c>
      <c r="G44" s="36">
        <v>1062</v>
      </c>
      <c r="H44" s="119">
        <f t="shared" ref="H44:H53" si="6">SUM(F44*G44/1000)</f>
        <v>3.4679609999999998</v>
      </c>
      <c r="I44" s="13">
        <f>F44/2*G44</f>
        <v>1733.9804999999999</v>
      </c>
      <c r="J44" s="23"/>
      <c r="L44" s="19"/>
      <c r="M44" s="20"/>
      <c r="N44" s="21"/>
    </row>
    <row r="45" spans="1:14" ht="29.25" hidden="1" customHeight="1">
      <c r="A45" s="29">
        <v>13</v>
      </c>
      <c r="B45" s="34" t="s">
        <v>35</v>
      </c>
      <c r="C45" s="44" t="s">
        <v>104</v>
      </c>
      <c r="D45" s="34" t="s">
        <v>42</v>
      </c>
      <c r="E45" s="121">
        <v>53.75</v>
      </c>
      <c r="F45" s="33">
        <f>SUM(E45*2/1000)</f>
        <v>0.1075</v>
      </c>
      <c r="G45" s="36">
        <v>759.98</v>
      </c>
      <c r="H45" s="119">
        <f t="shared" si="6"/>
        <v>8.1697850000000002E-2</v>
      </c>
      <c r="I45" s="13">
        <f t="shared" ref="I45:I52" si="7">F45/2*G45</f>
        <v>40.848925000000001</v>
      </c>
      <c r="J45" s="23"/>
      <c r="L45" s="19"/>
      <c r="M45" s="20"/>
      <c r="N45" s="21"/>
    </row>
    <row r="46" spans="1:14" ht="30" hidden="1" customHeight="1">
      <c r="A46" s="29">
        <v>14</v>
      </c>
      <c r="B46" s="34" t="s">
        <v>36</v>
      </c>
      <c r="C46" s="44" t="s">
        <v>104</v>
      </c>
      <c r="D46" s="34" t="s">
        <v>42</v>
      </c>
      <c r="E46" s="121">
        <v>2285.6</v>
      </c>
      <c r="F46" s="33">
        <f>SUM(E46*2/1000)</f>
        <v>4.5712000000000002</v>
      </c>
      <c r="G46" s="36">
        <v>759.98</v>
      </c>
      <c r="H46" s="119">
        <f t="shared" si="6"/>
        <v>3.4740205760000005</v>
      </c>
      <c r="I46" s="13">
        <f t="shared" si="7"/>
        <v>1737.0102880000002</v>
      </c>
      <c r="J46" s="23"/>
      <c r="L46" s="19"/>
      <c r="M46" s="20"/>
      <c r="N46" s="21"/>
    </row>
    <row r="47" spans="1:14" ht="31.5" hidden="1" customHeight="1">
      <c r="A47" s="29">
        <v>15</v>
      </c>
      <c r="B47" s="34" t="s">
        <v>37</v>
      </c>
      <c r="C47" s="44" t="s">
        <v>104</v>
      </c>
      <c r="D47" s="34" t="s">
        <v>42</v>
      </c>
      <c r="E47" s="121">
        <v>1860</v>
      </c>
      <c r="F47" s="33">
        <f>SUM(E47*2/1000)</f>
        <v>3.72</v>
      </c>
      <c r="G47" s="36">
        <v>795.82</v>
      </c>
      <c r="H47" s="119">
        <f t="shared" si="6"/>
        <v>2.9604504</v>
      </c>
      <c r="I47" s="13">
        <f t="shared" si="7"/>
        <v>1480.2252000000001</v>
      </c>
      <c r="J47" s="23"/>
      <c r="L47" s="19"/>
      <c r="M47" s="20"/>
      <c r="N47" s="21"/>
    </row>
    <row r="48" spans="1:14" ht="30" hidden="1" customHeight="1">
      <c r="A48" s="29">
        <v>16</v>
      </c>
      <c r="B48" s="34" t="s">
        <v>33</v>
      </c>
      <c r="C48" s="44" t="s">
        <v>34</v>
      </c>
      <c r="D48" s="34" t="s">
        <v>42</v>
      </c>
      <c r="E48" s="121">
        <v>120.5</v>
      </c>
      <c r="F48" s="33">
        <f>SUM(E48*2/100)</f>
        <v>2.41</v>
      </c>
      <c r="G48" s="36">
        <v>95.49</v>
      </c>
      <c r="H48" s="119">
        <f t="shared" si="6"/>
        <v>0.2301309</v>
      </c>
      <c r="I48" s="13">
        <f t="shared" si="7"/>
        <v>115.06545</v>
      </c>
      <c r="J48" s="23"/>
      <c r="L48" s="19"/>
      <c r="M48" s="20"/>
      <c r="N48" s="21"/>
    </row>
    <row r="49" spans="1:14" ht="32.25" hidden="1" customHeight="1">
      <c r="A49" s="29">
        <v>17</v>
      </c>
      <c r="B49" s="34" t="s">
        <v>56</v>
      </c>
      <c r="C49" s="44" t="s">
        <v>104</v>
      </c>
      <c r="D49" s="34" t="s">
        <v>132</v>
      </c>
      <c r="E49" s="121">
        <v>3053.4</v>
      </c>
      <c r="F49" s="33">
        <f>SUM(E49*5/1000)</f>
        <v>15.266999999999999</v>
      </c>
      <c r="G49" s="36">
        <v>1591.6</v>
      </c>
      <c r="H49" s="119">
        <f t="shared" si="6"/>
        <v>24.298957199999997</v>
      </c>
      <c r="I49" s="13">
        <f>F49/5*G49</f>
        <v>4859.79144</v>
      </c>
      <c r="J49" s="23"/>
      <c r="L49" s="19"/>
      <c r="M49" s="20"/>
      <c r="N49" s="21"/>
    </row>
    <row r="50" spans="1:14" ht="33" hidden="1" customHeight="1">
      <c r="A50" s="29">
        <v>10</v>
      </c>
      <c r="B50" s="34" t="s">
        <v>108</v>
      </c>
      <c r="C50" s="44" t="s">
        <v>104</v>
      </c>
      <c r="D50" s="34" t="s">
        <v>42</v>
      </c>
      <c r="E50" s="121">
        <f>E49</f>
        <v>3053.4</v>
      </c>
      <c r="F50" s="33">
        <f>SUM(E50*2/1000)</f>
        <v>6.1067999999999998</v>
      </c>
      <c r="G50" s="36">
        <v>1591.6</v>
      </c>
      <c r="H50" s="119">
        <f t="shared" si="6"/>
        <v>9.7195828800000008</v>
      </c>
      <c r="I50" s="13">
        <f t="shared" si="7"/>
        <v>4859.79144</v>
      </c>
      <c r="J50" s="23"/>
      <c r="L50" s="19"/>
      <c r="M50" s="20"/>
      <c r="N50" s="21"/>
    </row>
    <row r="51" spans="1:14" ht="32.25" hidden="1" customHeight="1">
      <c r="A51" s="29">
        <v>11</v>
      </c>
      <c r="B51" s="34" t="s">
        <v>124</v>
      </c>
      <c r="C51" s="44" t="s">
        <v>38</v>
      </c>
      <c r="D51" s="34" t="s">
        <v>42</v>
      </c>
      <c r="E51" s="121">
        <v>20</v>
      </c>
      <c r="F51" s="33">
        <f>SUM(E51*2/100)</f>
        <v>0.4</v>
      </c>
      <c r="G51" s="36">
        <v>3581.13</v>
      </c>
      <c r="H51" s="119">
        <f t="shared" si="6"/>
        <v>1.4324520000000003</v>
      </c>
      <c r="I51" s="13">
        <f t="shared" si="7"/>
        <v>716.22600000000011</v>
      </c>
      <c r="J51" s="23"/>
      <c r="L51" s="19"/>
      <c r="M51" s="20"/>
      <c r="N51" s="21"/>
    </row>
    <row r="52" spans="1:14" ht="16.5" hidden="1" customHeight="1">
      <c r="A52" s="29">
        <v>12</v>
      </c>
      <c r="B52" s="34" t="s">
        <v>39</v>
      </c>
      <c r="C52" s="44" t="s">
        <v>40</v>
      </c>
      <c r="D52" s="34" t="s">
        <v>42</v>
      </c>
      <c r="E52" s="121">
        <v>1</v>
      </c>
      <c r="F52" s="33">
        <v>0.02</v>
      </c>
      <c r="G52" s="36">
        <v>7412.92</v>
      </c>
      <c r="H52" s="119">
        <f t="shared" si="6"/>
        <v>0.14825839999999998</v>
      </c>
      <c r="I52" s="13">
        <f t="shared" si="7"/>
        <v>74.129199999999997</v>
      </c>
      <c r="J52" s="23"/>
      <c r="L52" s="19"/>
      <c r="M52" s="20"/>
      <c r="N52" s="21"/>
    </row>
    <row r="53" spans="1:14" ht="28.5" hidden="1" customHeight="1">
      <c r="A53" s="29">
        <v>18</v>
      </c>
      <c r="B53" s="34" t="s">
        <v>41</v>
      </c>
      <c r="C53" s="44" t="s">
        <v>89</v>
      </c>
      <c r="D53" s="34" t="s">
        <v>71</v>
      </c>
      <c r="E53" s="121">
        <v>128</v>
      </c>
      <c r="F53" s="33">
        <f>SUM(E53)*3</f>
        <v>384</v>
      </c>
      <c r="G53" s="37">
        <v>86.15</v>
      </c>
      <c r="H53" s="119">
        <f t="shared" si="6"/>
        <v>33.081600000000009</v>
      </c>
      <c r="I53" s="13">
        <f>E53*G53</f>
        <v>11027.2</v>
      </c>
      <c r="J53" s="23"/>
      <c r="L53" s="19"/>
      <c r="M53" s="20"/>
      <c r="N53" s="21"/>
    </row>
    <row r="54" spans="1:14" ht="15.75" customHeight="1">
      <c r="A54" s="204" t="s">
        <v>134</v>
      </c>
      <c r="B54" s="205"/>
      <c r="C54" s="205"/>
      <c r="D54" s="205"/>
      <c r="E54" s="205"/>
      <c r="F54" s="205"/>
      <c r="G54" s="205"/>
      <c r="H54" s="205"/>
      <c r="I54" s="206"/>
      <c r="J54" s="23"/>
      <c r="L54" s="19"/>
      <c r="M54" s="20"/>
      <c r="N54" s="21"/>
    </row>
    <row r="55" spans="1:14" ht="15.75" hidden="1" customHeight="1">
      <c r="A55" s="29"/>
      <c r="B55" s="93" t="s">
        <v>43</v>
      </c>
      <c r="C55" s="72"/>
      <c r="D55" s="71"/>
      <c r="E55" s="73"/>
      <c r="F55" s="74"/>
      <c r="G55" s="74"/>
      <c r="H55" s="78"/>
      <c r="I55" s="79"/>
      <c r="J55" s="23"/>
      <c r="L55" s="19"/>
      <c r="M55" s="20"/>
      <c r="N55" s="21"/>
    </row>
    <row r="56" spans="1:14" ht="31.5" hidden="1" customHeight="1">
      <c r="A56" s="29">
        <v>17</v>
      </c>
      <c r="B56" s="71" t="s">
        <v>109</v>
      </c>
      <c r="C56" s="72" t="s">
        <v>93</v>
      </c>
      <c r="D56" s="71" t="s">
        <v>110</v>
      </c>
      <c r="E56" s="73">
        <v>92.7</v>
      </c>
      <c r="F56" s="74">
        <f>SUM(E56*6/100)</f>
        <v>5.5620000000000003</v>
      </c>
      <c r="G56" s="13">
        <v>2431.1799999999998</v>
      </c>
      <c r="H56" s="78">
        <f>SUM(F56*G56/1000)</f>
        <v>13.522223159999999</v>
      </c>
      <c r="I56" s="13">
        <f>F56/6*G56</f>
        <v>2253.7038600000001</v>
      </c>
      <c r="J56" s="23"/>
      <c r="L56" s="19"/>
      <c r="M56" s="20"/>
      <c r="N56" s="21"/>
    </row>
    <row r="57" spans="1:14" ht="15.75" hidden="1" customHeight="1">
      <c r="A57" s="29">
        <v>19</v>
      </c>
      <c r="B57" s="71" t="s">
        <v>125</v>
      </c>
      <c r="C57" s="72" t="s">
        <v>126</v>
      </c>
      <c r="D57" s="14" t="s">
        <v>66</v>
      </c>
      <c r="E57" s="73"/>
      <c r="F57" s="74">
        <v>2</v>
      </c>
      <c r="G57" s="67">
        <v>1582.05</v>
      </c>
      <c r="H57" s="78">
        <f>SUM(F57*G57/1000)</f>
        <v>3.1640999999999999</v>
      </c>
      <c r="I57" s="13">
        <f>G57*2</f>
        <v>3164.1</v>
      </c>
      <c r="J57" s="23"/>
      <c r="L57" s="19"/>
      <c r="M57" s="20"/>
      <c r="N57" s="21"/>
    </row>
    <row r="58" spans="1:14" ht="15.75" customHeight="1">
      <c r="A58" s="29"/>
      <c r="B58" s="93" t="s">
        <v>44</v>
      </c>
      <c r="C58" s="72"/>
      <c r="D58" s="71"/>
      <c r="E58" s="73"/>
      <c r="F58" s="74"/>
      <c r="G58" s="74"/>
      <c r="H58" s="75" t="s">
        <v>123</v>
      </c>
      <c r="I58" s="79"/>
      <c r="J58" s="23"/>
      <c r="L58" s="19"/>
      <c r="M58" s="20"/>
      <c r="N58" s="21"/>
    </row>
    <row r="59" spans="1:14" ht="15.75" hidden="1" customHeight="1">
      <c r="A59" s="29"/>
      <c r="B59" s="34" t="s">
        <v>45</v>
      </c>
      <c r="C59" s="44" t="s">
        <v>93</v>
      </c>
      <c r="D59" s="34" t="s">
        <v>54</v>
      </c>
      <c r="E59" s="123">
        <v>145</v>
      </c>
      <c r="F59" s="33">
        <f>SUM(E59/100)</f>
        <v>1.45</v>
      </c>
      <c r="G59" s="36">
        <v>1040.8399999999999</v>
      </c>
      <c r="H59" s="124">
        <v>9.1679999999999993</v>
      </c>
      <c r="I59" s="13">
        <v>0</v>
      </c>
      <c r="J59" s="23"/>
      <c r="L59" s="19"/>
      <c r="M59" s="20"/>
      <c r="N59" s="21"/>
    </row>
    <row r="60" spans="1:14" ht="15.75" customHeight="1">
      <c r="A60" s="29">
        <v>8</v>
      </c>
      <c r="B60" s="125" t="s">
        <v>90</v>
      </c>
      <c r="C60" s="126" t="s">
        <v>25</v>
      </c>
      <c r="D60" s="125" t="s">
        <v>206</v>
      </c>
      <c r="E60" s="123">
        <v>255.2</v>
      </c>
      <c r="F60" s="33">
        <v>2400</v>
      </c>
      <c r="G60" s="127">
        <v>1.4</v>
      </c>
      <c r="H60" s="128">
        <f>G60*F60/1000</f>
        <v>3.36</v>
      </c>
      <c r="I60" s="13">
        <f>F60/12*G60</f>
        <v>280</v>
      </c>
      <c r="J60" s="23"/>
      <c r="L60" s="19"/>
      <c r="M60" s="20"/>
      <c r="N60" s="21"/>
    </row>
    <row r="61" spans="1:14" ht="15.75" customHeight="1">
      <c r="A61" s="29"/>
      <c r="B61" s="102" t="s">
        <v>46</v>
      </c>
      <c r="C61" s="84"/>
      <c r="D61" s="83"/>
      <c r="E61" s="81"/>
      <c r="F61" s="85"/>
      <c r="G61" s="85"/>
      <c r="H61" s="86" t="s">
        <v>123</v>
      </c>
      <c r="I61" s="79"/>
      <c r="J61" s="23"/>
      <c r="L61" s="19"/>
      <c r="M61" s="20"/>
      <c r="N61" s="21"/>
    </row>
    <row r="62" spans="1:14" ht="15.75" customHeight="1">
      <c r="A62" s="29">
        <v>9</v>
      </c>
      <c r="B62" s="56" t="s">
        <v>47</v>
      </c>
      <c r="C62" s="40" t="s">
        <v>89</v>
      </c>
      <c r="D62" s="39" t="s">
        <v>202</v>
      </c>
      <c r="E62" s="17">
        <v>6</v>
      </c>
      <c r="F62" s="33">
        <f>SUM(E62)</f>
        <v>6</v>
      </c>
      <c r="G62" s="36">
        <v>291.68</v>
      </c>
      <c r="H62" s="114">
        <f t="shared" ref="H62:H70" si="8">SUM(F62*G62/1000)</f>
        <v>1.7500799999999999</v>
      </c>
      <c r="I62" s="13">
        <f>G62*2</f>
        <v>583.36</v>
      </c>
      <c r="J62" s="23"/>
      <c r="L62" s="19"/>
    </row>
    <row r="63" spans="1:14" ht="15.75" hidden="1" customHeight="1">
      <c r="A63" s="29"/>
      <c r="B63" s="56" t="s">
        <v>48</v>
      </c>
      <c r="C63" s="40" t="s">
        <v>89</v>
      </c>
      <c r="D63" s="39" t="s">
        <v>66</v>
      </c>
      <c r="E63" s="17">
        <v>4</v>
      </c>
      <c r="F63" s="33">
        <f>SUM(E63)</f>
        <v>4</v>
      </c>
      <c r="G63" s="36">
        <v>100.01</v>
      </c>
      <c r="H63" s="114">
        <f t="shared" si="8"/>
        <v>0.40004000000000001</v>
      </c>
      <c r="I63" s="13">
        <v>0</v>
      </c>
      <c r="J63" s="23"/>
      <c r="L63" s="19"/>
    </row>
    <row r="64" spans="1:14" ht="15.75" hidden="1" customHeight="1">
      <c r="A64" s="29"/>
      <c r="B64" s="56" t="s">
        <v>49</v>
      </c>
      <c r="C64" s="42" t="s">
        <v>111</v>
      </c>
      <c r="D64" s="39" t="s">
        <v>54</v>
      </c>
      <c r="E64" s="121">
        <v>15552</v>
      </c>
      <c r="F64" s="37">
        <f>SUM(E64/100)</f>
        <v>155.52000000000001</v>
      </c>
      <c r="G64" s="36">
        <v>278.24</v>
      </c>
      <c r="H64" s="114">
        <f t="shared" si="8"/>
        <v>43.271884800000009</v>
      </c>
      <c r="I64" s="13">
        <v>0</v>
      </c>
    </row>
    <row r="65" spans="1:22" ht="15.75" hidden="1" customHeight="1">
      <c r="A65" s="29"/>
      <c r="B65" s="56" t="s">
        <v>50</v>
      </c>
      <c r="C65" s="40" t="s">
        <v>112</v>
      </c>
      <c r="D65" s="39"/>
      <c r="E65" s="121">
        <v>15552</v>
      </c>
      <c r="F65" s="36">
        <f>SUM(E65/1000)</f>
        <v>15.552</v>
      </c>
      <c r="G65" s="36">
        <v>216.68</v>
      </c>
      <c r="H65" s="114">
        <f t="shared" si="8"/>
        <v>3.3698073600000003</v>
      </c>
      <c r="I65" s="13">
        <v>0</v>
      </c>
    </row>
    <row r="66" spans="1:22" ht="15.75" hidden="1" customHeight="1">
      <c r="A66" s="29"/>
      <c r="B66" s="56" t="s">
        <v>51</v>
      </c>
      <c r="C66" s="40" t="s">
        <v>78</v>
      </c>
      <c r="D66" s="39" t="s">
        <v>54</v>
      </c>
      <c r="E66" s="121">
        <v>2432</v>
      </c>
      <c r="F66" s="36">
        <f>SUM(E66/100)</f>
        <v>24.32</v>
      </c>
      <c r="G66" s="36">
        <v>2720.94</v>
      </c>
      <c r="H66" s="114">
        <f t="shared" si="8"/>
        <v>66.173260800000008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/>
      <c r="B67" s="53" t="s">
        <v>72</v>
      </c>
      <c r="C67" s="40" t="s">
        <v>32</v>
      </c>
      <c r="D67" s="39"/>
      <c r="E67" s="121">
        <v>14.8</v>
      </c>
      <c r="F67" s="36">
        <f>SUM(E67)</f>
        <v>14.8</v>
      </c>
      <c r="G67" s="36">
        <v>42.61</v>
      </c>
      <c r="H67" s="114">
        <f t="shared" si="8"/>
        <v>0.63062800000000008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31.5" hidden="1" customHeight="1">
      <c r="A68" s="29"/>
      <c r="B68" s="53" t="s">
        <v>73</v>
      </c>
      <c r="C68" s="40" t="s">
        <v>32</v>
      </c>
      <c r="D68" s="39"/>
      <c r="E68" s="121">
        <f>E67</f>
        <v>14.8</v>
      </c>
      <c r="F68" s="36">
        <f>SUM(E68)</f>
        <v>14.8</v>
      </c>
      <c r="G68" s="36">
        <v>46.04</v>
      </c>
      <c r="H68" s="114">
        <f t="shared" si="8"/>
        <v>0.681392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>
        <v>22</v>
      </c>
      <c r="B69" s="39" t="s">
        <v>57</v>
      </c>
      <c r="C69" s="40" t="s">
        <v>58</v>
      </c>
      <c r="D69" s="39" t="s">
        <v>54</v>
      </c>
      <c r="E69" s="17">
        <v>5</v>
      </c>
      <c r="F69" s="33">
        <f>SUM(E69)</f>
        <v>5</v>
      </c>
      <c r="G69" s="36">
        <v>65.42</v>
      </c>
      <c r="H69" s="114">
        <f t="shared" si="8"/>
        <v>0.3271</v>
      </c>
      <c r="I69" s="13">
        <f>G69*4</f>
        <v>261.68</v>
      </c>
      <c r="J69" s="5"/>
      <c r="K69" s="5"/>
      <c r="L69" s="5"/>
      <c r="M69" s="5"/>
      <c r="N69" s="5"/>
      <c r="O69" s="5"/>
      <c r="P69" s="5"/>
      <c r="Q69" s="5"/>
      <c r="R69" s="182"/>
      <c r="S69" s="182"/>
      <c r="T69" s="182"/>
      <c r="U69" s="182"/>
    </row>
    <row r="70" spans="1:22" ht="15.75" customHeight="1">
      <c r="A70" s="29">
        <v>10</v>
      </c>
      <c r="B70" s="39" t="s">
        <v>148</v>
      </c>
      <c r="C70" s="45" t="s">
        <v>149</v>
      </c>
      <c r="D70" s="39"/>
      <c r="E70" s="17">
        <f>E49</f>
        <v>3053.4</v>
      </c>
      <c r="F70" s="33">
        <f>SUM(E70*12)</f>
        <v>36640.800000000003</v>
      </c>
      <c r="G70" s="36">
        <v>2.2799999999999998</v>
      </c>
      <c r="H70" s="114">
        <f t="shared" si="8"/>
        <v>83.541024000000007</v>
      </c>
      <c r="I70" s="13">
        <f>F70/12*G70</f>
        <v>6961.7519999999995</v>
      </c>
      <c r="J70" s="5"/>
      <c r="K70" s="5"/>
      <c r="L70" s="5"/>
      <c r="M70" s="5"/>
      <c r="N70" s="5"/>
      <c r="O70" s="5"/>
      <c r="P70" s="5"/>
      <c r="Q70" s="5"/>
      <c r="R70" s="60"/>
      <c r="S70" s="60"/>
      <c r="T70" s="60"/>
      <c r="U70" s="60"/>
    </row>
    <row r="71" spans="1:22" ht="15.75" customHeight="1">
      <c r="A71" s="29"/>
      <c r="B71" s="66" t="s">
        <v>74</v>
      </c>
      <c r="C71" s="16"/>
      <c r="D71" s="14"/>
      <c r="E71" s="18"/>
      <c r="F71" s="13"/>
      <c r="G71" s="13"/>
      <c r="H71" s="87" t="s">
        <v>123</v>
      </c>
      <c r="I71" s="79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29">
        <v>19</v>
      </c>
      <c r="B72" s="39" t="s">
        <v>150</v>
      </c>
      <c r="C72" s="40" t="s">
        <v>151</v>
      </c>
      <c r="D72" s="39" t="s">
        <v>66</v>
      </c>
      <c r="E72" s="17">
        <v>1</v>
      </c>
      <c r="F72" s="36">
        <f>E72</f>
        <v>1</v>
      </c>
      <c r="G72" s="36">
        <v>1029.1199999999999</v>
      </c>
      <c r="H72" s="113">
        <f t="shared" ref="H72:H73" si="9">SUM(F72*G72/1000)</f>
        <v>1.0291199999999998</v>
      </c>
      <c r="I72" s="13">
        <v>0</v>
      </c>
    </row>
    <row r="73" spans="1:22" ht="15.75" hidden="1" customHeight="1">
      <c r="A73" s="29"/>
      <c r="B73" s="39" t="s">
        <v>152</v>
      </c>
      <c r="C73" s="40" t="s">
        <v>153</v>
      </c>
      <c r="D73" s="129"/>
      <c r="E73" s="17">
        <v>1</v>
      </c>
      <c r="F73" s="36">
        <v>1</v>
      </c>
      <c r="G73" s="36">
        <v>735</v>
      </c>
      <c r="H73" s="113">
        <f t="shared" si="9"/>
        <v>0.73499999999999999</v>
      </c>
      <c r="I73" s="13">
        <v>0</v>
      </c>
    </row>
    <row r="74" spans="1:22" ht="15" customHeight="1">
      <c r="A74" s="29">
        <v>11</v>
      </c>
      <c r="B74" s="39" t="s">
        <v>75</v>
      </c>
      <c r="C74" s="40" t="s">
        <v>76</v>
      </c>
      <c r="D74" s="39" t="s">
        <v>233</v>
      </c>
      <c r="E74" s="17">
        <v>5</v>
      </c>
      <c r="F74" s="33">
        <f>SUM(E74/10)</f>
        <v>0.5</v>
      </c>
      <c r="G74" s="36">
        <v>657.87</v>
      </c>
      <c r="H74" s="113">
        <f>SUM(F74*G74/1000)</f>
        <v>0.32893499999999998</v>
      </c>
      <c r="I74" s="13">
        <f>G74*0.2</f>
        <v>131.57400000000001</v>
      </c>
    </row>
    <row r="75" spans="1:22" ht="17.25" hidden="1" customHeight="1">
      <c r="A75" s="29"/>
      <c r="B75" s="39" t="s">
        <v>121</v>
      </c>
      <c r="C75" s="40" t="s">
        <v>89</v>
      </c>
      <c r="D75" s="39" t="s">
        <v>66</v>
      </c>
      <c r="E75" s="17">
        <v>1</v>
      </c>
      <c r="F75" s="36">
        <f>E75</f>
        <v>1</v>
      </c>
      <c r="G75" s="36">
        <v>1118.72</v>
      </c>
      <c r="H75" s="113">
        <f>SUM(F75*G75/1000)</f>
        <v>1.1187199999999999</v>
      </c>
      <c r="I75" s="13">
        <v>0</v>
      </c>
    </row>
    <row r="76" spans="1:22" ht="15.75" customHeight="1">
      <c r="A76" s="29">
        <v>12</v>
      </c>
      <c r="B76" s="115" t="s">
        <v>154</v>
      </c>
      <c r="C76" s="116" t="s">
        <v>89</v>
      </c>
      <c r="D76" s="39"/>
      <c r="E76" s="17">
        <v>2</v>
      </c>
      <c r="F76" s="33">
        <f>E76*12</f>
        <v>24</v>
      </c>
      <c r="G76" s="36">
        <v>53.42</v>
      </c>
      <c r="H76" s="113">
        <f t="shared" ref="H76:H77" si="10">SUM(F76*G76/1000)</f>
        <v>1.2820799999999999</v>
      </c>
      <c r="I76" s="13">
        <f>G76*2</f>
        <v>106.84</v>
      </c>
    </row>
    <row r="77" spans="1:22" ht="31.5" customHeight="1">
      <c r="A77" s="29">
        <v>13</v>
      </c>
      <c r="B77" s="115" t="s">
        <v>155</v>
      </c>
      <c r="C77" s="116" t="s">
        <v>89</v>
      </c>
      <c r="D77" s="39" t="s">
        <v>206</v>
      </c>
      <c r="E77" s="17">
        <v>1</v>
      </c>
      <c r="F77" s="33">
        <f>E77*12</f>
        <v>12</v>
      </c>
      <c r="G77" s="36">
        <v>1194</v>
      </c>
      <c r="H77" s="113">
        <f t="shared" si="10"/>
        <v>14.327999999999999</v>
      </c>
      <c r="I77" s="13">
        <f>G77</f>
        <v>1194</v>
      </c>
    </row>
    <row r="78" spans="1:22" ht="15.75" hidden="1" customHeight="1">
      <c r="A78" s="29"/>
      <c r="B78" s="90" t="s">
        <v>77</v>
      </c>
      <c r="C78" s="16"/>
      <c r="D78" s="14"/>
      <c r="E78" s="18"/>
      <c r="F78" s="18"/>
      <c r="G78" s="18"/>
      <c r="H78" s="18"/>
      <c r="I78" s="79"/>
    </row>
    <row r="79" spans="1:22" ht="15.75" hidden="1" customHeight="1">
      <c r="A79" s="29"/>
      <c r="B79" s="41" t="s">
        <v>115</v>
      </c>
      <c r="C79" s="42" t="s">
        <v>78</v>
      </c>
      <c r="D79" s="56"/>
      <c r="E79" s="59"/>
      <c r="F79" s="37">
        <v>0.3</v>
      </c>
      <c r="G79" s="37">
        <v>3619.09</v>
      </c>
      <c r="H79" s="114">
        <f t="shared" ref="H79" si="11">SUM(F79*G79/1000)</f>
        <v>1.0857270000000001</v>
      </c>
      <c r="I79" s="13">
        <v>0</v>
      </c>
    </row>
    <row r="80" spans="1:22" ht="15.75" hidden="1" customHeight="1">
      <c r="A80" s="29"/>
      <c r="B80" s="66" t="s">
        <v>113</v>
      </c>
      <c r="C80" s="90"/>
      <c r="D80" s="31"/>
      <c r="E80" s="32"/>
      <c r="F80" s="91"/>
      <c r="G80" s="91"/>
      <c r="H80" s="92">
        <f>SUM(H56:H79)</f>
        <v>249.26712212000004</v>
      </c>
      <c r="I80" s="77"/>
    </row>
    <row r="81" spans="1:9" ht="15.75" hidden="1" customHeight="1">
      <c r="A81" s="94"/>
      <c r="B81" s="34" t="s">
        <v>114</v>
      </c>
      <c r="C81" s="130"/>
      <c r="D81" s="131"/>
      <c r="E81" s="132"/>
      <c r="F81" s="38">
        <f>232/10</f>
        <v>23.2</v>
      </c>
      <c r="G81" s="38">
        <v>12361.2</v>
      </c>
      <c r="H81" s="114">
        <f>G81*F81/1000</f>
        <v>286.77984000000004</v>
      </c>
      <c r="I81" s="95">
        <v>0</v>
      </c>
    </row>
    <row r="82" spans="1:9" ht="15.75" customHeight="1">
      <c r="A82" s="194" t="s">
        <v>135</v>
      </c>
      <c r="B82" s="195"/>
      <c r="C82" s="195"/>
      <c r="D82" s="195"/>
      <c r="E82" s="195"/>
      <c r="F82" s="195"/>
      <c r="G82" s="195"/>
      <c r="H82" s="195"/>
      <c r="I82" s="196"/>
    </row>
    <row r="83" spans="1:9" ht="15.75" customHeight="1">
      <c r="A83" s="96">
        <v>14</v>
      </c>
      <c r="B83" s="34" t="s">
        <v>116</v>
      </c>
      <c r="C83" s="40" t="s">
        <v>55</v>
      </c>
      <c r="D83" s="103"/>
      <c r="E83" s="36">
        <v>3053.4</v>
      </c>
      <c r="F83" s="36">
        <f>SUM(E83*12)</f>
        <v>36640.800000000003</v>
      </c>
      <c r="G83" s="36">
        <v>3.1</v>
      </c>
      <c r="H83" s="114">
        <f>SUM(F83*G83/1000)</f>
        <v>113.58648000000001</v>
      </c>
      <c r="I83" s="101">
        <f>F83/12*G83</f>
        <v>9465.5400000000009</v>
      </c>
    </row>
    <row r="84" spans="1:9" ht="31.5" customHeight="1">
      <c r="A84" s="29">
        <v>15</v>
      </c>
      <c r="B84" s="39" t="s">
        <v>79</v>
      </c>
      <c r="C84" s="40"/>
      <c r="D84" s="103"/>
      <c r="E84" s="121">
        <v>3053.4</v>
      </c>
      <c r="F84" s="36">
        <f>E84*12</f>
        <v>36640.800000000003</v>
      </c>
      <c r="G84" s="36">
        <v>3.5</v>
      </c>
      <c r="H84" s="114">
        <f>F84*G84/1000</f>
        <v>128.24280000000002</v>
      </c>
      <c r="I84" s="13">
        <f>F84/12*G84</f>
        <v>10686.9</v>
      </c>
    </row>
    <row r="85" spans="1:9" ht="15.75" customHeight="1">
      <c r="A85" s="29"/>
      <c r="B85" s="43" t="s">
        <v>81</v>
      </c>
      <c r="C85" s="90"/>
      <c r="D85" s="88"/>
      <c r="E85" s="91"/>
      <c r="F85" s="91"/>
      <c r="G85" s="91"/>
      <c r="H85" s="92">
        <f>SUM(H84)</f>
        <v>128.24280000000002</v>
      </c>
      <c r="I85" s="91">
        <f>I84+I83+I77+I76+I74+I70+I62+I60+I32+I30+I29+I26+I18+I17+I16</f>
        <v>45590.564125666671</v>
      </c>
    </row>
    <row r="86" spans="1:9" ht="15.75" customHeight="1">
      <c r="A86" s="183" t="s">
        <v>60</v>
      </c>
      <c r="B86" s="184"/>
      <c r="C86" s="184"/>
      <c r="D86" s="184"/>
      <c r="E86" s="184"/>
      <c r="F86" s="184"/>
      <c r="G86" s="184"/>
      <c r="H86" s="184"/>
      <c r="I86" s="185"/>
    </row>
    <row r="87" spans="1:9" ht="32.25" customHeight="1">
      <c r="A87" s="29">
        <v>16</v>
      </c>
      <c r="B87" s="115" t="s">
        <v>234</v>
      </c>
      <c r="C87" s="116" t="s">
        <v>171</v>
      </c>
      <c r="D87" s="52"/>
      <c r="E87" s="36"/>
      <c r="F87" s="36">
        <v>128</v>
      </c>
      <c r="G87" s="13">
        <v>26095.37</v>
      </c>
      <c r="H87" s="114">
        <f t="shared" ref="H87" si="12">F87*G87/1000</f>
        <v>3340.2073599999999</v>
      </c>
      <c r="I87" s="13">
        <f>G87*0.01</f>
        <v>260.95369999999997</v>
      </c>
    </row>
    <row r="88" spans="1:9" ht="30.75" customHeight="1">
      <c r="A88" s="29">
        <v>17</v>
      </c>
      <c r="B88" s="115" t="s">
        <v>87</v>
      </c>
      <c r="C88" s="116" t="s">
        <v>97</v>
      </c>
      <c r="D88" s="52" t="s">
        <v>236</v>
      </c>
      <c r="E88" s="36"/>
      <c r="F88" s="36"/>
      <c r="G88" s="13">
        <v>644.72</v>
      </c>
      <c r="H88" s="114"/>
      <c r="I88" s="13">
        <f>G88*1</f>
        <v>644.72</v>
      </c>
    </row>
    <row r="89" spans="1:9" ht="15.75" customHeight="1">
      <c r="A89" s="29">
        <v>18</v>
      </c>
      <c r="B89" s="115" t="s">
        <v>197</v>
      </c>
      <c r="C89" s="116" t="s">
        <v>172</v>
      </c>
      <c r="D89" s="52" t="s">
        <v>235</v>
      </c>
      <c r="E89" s="36"/>
      <c r="F89" s="36"/>
      <c r="G89" s="13">
        <v>214.07</v>
      </c>
      <c r="H89" s="114"/>
      <c r="I89" s="13">
        <f>G89*1</f>
        <v>214.07</v>
      </c>
    </row>
    <row r="90" spans="1:9" ht="15.75" customHeight="1">
      <c r="A90" s="29">
        <v>19</v>
      </c>
      <c r="B90" s="179" t="s">
        <v>239</v>
      </c>
      <c r="C90" s="45" t="s">
        <v>101</v>
      </c>
      <c r="D90" s="52" t="s">
        <v>240</v>
      </c>
      <c r="E90" s="36"/>
      <c r="F90" s="36"/>
      <c r="G90" s="177">
        <v>2494.86</v>
      </c>
      <c r="H90" s="114"/>
      <c r="I90" s="13">
        <f>G90*0.06</f>
        <v>149.69159999999999</v>
      </c>
    </row>
    <row r="91" spans="1:9" ht="31.5" customHeight="1">
      <c r="A91" s="29">
        <v>20</v>
      </c>
      <c r="B91" s="115" t="s">
        <v>173</v>
      </c>
      <c r="C91" s="116" t="s">
        <v>29</v>
      </c>
      <c r="D91" s="52"/>
      <c r="E91" s="36"/>
      <c r="F91" s="36"/>
      <c r="G91" s="177">
        <v>19757.060000000001</v>
      </c>
      <c r="H91" s="114"/>
      <c r="I91" s="13">
        <f>G91*0.599*4/1000</f>
        <v>47.337915760000001</v>
      </c>
    </row>
    <row r="92" spans="1:9" ht="15.75" customHeight="1">
      <c r="A92" s="29"/>
      <c r="B92" s="50" t="s">
        <v>52</v>
      </c>
      <c r="C92" s="46"/>
      <c r="D92" s="54"/>
      <c r="E92" s="46">
        <v>1</v>
      </c>
      <c r="F92" s="46"/>
      <c r="G92" s="46"/>
      <c r="H92" s="46"/>
      <c r="I92" s="32">
        <f>SUM(I87:I91)</f>
        <v>1316.7732157600001</v>
      </c>
    </row>
    <row r="93" spans="1:9" ht="15.75" customHeight="1">
      <c r="A93" s="29"/>
      <c r="B93" s="52" t="s">
        <v>80</v>
      </c>
      <c r="C93" s="15"/>
      <c r="D93" s="15"/>
      <c r="E93" s="47"/>
      <c r="F93" s="47"/>
      <c r="G93" s="48"/>
      <c r="H93" s="48"/>
      <c r="I93" s="17">
        <v>0</v>
      </c>
    </row>
    <row r="94" spans="1:9" ht="15.75" customHeight="1">
      <c r="A94" s="55"/>
      <c r="B94" s="51" t="s">
        <v>141</v>
      </c>
      <c r="C94" s="35"/>
      <c r="D94" s="35"/>
      <c r="E94" s="35"/>
      <c r="F94" s="35"/>
      <c r="G94" s="35"/>
      <c r="H94" s="35"/>
      <c r="I94" s="49">
        <f>I85+I92</f>
        <v>46907.337341426668</v>
      </c>
    </row>
    <row r="95" spans="1:9" ht="15.75">
      <c r="A95" s="186" t="s">
        <v>241</v>
      </c>
      <c r="B95" s="186"/>
      <c r="C95" s="186"/>
      <c r="D95" s="186"/>
      <c r="E95" s="186"/>
      <c r="F95" s="186"/>
      <c r="G95" s="186"/>
      <c r="H95" s="186"/>
      <c r="I95" s="186"/>
    </row>
    <row r="96" spans="1:9" ht="15.75">
      <c r="A96" s="62"/>
      <c r="B96" s="187" t="s">
        <v>242</v>
      </c>
      <c r="C96" s="187"/>
      <c r="D96" s="187"/>
      <c r="E96" s="187"/>
      <c r="F96" s="187"/>
      <c r="G96" s="187"/>
      <c r="H96" s="70"/>
      <c r="I96" s="3"/>
    </row>
    <row r="97" spans="1:9">
      <c r="A97" s="60"/>
      <c r="B97" s="188" t="s">
        <v>6</v>
      </c>
      <c r="C97" s="188"/>
      <c r="D97" s="188"/>
      <c r="E97" s="188"/>
      <c r="F97" s="188"/>
      <c r="G97" s="188"/>
      <c r="H97" s="24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89" t="s">
        <v>7</v>
      </c>
      <c r="B99" s="189"/>
      <c r="C99" s="189"/>
      <c r="D99" s="189"/>
      <c r="E99" s="189"/>
      <c r="F99" s="189"/>
      <c r="G99" s="189"/>
      <c r="H99" s="189"/>
      <c r="I99" s="189"/>
    </row>
    <row r="100" spans="1:9" ht="15.75" customHeight="1">
      <c r="A100" s="189" t="s">
        <v>8</v>
      </c>
      <c r="B100" s="189"/>
      <c r="C100" s="189"/>
      <c r="D100" s="189"/>
      <c r="E100" s="189"/>
      <c r="F100" s="189"/>
      <c r="G100" s="189"/>
      <c r="H100" s="189"/>
      <c r="I100" s="189"/>
    </row>
    <row r="101" spans="1:9" ht="15.75" customHeight="1">
      <c r="A101" s="190" t="s">
        <v>61</v>
      </c>
      <c r="B101" s="190"/>
      <c r="C101" s="190"/>
      <c r="D101" s="190"/>
      <c r="E101" s="190"/>
      <c r="F101" s="190"/>
      <c r="G101" s="190"/>
      <c r="H101" s="190"/>
      <c r="I101" s="190"/>
    </row>
    <row r="102" spans="1:9" ht="15.75" customHeight="1">
      <c r="A102" s="11"/>
    </row>
    <row r="103" spans="1:9" ht="15.75" customHeight="1">
      <c r="A103" s="191" t="s">
        <v>9</v>
      </c>
      <c r="B103" s="191"/>
      <c r="C103" s="191"/>
      <c r="D103" s="191"/>
      <c r="E103" s="191"/>
      <c r="F103" s="191"/>
      <c r="G103" s="191"/>
      <c r="H103" s="191"/>
      <c r="I103" s="191"/>
    </row>
    <row r="104" spans="1:9" ht="15.75" customHeight="1">
      <c r="A104" s="4"/>
    </row>
    <row r="105" spans="1:9" ht="15.75" customHeight="1">
      <c r="B105" s="61" t="s">
        <v>10</v>
      </c>
      <c r="C105" s="192" t="s">
        <v>88</v>
      </c>
      <c r="D105" s="192"/>
      <c r="E105" s="192"/>
      <c r="F105" s="68"/>
      <c r="I105" s="64"/>
    </row>
    <row r="106" spans="1:9" ht="15.75" customHeight="1">
      <c r="A106" s="60"/>
      <c r="C106" s="188" t="s">
        <v>11</v>
      </c>
      <c r="D106" s="188"/>
      <c r="E106" s="188"/>
      <c r="F106" s="24"/>
      <c r="I106" s="63" t="s">
        <v>12</v>
      </c>
    </row>
    <row r="107" spans="1:9" ht="15.75" customHeight="1">
      <c r="A107" s="25"/>
      <c r="C107" s="12"/>
      <c r="D107" s="12"/>
      <c r="G107" s="12"/>
      <c r="H107" s="12"/>
    </row>
    <row r="108" spans="1:9" ht="15.75" customHeight="1">
      <c r="B108" s="61" t="s">
        <v>13</v>
      </c>
      <c r="C108" s="193"/>
      <c r="D108" s="193"/>
      <c r="E108" s="193"/>
      <c r="F108" s="69"/>
      <c r="I108" s="64"/>
    </row>
    <row r="109" spans="1:9" ht="15.75" customHeight="1">
      <c r="A109" s="60"/>
      <c r="C109" s="182" t="s">
        <v>11</v>
      </c>
      <c r="D109" s="182"/>
      <c r="E109" s="182"/>
      <c r="F109" s="60"/>
      <c r="I109" s="63" t="s">
        <v>12</v>
      </c>
    </row>
    <row r="110" spans="1:9" ht="15.75" customHeight="1">
      <c r="A110" s="4" t="s">
        <v>14</v>
      </c>
    </row>
    <row r="111" spans="1:9">
      <c r="A111" s="180" t="s">
        <v>15</v>
      </c>
      <c r="B111" s="180"/>
      <c r="C111" s="180"/>
      <c r="D111" s="180"/>
      <c r="E111" s="180"/>
      <c r="F111" s="180"/>
      <c r="G111" s="180"/>
      <c r="H111" s="180"/>
      <c r="I111" s="180"/>
    </row>
    <row r="112" spans="1:9" ht="45" customHeight="1">
      <c r="A112" s="181" t="s">
        <v>16</v>
      </c>
      <c r="B112" s="181"/>
      <c r="C112" s="181"/>
      <c r="D112" s="181"/>
      <c r="E112" s="181"/>
      <c r="F112" s="181"/>
      <c r="G112" s="181"/>
      <c r="H112" s="181"/>
      <c r="I112" s="181"/>
    </row>
    <row r="113" spans="1:9" ht="30" customHeight="1">
      <c r="A113" s="181" t="s">
        <v>17</v>
      </c>
      <c r="B113" s="181"/>
      <c r="C113" s="181"/>
      <c r="D113" s="181"/>
      <c r="E113" s="181"/>
      <c r="F113" s="181"/>
      <c r="G113" s="181"/>
      <c r="H113" s="181"/>
      <c r="I113" s="181"/>
    </row>
    <row r="114" spans="1:9" ht="30" customHeight="1">
      <c r="A114" s="181" t="s">
        <v>21</v>
      </c>
      <c r="B114" s="181"/>
      <c r="C114" s="181"/>
      <c r="D114" s="181"/>
      <c r="E114" s="181"/>
      <c r="F114" s="181"/>
      <c r="G114" s="181"/>
      <c r="H114" s="181"/>
      <c r="I114" s="181"/>
    </row>
    <row r="115" spans="1:9" ht="15" customHeight="1">
      <c r="A115" s="181" t="s">
        <v>20</v>
      </c>
      <c r="B115" s="181"/>
      <c r="C115" s="181"/>
      <c r="D115" s="181"/>
      <c r="E115" s="181"/>
      <c r="F115" s="181"/>
      <c r="G115" s="181"/>
      <c r="H115" s="181"/>
      <c r="I115" s="181"/>
    </row>
  </sheetData>
  <autoFilter ref="I12:I64"/>
  <mergeCells count="29">
    <mergeCell ref="A111:I111"/>
    <mergeCell ref="A112:I112"/>
    <mergeCell ref="A113:I113"/>
    <mergeCell ref="A114:I114"/>
    <mergeCell ref="A115:I115"/>
    <mergeCell ref="R69:U69"/>
    <mergeCell ref="C109:E109"/>
    <mergeCell ref="A86:I86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2:I82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0"/>
  <sheetViews>
    <sheetView view="pageBreakPreview" topLeftCell="A84" zoomScale="60" workbookViewId="0">
      <selection activeCell="B89" sqref="B89:I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20.5703125" customWidth="1"/>
    <col min="5" max="5" width="18.85546875" hidden="1" customWidth="1"/>
    <col min="6" max="6" width="14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168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7" t="s">
        <v>156</v>
      </c>
      <c r="B3" s="197"/>
      <c r="C3" s="197"/>
      <c r="D3" s="197"/>
      <c r="E3" s="197"/>
      <c r="F3" s="197"/>
      <c r="G3" s="197"/>
      <c r="H3" s="197"/>
      <c r="I3" s="197"/>
      <c r="J3" s="3"/>
      <c r="K3" s="3"/>
      <c r="L3" s="3"/>
    </row>
    <row r="4" spans="1:13" ht="31.5" customHeight="1">
      <c r="A4" s="198" t="s">
        <v>117</v>
      </c>
      <c r="B4" s="198"/>
      <c r="C4" s="198"/>
      <c r="D4" s="198"/>
      <c r="E4" s="198"/>
      <c r="F4" s="198"/>
      <c r="G4" s="198"/>
      <c r="H4" s="198"/>
      <c r="I4" s="198"/>
    </row>
    <row r="5" spans="1:13" ht="15.75" customHeight="1">
      <c r="A5" s="197" t="s">
        <v>243</v>
      </c>
      <c r="B5" s="199"/>
      <c r="C5" s="199"/>
      <c r="D5" s="199"/>
      <c r="E5" s="199"/>
      <c r="F5" s="199"/>
      <c r="G5" s="199"/>
      <c r="H5" s="199"/>
      <c r="I5" s="199"/>
      <c r="J5" s="2"/>
      <c r="K5" s="2"/>
      <c r="L5" s="2"/>
      <c r="M5" s="2"/>
    </row>
    <row r="6" spans="1:13" ht="15.75" customHeight="1">
      <c r="A6" s="2"/>
      <c r="B6" s="111"/>
      <c r="C6" s="111"/>
      <c r="D6" s="111"/>
      <c r="E6" s="111"/>
      <c r="F6" s="111"/>
      <c r="G6" s="111"/>
      <c r="H6" s="111"/>
      <c r="I6" s="30">
        <v>43799</v>
      </c>
      <c r="J6" s="2"/>
      <c r="K6" s="2"/>
      <c r="L6" s="2"/>
      <c r="M6" s="2"/>
    </row>
    <row r="7" spans="1:13" ht="15.75" customHeight="1">
      <c r="B7" s="110"/>
      <c r="C7" s="110"/>
      <c r="D7" s="11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0" t="s">
        <v>169</v>
      </c>
      <c r="B8" s="200"/>
      <c r="C8" s="200"/>
      <c r="D8" s="200"/>
      <c r="E8" s="200"/>
      <c r="F8" s="200"/>
      <c r="G8" s="200"/>
      <c r="H8" s="200"/>
      <c r="I8" s="20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1" t="s">
        <v>158</v>
      </c>
      <c r="B10" s="201"/>
      <c r="C10" s="201"/>
      <c r="D10" s="201"/>
      <c r="E10" s="201"/>
      <c r="F10" s="201"/>
      <c r="G10" s="201"/>
      <c r="H10" s="201"/>
      <c r="I10" s="201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2" t="s">
        <v>59</v>
      </c>
      <c r="B14" s="202"/>
      <c r="C14" s="202"/>
      <c r="D14" s="202"/>
      <c r="E14" s="202"/>
      <c r="F14" s="202"/>
      <c r="G14" s="202"/>
      <c r="H14" s="202"/>
      <c r="I14" s="202"/>
      <c r="J14" s="8"/>
      <c r="K14" s="8"/>
      <c r="L14" s="8"/>
      <c r="M14" s="8"/>
    </row>
    <row r="15" spans="1:13" ht="15.75" customHeight="1">
      <c r="A15" s="203" t="s">
        <v>4</v>
      </c>
      <c r="B15" s="203"/>
      <c r="C15" s="203"/>
      <c r="D15" s="203"/>
      <c r="E15" s="203"/>
      <c r="F15" s="203"/>
      <c r="G15" s="203"/>
      <c r="H15" s="203"/>
      <c r="I15" s="203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93</v>
      </c>
      <c r="D16" s="71" t="s">
        <v>199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93</v>
      </c>
      <c r="D17" s="71" t="s">
        <v>200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93</v>
      </c>
      <c r="D18" s="71" t="s">
        <v>201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100</v>
      </c>
      <c r="C19" s="72" t="s">
        <v>101</v>
      </c>
      <c r="D19" s="71" t="s">
        <v>102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92</v>
      </c>
      <c r="C20" s="72" t="s">
        <v>93</v>
      </c>
      <c r="D20" s="71" t="s">
        <v>142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98</v>
      </c>
      <c r="C21" s="72" t="s">
        <v>93</v>
      </c>
      <c r="D21" s="71" t="s">
        <v>142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94</v>
      </c>
      <c r="C22" s="72" t="s">
        <v>53</v>
      </c>
      <c r="D22" s="71" t="s">
        <v>102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95</v>
      </c>
      <c r="C23" s="72" t="s">
        <v>53</v>
      </c>
      <c r="D23" s="71" t="s">
        <v>102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96</v>
      </c>
      <c r="C24" s="72" t="s">
        <v>53</v>
      </c>
      <c r="D24" s="71" t="s">
        <v>102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99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198</v>
      </c>
      <c r="C26" s="44" t="s">
        <v>25</v>
      </c>
      <c r="D26" s="34" t="s">
        <v>201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  <c r="J26" s="23"/>
    </row>
    <row r="27" spans="1:13" ht="15.75" hidden="1" customHeight="1">
      <c r="A27" s="29">
        <v>5</v>
      </c>
      <c r="B27" s="120" t="s">
        <v>23</v>
      </c>
      <c r="C27" s="44" t="s">
        <v>24</v>
      </c>
      <c r="D27" s="34"/>
      <c r="E27" s="121">
        <v>3053.4</v>
      </c>
      <c r="F27" s="33">
        <f>SUM(E27*12)</f>
        <v>36640.800000000003</v>
      </c>
      <c r="G27" s="33">
        <v>4.09</v>
      </c>
      <c r="H27" s="119">
        <f t="shared" ref="H27" si="1">SUM(F27*G27/1000)</f>
        <v>149.860872</v>
      </c>
      <c r="I27" s="13">
        <f>F27/12*G27</f>
        <v>12488.405999999999</v>
      </c>
      <c r="J27" s="23"/>
    </row>
    <row r="28" spans="1:13" ht="15.75" customHeight="1">
      <c r="A28" s="203" t="s">
        <v>140</v>
      </c>
      <c r="B28" s="203"/>
      <c r="C28" s="203"/>
      <c r="D28" s="203"/>
      <c r="E28" s="203"/>
      <c r="F28" s="203"/>
      <c r="G28" s="203"/>
      <c r="H28" s="203"/>
      <c r="I28" s="203"/>
      <c r="J28" s="22"/>
      <c r="K28" s="8"/>
      <c r="L28" s="8"/>
      <c r="M28" s="8"/>
    </row>
    <row r="29" spans="1:13" ht="15.75" hidden="1" customHeight="1">
      <c r="A29" s="96"/>
      <c r="B29" s="104" t="s">
        <v>28</v>
      </c>
      <c r="C29" s="98"/>
      <c r="D29" s="97"/>
      <c r="E29" s="99"/>
      <c r="F29" s="100"/>
      <c r="G29" s="100"/>
      <c r="H29" s="105"/>
      <c r="I29" s="106"/>
      <c r="J29" s="22"/>
      <c r="K29" s="8"/>
      <c r="L29" s="8"/>
      <c r="M29" s="8"/>
    </row>
    <row r="30" spans="1:13" ht="15.75" hidden="1" customHeight="1">
      <c r="A30" s="29">
        <v>6</v>
      </c>
      <c r="B30" s="71" t="s">
        <v>103</v>
      </c>
      <c r="C30" s="72" t="s">
        <v>104</v>
      </c>
      <c r="D30" s="71" t="s">
        <v>118</v>
      </c>
      <c r="E30" s="74">
        <v>317.7</v>
      </c>
      <c r="F30" s="74">
        <f>SUM(E30*52/1000)</f>
        <v>16.520399999999999</v>
      </c>
      <c r="G30" s="74">
        <v>204.44</v>
      </c>
      <c r="H30" s="78">
        <f t="shared" ref="H30:H36" si="2">SUM(F30*G30/1000)</f>
        <v>3.3774305759999996</v>
      </c>
      <c r="I30" s="13">
        <f t="shared" ref="I30:I34" si="3">F30/6*G30</f>
        <v>562.90509599999996</v>
      </c>
      <c r="J30" s="22"/>
      <c r="K30" s="8"/>
      <c r="L30" s="8"/>
      <c r="M30" s="8"/>
    </row>
    <row r="31" spans="1:13" ht="31.5" hidden="1" customHeight="1">
      <c r="A31" s="29">
        <v>7</v>
      </c>
      <c r="B31" s="71" t="s">
        <v>128</v>
      </c>
      <c r="C31" s="72" t="s">
        <v>104</v>
      </c>
      <c r="D31" s="71" t="s">
        <v>119</v>
      </c>
      <c r="E31" s="74">
        <v>146.1</v>
      </c>
      <c r="F31" s="74">
        <f>SUM(E31*78/1000)</f>
        <v>11.395799999999999</v>
      </c>
      <c r="G31" s="74">
        <v>339.21</v>
      </c>
      <c r="H31" s="78">
        <f t="shared" si="2"/>
        <v>3.8655693179999995</v>
      </c>
      <c r="I31" s="13">
        <f t="shared" si="3"/>
        <v>644.26155299999994</v>
      </c>
      <c r="J31" s="22"/>
      <c r="K31" s="8"/>
      <c r="L31" s="8"/>
      <c r="M31" s="8"/>
    </row>
    <row r="32" spans="1:13" ht="15.75" hidden="1" customHeight="1">
      <c r="A32" s="29">
        <v>11</v>
      </c>
      <c r="B32" s="71" t="s">
        <v>27</v>
      </c>
      <c r="C32" s="72" t="s">
        <v>104</v>
      </c>
      <c r="D32" s="71" t="s">
        <v>54</v>
      </c>
      <c r="E32" s="74">
        <f>E30</f>
        <v>317.7</v>
      </c>
      <c r="F32" s="74">
        <f>SUM(E32/1000)</f>
        <v>0.31769999999999998</v>
      </c>
      <c r="G32" s="74">
        <v>3961.23</v>
      </c>
      <c r="H32" s="78">
        <f t="shared" si="2"/>
        <v>1.2584827709999999</v>
      </c>
      <c r="I32" s="13">
        <f>F32*G32</f>
        <v>1258.482771</v>
      </c>
      <c r="J32" s="22"/>
      <c r="K32" s="8"/>
      <c r="L32" s="8"/>
      <c r="M32" s="8"/>
    </row>
    <row r="33" spans="1:14" ht="15.75" hidden="1" customHeight="1">
      <c r="A33" s="29">
        <v>8</v>
      </c>
      <c r="B33" s="71" t="s">
        <v>143</v>
      </c>
      <c r="C33" s="72" t="s">
        <v>40</v>
      </c>
      <c r="D33" s="71" t="s">
        <v>63</v>
      </c>
      <c r="E33" s="74">
        <v>5</v>
      </c>
      <c r="F33" s="74">
        <f>E33*155/100</f>
        <v>7.75</v>
      </c>
      <c r="G33" s="74">
        <v>1707.63</v>
      </c>
      <c r="H33" s="78">
        <f t="shared" si="2"/>
        <v>13.234132500000001</v>
      </c>
      <c r="I33" s="13">
        <f t="shared" si="3"/>
        <v>2205.6887500000003</v>
      </c>
      <c r="J33" s="22"/>
      <c r="K33" s="8"/>
      <c r="L33" s="8"/>
      <c r="M33" s="8"/>
    </row>
    <row r="34" spans="1:14" ht="15.75" hidden="1" customHeight="1">
      <c r="A34" s="29">
        <v>9</v>
      </c>
      <c r="B34" s="71" t="s">
        <v>105</v>
      </c>
      <c r="C34" s="72" t="s">
        <v>30</v>
      </c>
      <c r="D34" s="71" t="s">
        <v>63</v>
      </c>
      <c r="E34" s="80">
        <f>1/6</f>
        <v>0.16666666666666666</v>
      </c>
      <c r="F34" s="74">
        <f>155/6</f>
        <v>25.833333333333332</v>
      </c>
      <c r="G34" s="74">
        <v>74.349999999999994</v>
      </c>
      <c r="H34" s="78">
        <f t="shared" si="2"/>
        <v>1.920708333333333</v>
      </c>
      <c r="I34" s="13">
        <f t="shared" si="3"/>
        <v>320.11805555555554</v>
      </c>
      <c r="J34" s="22"/>
      <c r="K34" s="8"/>
      <c r="L34" s="8"/>
      <c r="M34" s="8"/>
    </row>
    <row r="35" spans="1:14" ht="15.75" hidden="1" customHeight="1">
      <c r="A35" s="29"/>
      <c r="B35" s="34" t="s">
        <v>64</v>
      </c>
      <c r="C35" s="44" t="s">
        <v>32</v>
      </c>
      <c r="D35" s="34" t="s">
        <v>66</v>
      </c>
      <c r="E35" s="121"/>
      <c r="F35" s="33">
        <v>2</v>
      </c>
      <c r="G35" s="33">
        <v>250.92</v>
      </c>
      <c r="H35" s="119">
        <f t="shared" si="2"/>
        <v>0.50183999999999995</v>
      </c>
      <c r="I35" s="13">
        <v>0</v>
      </c>
      <c r="J35" s="22"/>
      <c r="K35" s="8"/>
    </row>
    <row r="36" spans="1:14" ht="15.75" hidden="1" customHeight="1">
      <c r="A36" s="29"/>
      <c r="B36" s="34" t="s">
        <v>65</v>
      </c>
      <c r="C36" s="44" t="s">
        <v>31</v>
      </c>
      <c r="D36" s="34" t="s">
        <v>66</v>
      </c>
      <c r="E36" s="121"/>
      <c r="F36" s="33">
        <v>1</v>
      </c>
      <c r="G36" s="33">
        <v>1490.31</v>
      </c>
      <c r="H36" s="119">
        <f t="shared" si="2"/>
        <v>1.49031</v>
      </c>
      <c r="I36" s="13"/>
      <c r="J36" s="22"/>
      <c r="K36" s="8"/>
    </row>
    <row r="37" spans="1:14" ht="15.75" customHeight="1">
      <c r="A37" s="29"/>
      <c r="B37" s="93" t="s">
        <v>5</v>
      </c>
      <c r="C37" s="72"/>
      <c r="D37" s="71"/>
      <c r="E37" s="73"/>
      <c r="F37" s="74"/>
      <c r="G37" s="74"/>
      <c r="H37" s="78" t="s">
        <v>123</v>
      </c>
      <c r="I37" s="79"/>
      <c r="J37" s="23"/>
    </row>
    <row r="38" spans="1:14" ht="15.75" customHeight="1">
      <c r="A38" s="29">
        <v>5</v>
      </c>
      <c r="B38" s="71" t="s">
        <v>26</v>
      </c>
      <c r="C38" s="72" t="s">
        <v>31</v>
      </c>
      <c r="D38" s="71"/>
      <c r="E38" s="73"/>
      <c r="F38" s="74">
        <v>3</v>
      </c>
      <c r="G38" s="74">
        <v>2003</v>
      </c>
      <c r="H38" s="78">
        <f t="shared" ref="H38:H44" si="4">SUM(F38*G38/1000)</f>
        <v>6.0090000000000003</v>
      </c>
      <c r="I38" s="13">
        <f>G38*1.2</f>
        <v>2403.6</v>
      </c>
      <c r="J38" s="23"/>
    </row>
    <row r="39" spans="1:14" ht="15.75" customHeight="1">
      <c r="A39" s="29">
        <v>6</v>
      </c>
      <c r="B39" s="71" t="s">
        <v>67</v>
      </c>
      <c r="C39" s="72" t="s">
        <v>29</v>
      </c>
      <c r="D39" s="71" t="s">
        <v>222</v>
      </c>
      <c r="E39" s="74">
        <v>160.6</v>
      </c>
      <c r="F39" s="74">
        <f>SUM(E39*18/1000)</f>
        <v>2.8907999999999996</v>
      </c>
      <c r="G39" s="74">
        <v>2757.78</v>
      </c>
      <c r="H39" s="78">
        <f t="shared" si="4"/>
        <v>7.972190423999999</v>
      </c>
      <c r="I39" s="13">
        <f t="shared" ref="I39:I42" si="5">F39/6*G39</f>
        <v>1328.698404</v>
      </c>
      <c r="J39" s="23"/>
    </row>
    <row r="40" spans="1:14" ht="15.75" customHeight="1">
      <c r="A40" s="29">
        <v>7</v>
      </c>
      <c r="B40" s="71" t="s">
        <v>68</v>
      </c>
      <c r="C40" s="72" t="s">
        <v>29</v>
      </c>
      <c r="D40" s="71" t="s">
        <v>203</v>
      </c>
      <c r="E40" s="73">
        <v>89.1</v>
      </c>
      <c r="F40" s="74">
        <f>SUM(E40*155/1000)</f>
        <v>13.810499999999999</v>
      </c>
      <c r="G40" s="74">
        <v>460.02</v>
      </c>
      <c r="H40" s="78">
        <f t="shared" si="4"/>
        <v>6.3531062099999991</v>
      </c>
      <c r="I40" s="13">
        <f t="shared" si="5"/>
        <v>1058.8510349999999</v>
      </c>
      <c r="J40" s="23"/>
    </row>
    <row r="41" spans="1:14" ht="15.75" hidden="1" customHeight="1">
      <c r="A41" s="29">
        <v>12</v>
      </c>
      <c r="B41" s="71" t="s">
        <v>145</v>
      </c>
      <c r="C41" s="72" t="s">
        <v>146</v>
      </c>
      <c r="D41" s="71" t="s">
        <v>66</v>
      </c>
      <c r="E41" s="73"/>
      <c r="F41" s="74">
        <v>39</v>
      </c>
      <c r="G41" s="74">
        <v>301.70999999999998</v>
      </c>
      <c r="H41" s="78">
        <f t="shared" si="4"/>
        <v>11.766689999999999</v>
      </c>
      <c r="I41" s="13">
        <v>0</v>
      </c>
      <c r="J41" s="23"/>
    </row>
    <row r="42" spans="1:14" ht="47.25" customHeight="1">
      <c r="A42" s="29">
        <v>8</v>
      </c>
      <c r="B42" s="71" t="s">
        <v>83</v>
      </c>
      <c r="C42" s="72" t="s">
        <v>104</v>
      </c>
      <c r="D42" s="71" t="s">
        <v>204</v>
      </c>
      <c r="E42" s="74">
        <v>46.5</v>
      </c>
      <c r="F42" s="74">
        <f>SUM(E42*35/1000)</f>
        <v>1.6274999999999999</v>
      </c>
      <c r="G42" s="74">
        <v>7611.16</v>
      </c>
      <c r="H42" s="78">
        <f t="shared" si="4"/>
        <v>12.3871629</v>
      </c>
      <c r="I42" s="13">
        <f t="shared" si="5"/>
        <v>2064.5271499999999</v>
      </c>
      <c r="J42" s="23"/>
      <c r="L42" s="19"/>
      <c r="M42" s="20"/>
      <c r="N42" s="21"/>
    </row>
    <row r="43" spans="1:14" ht="15.75" customHeight="1">
      <c r="A43" s="94">
        <v>9</v>
      </c>
      <c r="B43" s="83" t="s">
        <v>106</v>
      </c>
      <c r="C43" s="84" t="s">
        <v>104</v>
      </c>
      <c r="D43" s="83" t="s">
        <v>205</v>
      </c>
      <c r="E43" s="85">
        <v>89.1</v>
      </c>
      <c r="F43" s="85">
        <f>SUM(E43*45/1000)</f>
        <v>4.0094999999999992</v>
      </c>
      <c r="G43" s="85">
        <v>562.25</v>
      </c>
      <c r="H43" s="82">
        <f t="shared" si="4"/>
        <v>2.2543413749999996</v>
      </c>
      <c r="I43" s="95">
        <f>F43/7.5*G43</f>
        <v>300.57884999999993</v>
      </c>
      <c r="J43" s="23"/>
      <c r="L43" s="19"/>
      <c r="M43" s="20"/>
      <c r="N43" s="21"/>
    </row>
    <row r="44" spans="1:14" ht="15.75" customHeight="1">
      <c r="A44" s="29">
        <v>10</v>
      </c>
      <c r="B44" s="14" t="s">
        <v>70</v>
      </c>
      <c r="C44" s="16" t="s">
        <v>32</v>
      </c>
      <c r="D44" s="14"/>
      <c r="E44" s="18"/>
      <c r="F44" s="13">
        <v>0.9</v>
      </c>
      <c r="G44" s="13">
        <v>974.83</v>
      </c>
      <c r="H44" s="13">
        <f t="shared" si="4"/>
        <v>0.8773470000000001</v>
      </c>
      <c r="I44" s="13">
        <f>F44/7.5*G44</f>
        <v>116.97960000000002</v>
      </c>
      <c r="J44" s="23"/>
      <c r="L44" s="19"/>
      <c r="M44" s="20"/>
      <c r="N44" s="21"/>
    </row>
    <row r="45" spans="1:14" ht="15.75" hidden="1" customHeight="1">
      <c r="A45" s="194" t="s">
        <v>129</v>
      </c>
      <c r="B45" s="195"/>
      <c r="C45" s="195"/>
      <c r="D45" s="195"/>
      <c r="E45" s="195"/>
      <c r="F45" s="195"/>
      <c r="G45" s="195"/>
      <c r="H45" s="195"/>
      <c r="I45" s="196"/>
      <c r="J45" s="23"/>
      <c r="L45" s="19"/>
      <c r="M45" s="20"/>
      <c r="N45" s="21"/>
    </row>
    <row r="46" spans="1:14" ht="15.75" hidden="1" customHeight="1">
      <c r="A46" s="133">
        <v>12</v>
      </c>
      <c r="B46" s="135" t="s">
        <v>107</v>
      </c>
      <c r="C46" s="136" t="s">
        <v>104</v>
      </c>
      <c r="D46" s="135" t="s">
        <v>42</v>
      </c>
      <c r="E46" s="137">
        <v>1632.75</v>
      </c>
      <c r="F46" s="138">
        <f>SUM(E46*2/1000)</f>
        <v>3.2654999999999998</v>
      </c>
      <c r="G46" s="138">
        <v>1062</v>
      </c>
      <c r="H46" s="138">
        <f t="shared" ref="H46:H55" si="6">SUM(F46*G46/1000)</f>
        <v>3.4679609999999998</v>
      </c>
      <c r="I46" s="134">
        <f>F46/2*G46</f>
        <v>1733.9804999999999</v>
      </c>
      <c r="J46" s="23"/>
      <c r="L46" s="19"/>
      <c r="M46" s="20"/>
      <c r="N46" s="21"/>
    </row>
    <row r="47" spans="1:14" ht="15.75" hidden="1" customHeight="1">
      <c r="A47" s="133">
        <v>13</v>
      </c>
      <c r="B47" s="135" t="s">
        <v>35</v>
      </c>
      <c r="C47" s="136" t="s">
        <v>104</v>
      </c>
      <c r="D47" s="135" t="s">
        <v>42</v>
      </c>
      <c r="E47" s="137">
        <v>53.75</v>
      </c>
      <c r="F47" s="138">
        <f>SUM(E47*2/1000)</f>
        <v>0.1075</v>
      </c>
      <c r="G47" s="138">
        <v>759.98</v>
      </c>
      <c r="H47" s="138">
        <f t="shared" si="6"/>
        <v>8.1697850000000002E-2</v>
      </c>
      <c r="I47" s="134">
        <f t="shared" ref="I47:I54" si="7">F47/2*G47</f>
        <v>40.848925000000001</v>
      </c>
      <c r="J47" s="23"/>
      <c r="L47" s="19"/>
      <c r="M47" s="20"/>
      <c r="N47" s="21"/>
    </row>
    <row r="48" spans="1:14" ht="15.75" hidden="1" customHeight="1">
      <c r="A48" s="133">
        <v>14</v>
      </c>
      <c r="B48" s="135" t="s">
        <v>36</v>
      </c>
      <c r="C48" s="136" t="s">
        <v>104</v>
      </c>
      <c r="D48" s="135" t="s">
        <v>42</v>
      </c>
      <c r="E48" s="137">
        <v>2285.6</v>
      </c>
      <c r="F48" s="138">
        <f>SUM(E48*2/1000)</f>
        <v>4.5712000000000002</v>
      </c>
      <c r="G48" s="138">
        <v>759.98</v>
      </c>
      <c r="H48" s="138">
        <f t="shared" si="6"/>
        <v>3.4740205760000005</v>
      </c>
      <c r="I48" s="134">
        <f t="shared" si="7"/>
        <v>1737.0102880000002</v>
      </c>
      <c r="J48" s="23"/>
      <c r="L48" s="19"/>
      <c r="M48" s="20"/>
      <c r="N48" s="21"/>
    </row>
    <row r="49" spans="1:14" ht="15.75" hidden="1" customHeight="1">
      <c r="A49" s="133">
        <v>15</v>
      </c>
      <c r="B49" s="135" t="s">
        <v>37</v>
      </c>
      <c r="C49" s="136" t="s">
        <v>104</v>
      </c>
      <c r="D49" s="135" t="s">
        <v>42</v>
      </c>
      <c r="E49" s="137">
        <v>1860</v>
      </c>
      <c r="F49" s="138">
        <f>SUM(E49*2/1000)</f>
        <v>3.72</v>
      </c>
      <c r="G49" s="138">
        <v>795.82</v>
      </c>
      <c r="H49" s="138">
        <f t="shared" si="6"/>
        <v>2.9604504</v>
      </c>
      <c r="I49" s="134">
        <f t="shared" si="7"/>
        <v>1480.2252000000001</v>
      </c>
      <c r="J49" s="23"/>
      <c r="L49" s="19"/>
      <c r="M49" s="20"/>
      <c r="N49" s="21"/>
    </row>
    <row r="50" spans="1:14" ht="15.75" hidden="1" customHeight="1">
      <c r="A50" s="133">
        <v>16</v>
      </c>
      <c r="B50" s="135" t="s">
        <v>33</v>
      </c>
      <c r="C50" s="136" t="s">
        <v>34</v>
      </c>
      <c r="D50" s="135" t="s">
        <v>42</v>
      </c>
      <c r="E50" s="137">
        <v>120.5</v>
      </c>
      <c r="F50" s="138">
        <f>SUM(E50*2/100)</f>
        <v>2.41</v>
      </c>
      <c r="G50" s="138">
        <v>95.49</v>
      </c>
      <c r="H50" s="138">
        <f t="shared" si="6"/>
        <v>0.2301309</v>
      </c>
      <c r="I50" s="134">
        <f t="shared" si="7"/>
        <v>115.06545</v>
      </c>
      <c r="J50" s="23"/>
      <c r="L50" s="19"/>
      <c r="M50" s="20"/>
      <c r="N50" s="21"/>
    </row>
    <row r="51" spans="1:14" ht="15.75" hidden="1" customHeight="1">
      <c r="A51" s="133">
        <v>17</v>
      </c>
      <c r="B51" s="135" t="s">
        <v>56</v>
      </c>
      <c r="C51" s="136" t="s">
        <v>104</v>
      </c>
      <c r="D51" s="135" t="s">
        <v>132</v>
      </c>
      <c r="E51" s="137">
        <v>3053.4</v>
      </c>
      <c r="F51" s="138">
        <f>SUM(E51*5/1000)</f>
        <v>15.266999999999999</v>
      </c>
      <c r="G51" s="138">
        <v>1591.6</v>
      </c>
      <c r="H51" s="138">
        <f t="shared" si="6"/>
        <v>24.298957199999997</v>
      </c>
      <c r="I51" s="134">
        <f>F51/5*G51</f>
        <v>4859.79144</v>
      </c>
      <c r="J51" s="23"/>
      <c r="L51" s="19"/>
      <c r="M51" s="20"/>
      <c r="N51" s="21"/>
    </row>
    <row r="52" spans="1:14" ht="31.5" hidden="1" customHeight="1">
      <c r="A52" s="133"/>
      <c r="B52" s="135" t="s">
        <v>108</v>
      </c>
      <c r="C52" s="136" t="s">
        <v>104</v>
      </c>
      <c r="D52" s="135" t="s">
        <v>42</v>
      </c>
      <c r="E52" s="137">
        <f>E51</f>
        <v>3053.4</v>
      </c>
      <c r="F52" s="138">
        <f>SUM(E52*2/1000)</f>
        <v>6.1067999999999998</v>
      </c>
      <c r="G52" s="138">
        <v>1591.6</v>
      </c>
      <c r="H52" s="138">
        <f t="shared" si="6"/>
        <v>9.7195828800000008</v>
      </c>
      <c r="I52" s="134">
        <f t="shared" si="7"/>
        <v>4859.79144</v>
      </c>
      <c r="J52" s="23"/>
      <c r="L52" s="19"/>
      <c r="M52" s="20"/>
      <c r="N52" s="21"/>
    </row>
    <row r="53" spans="1:14" ht="31.5" hidden="1" customHeight="1">
      <c r="A53" s="133"/>
      <c r="B53" s="135" t="s">
        <v>124</v>
      </c>
      <c r="C53" s="136" t="s">
        <v>38</v>
      </c>
      <c r="D53" s="135" t="s">
        <v>42</v>
      </c>
      <c r="E53" s="137">
        <v>20</v>
      </c>
      <c r="F53" s="138">
        <f>SUM(E53*2/100)</f>
        <v>0.4</v>
      </c>
      <c r="G53" s="138">
        <v>3581.13</v>
      </c>
      <c r="H53" s="138">
        <f t="shared" si="6"/>
        <v>1.4324520000000003</v>
      </c>
      <c r="I53" s="134">
        <f t="shared" si="7"/>
        <v>716.22600000000011</v>
      </c>
      <c r="J53" s="23"/>
      <c r="L53" s="19"/>
      <c r="M53" s="20"/>
      <c r="N53" s="21"/>
    </row>
    <row r="54" spans="1:14" ht="15.75" hidden="1" customHeight="1">
      <c r="A54" s="133"/>
      <c r="B54" s="135" t="s">
        <v>39</v>
      </c>
      <c r="C54" s="136" t="s">
        <v>40</v>
      </c>
      <c r="D54" s="135" t="s">
        <v>42</v>
      </c>
      <c r="E54" s="137">
        <v>1</v>
      </c>
      <c r="F54" s="138">
        <v>0.02</v>
      </c>
      <c r="G54" s="138">
        <v>7412.92</v>
      </c>
      <c r="H54" s="138">
        <f t="shared" si="6"/>
        <v>0.14825839999999998</v>
      </c>
      <c r="I54" s="134">
        <f t="shared" si="7"/>
        <v>74.129199999999997</v>
      </c>
      <c r="J54" s="23"/>
      <c r="L54" s="19"/>
      <c r="M54" s="20"/>
      <c r="N54" s="21"/>
    </row>
    <row r="55" spans="1:14" ht="15.75" hidden="1" customHeight="1">
      <c r="A55" s="133">
        <v>18</v>
      </c>
      <c r="B55" s="135" t="s">
        <v>41</v>
      </c>
      <c r="C55" s="136" t="s">
        <v>89</v>
      </c>
      <c r="D55" s="135" t="s">
        <v>71</v>
      </c>
      <c r="E55" s="137">
        <v>128</v>
      </c>
      <c r="F55" s="138">
        <f>SUM(E55)*3</f>
        <v>384</v>
      </c>
      <c r="G55" s="139">
        <v>86.15</v>
      </c>
      <c r="H55" s="138">
        <f t="shared" si="6"/>
        <v>33.081600000000009</v>
      </c>
      <c r="I55" s="134">
        <f>E55*G55</f>
        <v>11027.2</v>
      </c>
      <c r="J55" s="23"/>
      <c r="L55" s="19"/>
      <c r="M55" s="20"/>
      <c r="N55" s="21"/>
    </row>
    <row r="56" spans="1:14" ht="15.75" customHeight="1">
      <c r="A56" s="194" t="s">
        <v>134</v>
      </c>
      <c r="B56" s="195"/>
      <c r="C56" s="195"/>
      <c r="D56" s="195"/>
      <c r="E56" s="195"/>
      <c r="F56" s="195"/>
      <c r="G56" s="195"/>
      <c r="H56" s="195"/>
      <c r="I56" s="196"/>
      <c r="J56" s="23"/>
      <c r="L56" s="19"/>
      <c r="M56" s="20"/>
      <c r="N56" s="21"/>
    </row>
    <row r="57" spans="1:14" ht="15.75" hidden="1" customHeight="1">
      <c r="A57" s="96"/>
      <c r="B57" s="104" t="s">
        <v>43</v>
      </c>
      <c r="C57" s="98"/>
      <c r="D57" s="97"/>
      <c r="E57" s="99"/>
      <c r="F57" s="100"/>
      <c r="G57" s="100"/>
      <c r="H57" s="105"/>
      <c r="I57" s="106"/>
      <c r="J57" s="23"/>
      <c r="L57" s="19"/>
      <c r="M57" s="20"/>
      <c r="N57" s="21"/>
    </row>
    <row r="58" spans="1:14" ht="31.5" hidden="1" customHeight="1">
      <c r="A58" s="29">
        <v>15</v>
      </c>
      <c r="B58" s="71" t="s">
        <v>109</v>
      </c>
      <c r="C58" s="72" t="s">
        <v>93</v>
      </c>
      <c r="D58" s="71"/>
      <c r="E58" s="73">
        <v>92.7</v>
      </c>
      <c r="F58" s="74">
        <f>SUM(E58*6/100)</f>
        <v>5.5620000000000003</v>
      </c>
      <c r="G58" s="13">
        <v>2431.1799999999998</v>
      </c>
      <c r="H58" s="78">
        <f>SUM(F58*G58/1000)</f>
        <v>13.522223159999999</v>
      </c>
      <c r="I58" s="13">
        <f>F58/6*G58</f>
        <v>2253.7038600000001</v>
      </c>
      <c r="J58" s="23"/>
      <c r="L58" s="19"/>
      <c r="M58" s="20"/>
      <c r="N58" s="21"/>
    </row>
    <row r="59" spans="1:14" ht="15.75" hidden="1" customHeight="1">
      <c r="A59" s="29"/>
      <c r="B59" s="71" t="s">
        <v>125</v>
      </c>
      <c r="C59" s="72" t="s">
        <v>126</v>
      </c>
      <c r="D59" s="14" t="s">
        <v>66</v>
      </c>
      <c r="E59" s="73"/>
      <c r="F59" s="74">
        <v>2</v>
      </c>
      <c r="G59" s="67">
        <v>1582.05</v>
      </c>
      <c r="H59" s="78">
        <f>SUM(F59*G59/1000)</f>
        <v>3.1640999999999999</v>
      </c>
      <c r="I59" s="13">
        <f>G59*2</f>
        <v>3164.1</v>
      </c>
      <c r="J59" s="23"/>
      <c r="L59" s="19"/>
      <c r="M59" s="20"/>
      <c r="N59" s="21"/>
    </row>
    <row r="60" spans="1:14" ht="15.75" customHeight="1">
      <c r="A60" s="29"/>
      <c r="B60" s="93" t="s">
        <v>44</v>
      </c>
      <c r="C60" s="72"/>
      <c r="D60" s="71"/>
      <c r="E60" s="73"/>
      <c r="F60" s="74"/>
      <c r="G60" s="74"/>
      <c r="H60" s="75" t="s">
        <v>123</v>
      </c>
      <c r="I60" s="79"/>
      <c r="J60" s="23"/>
      <c r="L60" s="19"/>
      <c r="M60" s="20"/>
      <c r="N60" s="21"/>
    </row>
    <row r="61" spans="1:14" ht="15.75" hidden="1" customHeight="1">
      <c r="A61" s="29"/>
      <c r="B61" s="34" t="s">
        <v>45</v>
      </c>
      <c r="C61" s="44" t="s">
        <v>93</v>
      </c>
      <c r="D61" s="34" t="s">
        <v>54</v>
      </c>
      <c r="E61" s="123">
        <v>145</v>
      </c>
      <c r="F61" s="33">
        <f>SUM(E61/100)</f>
        <v>1.45</v>
      </c>
      <c r="G61" s="36">
        <v>1040.8399999999999</v>
      </c>
      <c r="H61" s="124">
        <v>9.1679999999999993</v>
      </c>
      <c r="I61" s="13">
        <v>0</v>
      </c>
      <c r="J61" s="23"/>
      <c r="L61" s="19"/>
      <c r="M61" s="20"/>
      <c r="N61" s="21"/>
    </row>
    <row r="62" spans="1:14" ht="15.75" customHeight="1">
      <c r="A62" s="29">
        <v>11</v>
      </c>
      <c r="B62" s="125" t="s">
        <v>90</v>
      </c>
      <c r="C62" s="126" t="s">
        <v>25</v>
      </c>
      <c r="D62" s="125" t="s">
        <v>206</v>
      </c>
      <c r="E62" s="123">
        <v>255.2</v>
      </c>
      <c r="F62" s="33">
        <v>2400</v>
      </c>
      <c r="G62" s="127">
        <v>1.4</v>
      </c>
      <c r="H62" s="128">
        <f>G62*F62/1000</f>
        <v>3.36</v>
      </c>
      <c r="I62" s="13">
        <f>F62/12*G62</f>
        <v>280</v>
      </c>
      <c r="J62" s="23"/>
      <c r="L62" s="19"/>
      <c r="M62" s="20"/>
      <c r="N62" s="21"/>
    </row>
    <row r="63" spans="1:14" ht="15.75" customHeight="1">
      <c r="A63" s="29"/>
      <c r="B63" s="102" t="s">
        <v>46</v>
      </c>
      <c r="C63" s="84"/>
      <c r="D63" s="83"/>
      <c r="E63" s="81"/>
      <c r="F63" s="85"/>
      <c r="G63" s="85"/>
      <c r="H63" s="86" t="s">
        <v>123</v>
      </c>
      <c r="I63" s="79"/>
      <c r="J63" s="23"/>
      <c r="L63" s="19"/>
      <c r="M63" s="20"/>
      <c r="N63" s="21"/>
    </row>
    <row r="64" spans="1:14" ht="15.75" hidden="1" customHeight="1">
      <c r="A64" s="29">
        <v>17</v>
      </c>
      <c r="B64" s="56" t="s">
        <v>47</v>
      </c>
      <c r="C64" s="40" t="s">
        <v>89</v>
      </c>
      <c r="D64" s="39" t="s">
        <v>66</v>
      </c>
      <c r="E64" s="17">
        <v>6</v>
      </c>
      <c r="F64" s="33">
        <f>SUM(E64)</f>
        <v>6</v>
      </c>
      <c r="G64" s="36">
        <v>291.68</v>
      </c>
      <c r="H64" s="114">
        <f t="shared" ref="H64:H72" si="8">SUM(F64*G64/1000)</f>
        <v>1.7500799999999999</v>
      </c>
      <c r="I64" s="13">
        <f>G64*5</f>
        <v>1458.4</v>
      </c>
      <c r="J64" s="23"/>
      <c r="L64" s="19"/>
    </row>
    <row r="65" spans="1:22" ht="15.75" hidden="1" customHeight="1">
      <c r="A65" s="29"/>
      <c r="B65" s="56" t="s">
        <v>48</v>
      </c>
      <c r="C65" s="40" t="s">
        <v>89</v>
      </c>
      <c r="D65" s="39" t="s">
        <v>66</v>
      </c>
      <c r="E65" s="17">
        <v>4</v>
      </c>
      <c r="F65" s="33">
        <f>SUM(E65)</f>
        <v>4</v>
      </c>
      <c r="G65" s="36">
        <v>100.01</v>
      </c>
      <c r="H65" s="114">
        <f t="shared" si="8"/>
        <v>0.40004000000000001</v>
      </c>
      <c r="I65" s="13">
        <v>0</v>
      </c>
      <c r="J65" s="23"/>
      <c r="L65" s="19"/>
    </row>
    <row r="66" spans="1:22" ht="15.75" hidden="1" customHeight="1">
      <c r="A66" s="29"/>
      <c r="B66" s="56" t="s">
        <v>49</v>
      </c>
      <c r="C66" s="42" t="s">
        <v>111</v>
      </c>
      <c r="D66" s="39" t="s">
        <v>54</v>
      </c>
      <c r="E66" s="121">
        <v>15552</v>
      </c>
      <c r="F66" s="37">
        <f>SUM(E66/100)</f>
        <v>155.52000000000001</v>
      </c>
      <c r="G66" s="36">
        <v>278.24</v>
      </c>
      <c r="H66" s="114">
        <f t="shared" si="8"/>
        <v>43.271884800000009</v>
      </c>
      <c r="I66" s="13">
        <v>0</v>
      </c>
    </row>
    <row r="67" spans="1:22" ht="15.75" hidden="1" customHeight="1">
      <c r="A67" s="29"/>
      <c r="B67" s="56" t="s">
        <v>50</v>
      </c>
      <c r="C67" s="40" t="s">
        <v>112</v>
      </c>
      <c r="D67" s="39"/>
      <c r="E67" s="121">
        <v>15552</v>
      </c>
      <c r="F67" s="36">
        <f>SUM(E67/1000)</f>
        <v>15.552</v>
      </c>
      <c r="G67" s="36">
        <v>216.68</v>
      </c>
      <c r="H67" s="114">
        <f t="shared" si="8"/>
        <v>3.3698073600000003</v>
      </c>
      <c r="I67" s="13">
        <v>0</v>
      </c>
    </row>
    <row r="68" spans="1:22" ht="15.75" hidden="1" customHeight="1">
      <c r="A68" s="29"/>
      <c r="B68" s="56" t="s">
        <v>51</v>
      </c>
      <c r="C68" s="40" t="s">
        <v>78</v>
      </c>
      <c r="D68" s="39" t="s">
        <v>54</v>
      </c>
      <c r="E68" s="121">
        <v>2432</v>
      </c>
      <c r="F68" s="36">
        <f>SUM(E68/100)</f>
        <v>24.32</v>
      </c>
      <c r="G68" s="36">
        <v>2720.94</v>
      </c>
      <c r="H68" s="114">
        <f t="shared" si="8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/>
      <c r="B69" s="53" t="s">
        <v>72</v>
      </c>
      <c r="C69" s="40" t="s">
        <v>32</v>
      </c>
      <c r="D69" s="39"/>
      <c r="E69" s="121">
        <v>14.8</v>
      </c>
      <c r="F69" s="36">
        <f>SUM(E69)</f>
        <v>14.8</v>
      </c>
      <c r="G69" s="36">
        <v>42.61</v>
      </c>
      <c r="H69" s="114">
        <f t="shared" si="8"/>
        <v>0.63062800000000008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29"/>
      <c r="B70" s="53" t="s">
        <v>73</v>
      </c>
      <c r="C70" s="40" t="s">
        <v>32</v>
      </c>
      <c r="D70" s="39"/>
      <c r="E70" s="121">
        <f>E69</f>
        <v>14.8</v>
      </c>
      <c r="F70" s="36">
        <f>SUM(E70)</f>
        <v>14.8</v>
      </c>
      <c r="G70" s="36">
        <v>46.04</v>
      </c>
      <c r="H70" s="114">
        <f t="shared" si="8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22</v>
      </c>
      <c r="B71" s="39" t="s">
        <v>57</v>
      </c>
      <c r="C71" s="40" t="s">
        <v>58</v>
      </c>
      <c r="D71" s="39" t="s">
        <v>54</v>
      </c>
      <c r="E71" s="17">
        <v>5</v>
      </c>
      <c r="F71" s="33">
        <f>SUM(E71)</f>
        <v>5</v>
      </c>
      <c r="G71" s="36">
        <v>65.42</v>
      </c>
      <c r="H71" s="114">
        <f t="shared" si="8"/>
        <v>0.3271</v>
      </c>
      <c r="I71" s="13">
        <f>G71*4</f>
        <v>261.68</v>
      </c>
      <c r="J71" s="5"/>
      <c r="K71" s="5"/>
      <c r="L71" s="5"/>
      <c r="M71" s="5"/>
      <c r="N71" s="5"/>
      <c r="O71" s="5"/>
      <c r="P71" s="5"/>
      <c r="Q71" s="5"/>
      <c r="R71" s="182"/>
      <c r="S71" s="182"/>
      <c r="T71" s="182"/>
      <c r="U71" s="182"/>
    </row>
    <row r="72" spans="1:22" ht="15.75" customHeight="1">
      <c r="A72" s="29">
        <v>12</v>
      </c>
      <c r="B72" s="39" t="s">
        <v>148</v>
      </c>
      <c r="C72" s="45" t="s">
        <v>149</v>
      </c>
      <c r="D72" s="39"/>
      <c r="E72" s="17">
        <f>E51</f>
        <v>3053.4</v>
      </c>
      <c r="F72" s="33">
        <f>SUM(E72*12)</f>
        <v>36640.800000000003</v>
      </c>
      <c r="G72" s="36">
        <v>2.2799999999999998</v>
      </c>
      <c r="H72" s="114">
        <f t="shared" si="8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109"/>
      <c r="S72" s="109"/>
      <c r="T72" s="109"/>
      <c r="U72" s="109"/>
    </row>
    <row r="73" spans="1:22" ht="15.75" customHeight="1">
      <c r="A73" s="29"/>
      <c r="B73" s="112" t="s">
        <v>74</v>
      </c>
      <c r="C73" s="16"/>
      <c r="D73" s="14"/>
      <c r="E73" s="18"/>
      <c r="F73" s="13"/>
      <c r="G73" s="13"/>
      <c r="H73" s="87" t="s">
        <v>123</v>
      </c>
      <c r="I73" s="79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29">
        <v>19</v>
      </c>
      <c r="B74" s="39" t="s">
        <v>150</v>
      </c>
      <c r="C74" s="40" t="s">
        <v>151</v>
      </c>
      <c r="D74" s="39" t="s">
        <v>66</v>
      </c>
      <c r="E74" s="17">
        <v>1</v>
      </c>
      <c r="F74" s="36">
        <f>E74</f>
        <v>1</v>
      </c>
      <c r="G74" s="36">
        <v>1029.1199999999999</v>
      </c>
      <c r="H74" s="113">
        <f t="shared" ref="H74:H75" si="9">SUM(F74*G74/1000)</f>
        <v>1.0291199999999998</v>
      </c>
      <c r="I74" s="13">
        <v>0</v>
      </c>
    </row>
    <row r="75" spans="1:22" ht="15.75" hidden="1" customHeight="1">
      <c r="A75" s="29"/>
      <c r="B75" s="39" t="s">
        <v>152</v>
      </c>
      <c r="C75" s="40" t="s">
        <v>153</v>
      </c>
      <c r="D75" s="129"/>
      <c r="E75" s="17">
        <v>1</v>
      </c>
      <c r="F75" s="36">
        <v>1</v>
      </c>
      <c r="G75" s="36">
        <v>735</v>
      </c>
      <c r="H75" s="113">
        <f t="shared" si="9"/>
        <v>0.73499999999999999</v>
      </c>
      <c r="I75" s="13">
        <v>0</v>
      </c>
    </row>
    <row r="76" spans="1:22" ht="15.75" hidden="1" customHeight="1">
      <c r="A76" s="29"/>
      <c r="B76" s="39" t="s">
        <v>75</v>
      </c>
      <c r="C76" s="40" t="s">
        <v>76</v>
      </c>
      <c r="D76" s="39" t="s">
        <v>66</v>
      </c>
      <c r="E76" s="17">
        <v>5</v>
      </c>
      <c r="F76" s="33">
        <f>SUM(E76/10)</f>
        <v>0.5</v>
      </c>
      <c r="G76" s="36">
        <v>657.87</v>
      </c>
      <c r="H76" s="113">
        <f>SUM(F76*G76/1000)</f>
        <v>0.32893499999999998</v>
      </c>
      <c r="I76" s="13">
        <v>0</v>
      </c>
    </row>
    <row r="77" spans="1:22" ht="15.75" hidden="1" customHeight="1">
      <c r="A77" s="29"/>
      <c r="B77" s="39" t="s">
        <v>121</v>
      </c>
      <c r="C77" s="40" t="s">
        <v>89</v>
      </c>
      <c r="D77" s="39" t="s">
        <v>66</v>
      </c>
      <c r="E77" s="17">
        <v>1</v>
      </c>
      <c r="F77" s="36">
        <f>E77</f>
        <v>1</v>
      </c>
      <c r="G77" s="36">
        <v>1118.72</v>
      </c>
      <c r="H77" s="113">
        <f>SUM(F77*G77/1000)</f>
        <v>1.1187199999999999</v>
      </c>
      <c r="I77" s="13">
        <v>0</v>
      </c>
    </row>
    <row r="78" spans="1:22" ht="15.75" customHeight="1">
      <c r="A78" s="29">
        <v>13</v>
      </c>
      <c r="B78" s="115" t="s">
        <v>154</v>
      </c>
      <c r="C78" s="116" t="s">
        <v>89</v>
      </c>
      <c r="D78" s="39"/>
      <c r="E78" s="17">
        <v>2</v>
      </c>
      <c r="F78" s="33">
        <f>E78*12</f>
        <v>24</v>
      </c>
      <c r="G78" s="36">
        <v>53.42</v>
      </c>
      <c r="H78" s="113">
        <f t="shared" ref="H78:H79" si="10">SUM(F78*G78/1000)</f>
        <v>1.2820799999999999</v>
      </c>
      <c r="I78" s="13">
        <f>G78*2</f>
        <v>106.84</v>
      </c>
    </row>
    <row r="79" spans="1:22" ht="31.5" customHeight="1">
      <c r="A79" s="29">
        <v>14</v>
      </c>
      <c r="B79" s="115" t="s">
        <v>155</v>
      </c>
      <c r="C79" s="116" t="s">
        <v>89</v>
      </c>
      <c r="D79" s="39" t="s">
        <v>206</v>
      </c>
      <c r="E79" s="17">
        <v>1</v>
      </c>
      <c r="F79" s="33">
        <f>E79*12</f>
        <v>12</v>
      </c>
      <c r="G79" s="36">
        <v>1194</v>
      </c>
      <c r="H79" s="113">
        <f t="shared" si="10"/>
        <v>14.327999999999999</v>
      </c>
      <c r="I79" s="13">
        <f>G79</f>
        <v>1194</v>
      </c>
    </row>
    <row r="80" spans="1:22" ht="15.75" hidden="1" customHeight="1">
      <c r="A80" s="29"/>
      <c r="B80" s="90" t="s">
        <v>77</v>
      </c>
      <c r="C80" s="16"/>
      <c r="D80" s="14"/>
      <c r="E80" s="18"/>
      <c r="F80" s="18"/>
      <c r="G80" s="18"/>
      <c r="H80" s="18"/>
      <c r="I80" s="79"/>
    </row>
    <row r="81" spans="1:9" ht="15.75" hidden="1" customHeight="1">
      <c r="A81" s="29"/>
      <c r="B81" s="41" t="s">
        <v>115</v>
      </c>
      <c r="C81" s="42" t="s">
        <v>78</v>
      </c>
      <c r="D81" s="56"/>
      <c r="E81" s="59"/>
      <c r="F81" s="37">
        <v>0.3</v>
      </c>
      <c r="G81" s="37">
        <v>3619.09</v>
      </c>
      <c r="H81" s="114">
        <f t="shared" ref="H81" si="11">SUM(F81*G81/1000)</f>
        <v>1.0857270000000001</v>
      </c>
      <c r="I81" s="13">
        <v>0</v>
      </c>
    </row>
    <row r="82" spans="1:9" ht="15.75" hidden="1" customHeight="1">
      <c r="A82" s="29"/>
      <c r="B82" s="112" t="s">
        <v>113</v>
      </c>
      <c r="C82" s="90"/>
      <c r="D82" s="31"/>
      <c r="E82" s="32"/>
      <c r="F82" s="91"/>
      <c r="G82" s="91"/>
      <c r="H82" s="92">
        <f>SUM(H58:H81)</f>
        <v>249.26712212000004</v>
      </c>
      <c r="I82" s="77"/>
    </row>
    <row r="83" spans="1:9" ht="15.75" hidden="1" customHeight="1">
      <c r="A83" s="94"/>
      <c r="B83" s="34" t="s">
        <v>114</v>
      </c>
      <c r="C83" s="130"/>
      <c r="D83" s="131"/>
      <c r="E83" s="132"/>
      <c r="F83" s="38">
        <f>232/10</f>
        <v>23.2</v>
      </c>
      <c r="G83" s="38">
        <v>12361.2</v>
      </c>
      <c r="H83" s="114">
        <f>G83*F83/1000</f>
        <v>286.77984000000004</v>
      </c>
      <c r="I83" s="95">
        <v>0</v>
      </c>
    </row>
    <row r="84" spans="1:9" ht="15.75" customHeight="1">
      <c r="A84" s="194" t="s">
        <v>135</v>
      </c>
      <c r="B84" s="195"/>
      <c r="C84" s="195"/>
      <c r="D84" s="195"/>
      <c r="E84" s="195"/>
      <c r="F84" s="195"/>
      <c r="G84" s="195"/>
      <c r="H84" s="195"/>
      <c r="I84" s="196"/>
    </row>
    <row r="85" spans="1:9" ht="15.75" customHeight="1">
      <c r="A85" s="96">
        <v>15</v>
      </c>
      <c r="B85" s="34" t="s">
        <v>116</v>
      </c>
      <c r="C85" s="40" t="s">
        <v>55</v>
      </c>
      <c r="D85" s="103"/>
      <c r="E85" s="36">
        <v>3053.4</v>
      </c>
      <c r="F85" s="36">
        <f>SUM(E85*12)</f>
        <v>36640.800000000003</v>
      </c>
      <c r="G85" s="36">
        <v>3.1</v>
      </c>
      <c r="H85" s="114">
        <f>SUM(F85*G85/1000)</f>
        <v>113.58648000000001</v>
      </c>
      <c r="I85" s="101">
        <f>F85/12*G85</f>
        <v>9465.5400000000009</v>
      </c>
    </row>
    <row r="86" spans="1:9" ht="31.5" customHeight="1">
      <c r="A86" s="29">
        <v>16</v>
      </c>
      <c r="B86" s="39" t="s">
        <v>79</v>
      </c>
      <c r="C86" s="40"/>
      <c r="D86" s="103"/>
      <c r="E86" s="121">
        <v>3053.4</v>
      </c>
      <c r="F86" s="36">
        <f>E86*12</f>
        <v>36640.800000000003</v>
      </c>
      <c r="G86" s="36">
        <v>3.5</v>
      </c>
      <c r="H86" s="114">
        <f>F86*G86/1000</f>
        <v>128.24280000000002</v>
      </c>
      <c r="I86" s="13">
        <f>F86/12*G86</f>
        <v>10686.9</v>
      </c>
    </row>
    <row r="87" spans="1:9" ht="15.75" customHeight="1">
      <c r="A87" s="29"/>
      <c r="B87" s="43" t="s">
        <v>81</v>
      </c>
      <c r="C87" s="90"/>
      <c r="D87" s="88"/>
      <c r="E87" s="91"/>
      <c r="F87" s="91"/>
      <c r="G87" s="91"/>
      <c r="H87" s="92">
        <f>SUM(H86)</f>
        <v>128.24280000000002</v>
      </c>
      <c r="I87" s="91">
        <f>I86+I85+I79+I78+I72+I62+I44+I43+I42+I40+I39+I38+I26+I18+I17+I16</f>
        <v>48736.009765666669</v>
      </c>
    </row>
    <row r="88" spans="1:9" ht="15.75" customHeight="1">
      <c r="A88" s="183" t="s">
        <v>60</v>
      </c>
      <c r="B88" s="184"/>
      <c r="C88" s="184"/>
      <c r="D88" s="184"/>
      <c r="E88" s="184"/>
      <c r="F88" s="184"/>
      <c r="G88" s="184"/>
      <c r="H88" s="184"/>
      <c r="I88" s="185"/>
    </row>
    <row r="89" spans="1:9" ht="31.5" customHeight="1">
      <c r="A89" s="29">
        <v>17</v>
      </c>
      <c r="B89" s="115" t="s">
        <v>173</v>
      </c>
      <c r="C89" s="116" t="s">
        <v>29</v>
      </c>
      <c r="D89" s="117"/>
      <c r="E89" s="36"/>
      <c r="F89" s="36">
        <v>7</v>
      </c>
      <c r="G89" s="13">
        <v>19757.060000000001</v>
      </c>
      <c r="H89" s="114">
        <f>F89*G89/1000</f>
        <v>138.29942000000003</v>
      </c>
      <c r="I89" s="18">
        <f>G89*0.599*8/1000</f>
        <v>94.675831520000003</v>
      </c>
    </row>
    <row r="90" spans="1:9" ht="21.75" customHeight="1">
      <c r="A90" s="29">
        <v>18</v>
      </c>
      <c r="B90" s="115" t="s">
        <v>82</v>
      </c>
      <c r="C90" s="116" t="s">
        <v>89</v>
      </c>
      <c r="D90" s="52"/>
      <c r="E90" s="36"/>
      <c r="F90" s="36">
        <v>128</v>
      </c>
      <c r="G90" s="13">
        <v>207.55</v>
      </c>
      <c r="H90" s="36">
        <f t="shared" ref="H90" si="12">F90*G90/1000</f>
        <v>26.566400000000002</v>
      </c>
      <c r="I90" s="13">
        <f>G90*2</f>
        <v>415.1</v>
      </c>
    </row>
    <row r="91" spans="1:9" ht="35.25" customHeight="1">
      <c r="A91" s="29">
        <v>19</v>
      </c>
      <c r="B91" s="115" t="s">
        <v>192</v>
      </c>
      <c r="C91" s="116" t="s">
        <v>38</v>
      </c>
      <c r="D91" s="52"/>
      <c r="E91" s="36"/>
      <c r="F91" s="36"/>
      <c r="G91" s="13">
        <v>3914.31</v>
      </c>
      <c r="H91" s="36"/>
      <c r="I91" s="13">
        <f>G91*0.01</f>
        <v>39.143099999999997</v>
      </c>
    </row>
    <row r="92" spans="1:9" ht="35.25" customHeight="1">
      <c r="A92" s="29">
        <v>20</v>
      </c>
      <c r="B92" s="115" t="s">
        <v>234</v>
      </c>
      <c r="C92" s="116" t="s">
        <v>171</v>
      </c>
      <c r="D92" s="52"/>
      <c r="E92" s="36"/>
      <c r="F92" s="36"/>
      <c r="G92" s="13">
        <v>26095.37</v>
      </c>
      <c r="H92" s="36"/>
      <c r="I92" s="13">
        <f>G92*0.01</f>
        <v>260.95369999999997</v>
      </c>
    </row>
    <row r="93" spans="1:9" ht="19.5" customHeight="1">
      <c r="A93" s="29">
        <v>21</v>
      </c>
      <c r="B93" s="115" t="s">
        <v>159</v>
      </c>
      <c r="C93" s="116" t="s">
        <v>127</v>
      </c>
      <c r="D93" s="52"/>
      <c r="E93" s="36"/>
      <c r="F93" s="36"/>
      <c r="G93" s="13">
        <v>273</v>
      </c>
      <c r="H93" s="36"/>
      <c r="I93" s="13">
        <f>G93*6</f>
        <v>1638</v>
      </c>
    </row>
    <row r="94" spans="1:9" ht="35.25" customHeight="1">
      <c r="A94" s="29">
        <v>22</v>
      </c>
      <c r="B94" s="115" t="s">
        <v>87</v>
      </c>
      <c r="C94" s="116" t="s">
        <v>97</v>
      </c>
      <c r="D94" s="52"/>
      <c r="E94" s="36"/>
      <c r="F94" s="36"/>
      <c r="G94" s="13">
        <v>644.72</v>
      </c>
      <c r="H94" s="36"/>
      <c r="I94" s="13">
        <f>G94*2</f>
        <v>1289.44</v>
      </c>
    </row>
    <row r="95" spans="1:9" ht="32.25" customHeight="1">
      <c r="A95" s="29">
        <v>23</v>
      </c>
      <c r="B95" s="115" t="s">
        <v>197</v>
      </c>
      <c r="C95" s="116" t="s">
        <v>172</v>
      </c>
      <c r="D95" s="29" t="s">
        <v>247</v>
      </c>
      <c r="E95" s="36"/>
      <c r="F95" s="36"/>
      <c r="G95" s="13">
        <v>214.07</v>
      </c>
      <c r="H95" s="36"/>
      <c r="I95" s="13">
        <f>G95*1</f>
        <v>214.07</v>
      </c>
    </row>
    <row r="96" spans="1:9" ht="18.75" customHeight="1">
      <c r="A96" s="29">
        <v>24</v>
      </c>
      <c r="B96" s="115" t="s">
        <v>244</v>
      </c>
      <c r="C96" s="116" t="s">
        <v>97</v>
      </c>
      <c r="D96" s="52"/>
      <c r="E96" s="36"/>
      <c r="F96" s="36"/>
      <c r="G96" s="13">
        <v>271.02999999999997</v>
      </c>
      <c r="H96" s="36"/>
      <c r="I96" s="13">
        <f>G96*1</f>
        <v>271.02999999999997</v>
      </c>
    </row>
    <row r="97" spans="1:9" ht="15.75" customHeight="1">
      <c r="A97" s="29"/>
      <c r="B97" s="50" t="s">
        <v>52</v>
      </c>
      <c r="C97" s="46"/>
      <c r="D97" s="54"/>
      <c r="E97" s="46">
        <v>1</v>
      </c>
      <c r="F97" s="46"/>
      <c r="G97" s="46"/>
      <c r="H97" s="46"/>
      <c r="I97" s="32">
        <f>SUM(I89:I96)</f>
        <v>4222.4126315200001</v>
      </c>
    </row>
    <row r="98" spans="1:9" ht="15.75" customHeight="1">
      <c r="A98" s="29"/>
      <c r="B98" s="52" t="s">
        <v>80</v>
      </c>
      <c r="C98" s="15"/>
      <c r="D98" s="15"/>
      <c r="E98" s="47"/>
      <c r="F98" s="47"/>
      <c r="G98" s="48"/>
      <c r="H98" s="48"/>
      <c r="I98" s="17">
        <v>0</v>
      </c>
    </row>
    <row r="99" spans="1:9" ht="15.75" customHeight="1">
      <c r="A99" s="55"/>
      <c r="B99" s="51" t="s">
        <v>141</v>
      </c>
      <c r="C99" s="35"/>
      <c r="D99" s="35"/>
      <c r="E99" s="35"/>
      <c r="F99" s="35"/>
      <c r="G99" s="35"/>
      <c r="H99" s="35"/>
      <c r="I99" s="49">
        <f>I87+I97</f>
        <v>52958.422397186667</v>
      </c>
    </row>
    <row r="100" spans="1:9" ht="15.75">
      <c r="A100" s="186" t="s">
        <v>245</v>
      </c>
      <c r="B100" s="186"/>
      <c r="C100" s="186"/>
      <c r="D100" s="186"/>
      <c r="E100" s="186"/>
      <c r="F100" s="186"/>
      <c r="G100" s="186"/>
      <c r="H100" s="186"/>
      <c r="I100" s="186"/>
    </row>
    <row r="101" spans="1:9" ht="15.75">
      <c r="A101" s="62"/>
      <c r="B101" s="187" t="s">
        <v>246</v>
      </c>
      <c r="C101" s="187"/>
      <c r="D101" s="187"/>
      <c r="E101" s="187"/>
      <c r="F101" s="187"/>
      <c r="G101" s="187"/>
      <c r="H101" s="70"/>
      <c r="I101" s="3"/>
    </row>
    <row r="102" spans="1:9">
      <c r="A102" s="109"/>
      <c r="B102" s="188" t="s">
        <v>6</v>
      </c>
      <c r="C102" s="188"/>
      <c r="D102" s="188"/>
      <c r="E102" s="188"/>
      <c r="F102" s="188"/>
      <c r="G102" s="188"/>
      <c r="H102" s="24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189" t="s">
        <v>7</v>
      </c>
      <c r="B104" s="189"/>
      <c r="C104" s="189"/>
      <c r="D104" s="189"/>
      <c r="E104" s="189"/>
      <c r="F104" s="189"/>
      <c r="G104" s="189"/>
      <c r="H104" s="189"/>
      <c r="I104" s="189"/>
    </row>
    <row r="105" spans="1:9" ht="15.75" customHeight="1">
      <c r="A105" s="189" t="s">
        <v>8</v>
      </c>
      <c r="B105" s="189"/>
      <c r="C105" s="189"/>
      <c r="D105" s="189"/>
      <c r="E105" s="189"/>
      <c r="F105" s="189"/>
      <c r="G105" s="189"/>
      <c r="H105" s="189"/>
      <c r="I105" s="189"/>
    </row>
    <row r="106" spans="1:9" ht="15.75" customHeight="1">
      <c r="A106" s="190" t="s">
        <v>61</v>
      </c>
      <c r="B106" s="190"/>
      <c r="C106" s="190"/>
      <c r="D106" s="190"/>
      <c r="E106" s="190"/>
      <c r="F106" s="190"/>
      <c r="G106" s="190"/>
      <c r="H106" s="190"/>
      <c r="I106" s="190"/>
    </row>
    <row r="107" spans="1:9" ht="15.75" customHeight="1">
      <c r="A107" s="11"/>
    </row>
    <row r="108" spans="1:9" ht="15.75" customHeight="1">
      <c r="A108" s="191" t="s">
        <v>9</v>
      </c>
      <c r="B108" s="191"/>
      <c r="C108" s="191"/>
      <c r="D108" s="191"/>
      <c r="E108" s="191"/>
      <c r="F108" s="191"/>
      <c r="G108" s="191"/>
      <c r="H108" s="191"/>
      <c r="I108" s="191"/>
    </row>
    <row r="109" spans="1:9" ht="15.75" customHeight="1">
      <c r="A109" s="4"/>
    </row>
    <row r="110" spans="1:9" ht="15.75" customHeight="1">
      <c r="B110" s="110" t="s">
        <v>10</v>
      </c>
      <c r="C110" s="192" t="s">
        <v>88</v>
      </c>
      <c r="D110" s="192"/>
      <c r="E110" s="192"/>
      <c r="F110" s="68"/>
      <c r="I110" s="108"/>
    </row>
    <row r="111" spans="1:9" ht="15.75" customHeight="1">
      <c r="A111" s="109"/>
      <c r="C111" s="188" t="s">
        <v>11</v>
      </c>
      <c r="D111" s="188"/>
      <c r="E111" s="188"/>
      <c r="F111" s="24"/>
      <c r="I111" s="107" t="s">
        <v>12</v>
      </c>
    </row>
    <row r="112" spans="1:9" ht="15.75" customHeight="1">
      <c r="A112" s="25"/>
      <c r="C112" s="12"/>
      <c r="D112" s="12"/>
      <c r="G112" s="12"/>
      <c r="H112" s="12"/>
    </row>
    <row r="113" spans="1:9" ht="15.75" customHeight="1">
      <c r="B113" s="110" t="s">
        <v>13</v>
      </c>
      <c r="C113" s="193"/>
      <c r="D113" s="193"/>
      <c r="E113" s="193"/>
      <c r="F113" s="69"/>
      <c r="I113" s="108"/>
    </row>
    <row r="114" spans="1:9" ht="15.75" customHeight="1">
      <c r="A114" s="109"/>
      <c r="C114" s="182" t="s">
        <v>11</v>
      </c>
      <c r="D114" s="182"/>
      <c r="E114" s="182"/>
      <c r="F114" s="109"/>
      <c r="I114" s="107" t="s">
        <v>12</v>
      </c>
    </row>
    <row r="115" spans="1:9" ht="15.75" customHeight="1">
      <c r="A115" s="4" t="s">
        <v>14</v>
      </c>
    </row>
    <row r="116" spans="1:9">
      <c r="A116" s="180" t="s">
        <v>15</v>
      </c>
      <c r="B116" s="180"/>
      <c r="C116" s="180"/>
      <c r="D116" s="180"/>
      <c r="E116" s="180"/>
      <c r="F116" s="180"/>
      <c r="G116" s="180"/>
      <c r="H116" s="180"/>
      <c r="I116" s="180"/>
    </row>
    <row r="117" spans="1:9" ht="45" customHeight="1">
      <c r="A117" s="181" t="s">
        <v>16</v>
      </c>
      <c r="B117" s="181"/>
      <c r="C117" s="181"/>
      <c r="D117" s="181"/>
      <c r="E117" s="181"/>
      <c r="F117" s="181"/>
      <c r="G117" s="181"/>
      <c r="H117" s="181"/>
      <c r="I117" s="181"/>
    </row>
    <row r="118" spans="1:9" ht="30" customHeight="1">
      <c r="A118" s="181" t="s">
        <v>17</v>
      </c>
      <c r="B118" s="181"/>
      <c r="C118" s="181"/>
      <c r="D118" s="181"/>
      <c r="E118" s="181"/>
      <c r="F118" s="181"/>
      <c r="G118" s="181"/>
      <c r="H118" s="181"/>
      <c r="I118" s="181"/>
    </row>
    <row r="119" spans="1:9" ht="30" customHeight="1">
      <c r="A119" s="181" t="s">
        <v>21</v>
      </c>
      <c r="B119" s="181"/>
      <c r="C119" s="181"/>
      <c r="D119" s="181"/>
      <c r="E119" s="181"/>
      <c r="F119" s="181"/>
      <c r="G119" s="181"/>
      <c r="H119" s="181"/>
      <c r="I119" s="181"/>
    </row>
    <row r="120" spans="1:9" ht="15" customHeight="1">
      <c r="A120" s="181" t="s">
        <v>20</v>
      </c>
      <c r="B120" s="181"/>
      <c r="C120" s="181"/>
      <c r="D120" s="181"/>
      <c r="E120" s="181"/>
      <c r="F120" s="181"/>
      <c r="G120" s="181"/>
      <c r="H120" s="181"/>
      <c r="I120" s="181"/>
    </row>
  </sheetData>
  <autoFilter ref="I12:I66"/>
  <mergeCells count="29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71:U71"/>
    <mergeCell ref="C114:E114"/>
    <mergeCell ref="A88:I88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4:I84"/>
    <mergeCell ref="A116:I116"/>
    <mergeCell ref="A117:I117"/>
    <mergeCell ref="A118:I118"/>
    <mergeCell ref="A119:I119"/>
    <mergeCell ref="A120:I120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07" max="8" man="1"/>
  </rowBreaks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7"/>
  <sheetViews>
    <sheetView tabSelected="1" workbookViewId="0">
      <selection activeCell="A103" sqref="A103:I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168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7" t="s">
        <v>157</v>
      </c>
      <c r="B3" s="197"/>
      <c r="C3" s="197"/>
      <c r="D3" s="197"/>
      <c r="E3" s="197"/>
      <c r="F3" s="197"/>
      <c r="G3" s="197"/>
      <c r="H3" s="197"/>
      <c r="I3" s="197"/>
      <c r="J3" s="3"/>
      <c r="K3" s="3"/>
      <c r="L3" s="3"/>
    </row>
    <row r="4" spans="1:13" ht="31.5" customHeight="1">
      <c r="A4" s="198" t="s">
        <v>117</v>
      </c>
      <c r="B4" s="198"/>
      <c r="C4" s="198"/>
      <c r="D4" s="198"/>
      <c r="E4" s="198"/>
      <c r="F4" s="198"/>
      <c r="G4" s="198"/>
      <c r="H4" s="198"/>
      <c r="I4" s="198"/>
    </row>
    <row r="5" spans="1:13" ht="15.75" customHeight="1">
      <c r="A5" s="197" t="s">
        <v>248</v>
      </c>
      <c r="B5" s="199"/>
      <c r="C5" s="199"/>
      <c r="D5" s="199"/>
      <c r="E5" s="199"/>
      <c r="F5" s="199"/>
      <c r="G5" s="199"/>
      <c r="H5" s="199"/>
      <c r="I5" s="199"/>
      <c r="J5" s="2"/>
      <c r="K5" s="2"/>
      <c r="L5" s="2"/>
      <c r="M5" s="2"/>
    </row>
    <row r="6" spans="1:13" ht="15.75" customHeight="1">
      <c r="A6" s="2"/>
      <c r="B6" s="111"/>
      <c r="C6" s="111"/>
      <c r="D6" s="111"/>
      <c r="E6" s="111"/>
      <c r="F6" s="111"/>
      <c r="G6" s="111"/>
      <c r="H6" s="111"/>
      <c r="I6" s="30">
        <v>43830</v>
      </c>
      <c r="J6" s="2"/>
      <c r="K6" s="2"/>
      <c r="L6" s="2"/>
      <c r="M6" s="2"/>
    </row>
    <row r="7" spans="1:13" ht="15.75" customHeight="1">
      <c r="B7" s="110"/>
      <c r="C7" s="110"/>
      <c r="D7" s="11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0" t="s">
        <v>169</v>
      </c>
      <c r="B8" s="200"/>
      <c r="C8" s="200"/>
      <c r="D8" s="200"/>
      <c r="E8" s="200"/>
      <c r="F8" s="200"/>
      <c r="G8" s="200"/>
      <c r="H8" s="200"/>
      <c r="I8" s="20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1" t="s">
        <v>158</v>
      </c>
      <c r="B10" s="201"/>
      <c r="C10" s="201"/>
      <c r="D10" s="201"/>
      <c r="E10" s="201"/>
      <c r="F10" s="201"/>
      <c r="G10" s="201"/>
      <c r="H10" s="201"/>
      <c r="I10" s="201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2" t="s">
        <v>59</v>
      </c>
      <c r="B14" s="202"/>
      <c r="C14" s="202"/>
      <c r="D14" s="202"/>
      <c r="E14" s="202"/>
      <c r="F14" s="202"/>
      <c r="G14" s="202"/>
      <c r="H14" s="202"/>
      <c r="I14" s="202"/>
      <c r="J14" s="8"/>
      <c r="K14" s="8"/>
      <c r="L14" s="8"/>
      <c r="M14" s="8"/>
    </row>
    <row r="15" spans="1:13" ht="15.75" customHeight="1">
      <c r="A15" s="203" t="s">
        <v>4</v>
      </c>
      <c r="B15" s="203"/>
      <c r="C15" s="203"/>
      <c r="D15" s="203"/>
      <c r="E15" s="203"/>
      <c r="F15" s="203"/>
      <c r="G15" s="203"/>
      <c r="H15" s="203"/>
      <c r="I15" s="203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93</v>
      </c>
      <c r="D16" s="71" t="s">
        <v>199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93</v>
      </c>
      <c r="D17" s="71" t="s">
        <v>200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93</v>
      </c>
      <c r="D18" s="71" t="s">
        <v>201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100</v>
      </c>
      <c r="C19" s="72" t="s">
        <v>101</v>
      </c>
      <c r="D19" s="71" t="s">
        <v>102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92</v>
      </c>
      <c r="C20" s="72" t="s">
        <v>93</v>
      </c>
      <c r="D20" s="71" t="s">
        <v>142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98</v>
      </c>
      <c r="C21" s="72" t="s">
        <v>93</v>
      </c>
      <c r="D21" s="71" t="s">
        <v>142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94</v>
      </c>
      <c r="C22" s="72" t="s">
        <v>53</v>
      </c>
      <c r="D22" s="71" t="s">
        <v>102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95</v>
      </c>
      <c r="C23" s="72" t="s">
        <v>53</v>
      </c>
      <c r="D23" s="71" t="s">
        <v>102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96</v>
      </c>
      <c r="C24" s="72" t="s">
        <v>53</v>
      </c>
      <c r="D24" s="71" t="s">
        <v>102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99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198</v>
      </c>
      <c r="C26" s="44" t="s">
        <v>25</v>
      </c>
      <c r="D26" s="34" t="s">
        <v>201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  <c r="J26" s="23"/>
    </row>
    <row r="27" spans="1:13" ht="15.75" hidden="1" customHeight="1">
      <c r="A27" s="29">
        <v>5</v>
      </c>
      <c r="B27" s="120" t="s">
        <v>23</v>
      </c>
      <c r="C27" s="44" t="s">
        <v>24</v>
      </c>
      <c r="D27" s="34"/>
      <c r="E27" s="121">
        <v>3053.4</v>
      </c>
      <c r="F27" s="33">
        <f>SUM(E27*12)</f>
        <v>36640.800000000003</v>
      </c>
      <c r="G27" s="33">
        <v>4.09</v>
      </c>
      <c r="H27" s="119">
        <f t="shared" ref="H27" si="1">SUM(F27*G27/1000)</f>
        <v>149.860872</v>
      </c>
      <c r="I27" s="13">
        <f>F27/12*G27</f>
        <v>12488.405999999999</v>
      </c>
      <c r="J27" s="23"/>
    </row>
    <row r="28" spans="1:13" ht="15.75" customHeight="1">
      <c r="A28" s="203" t="s">
        <v>140</v>
      </c>
      <c r="B28" s="203"/>
      <c r="C28" s="203"/>
      <c r="D28" s="203"/>
      <c r="E28" s="203"/>
      <c r="F28" s="203"/>
      <c r="G28" s="203"/>
      <c r="H28" s="203"/>
      <c r="I28" s="203"/>
      <c r="J28" s="22"/>
      <c r="K28" s="8"/>
      <c r="L28" s="8"/>
      <c r="M28" s="8"/>
    </row>
    <row r="29" spans="1:13" ht="15.75" hidden="1" customHeight="1">
      <c r="A29" s="96"/>
      <c r="B29" s="104" t="s">
        <v>28</v>
      </c>
      <c r="C29" s="98"/>
      <c r="D29" s="97"/>
      <c r="E29" s="99"/>
      <c r="F29" s="100"/>
      <c r="G29" s="100"/>
      <c r="H29" s="105"/>
      <c r="I29" s="106"/>
      <c r="J29" s="22"/>
      <c r="K29" s="8"/>
      <c r="L29" s="8"/>
      <c r="M29" s="8"/>
    </row>
    <row r="30" spans="1:13" ht="15.75" hidden="1" customHeight="1">
      <c r="A30" s="29">
        <v>6</v>
      </c>
      <c r="B30" s="71" t="s">
        <v>103</v>
      </c>
      <c r="C30" s="72" t="s">
        <v>104</v>
      </c>
      <c r="D30" s="71" t="s">
        <v>118</v>
      </c>
      <c r="E30" s="74">
        <v>317.7</v>
      </c>
      <c r="F30" s="74">
        <f>SUM(E30*52/1000)</f>
        <v>16.520399999999999</v>
      </c>
      <c r="G30" s="74">
        <v>204.44</v>
      </c>
      <c r="H30" s="78">
        <f t="shared" ref="H30:H36" si="2">SUM(F30*G30/1000)</f>
        <v>3.3774305759999996</v>
      </c>
      <c r="I30" s="13">
        <f t="shared" ref="I30:I34" si="3">F30/6*G30</f>
        <v>562.90509599999996</v>
      </c>
      <c r="J30" s="22"/>
      <c r="K30" s="8"/>
      <c r="L30" s="8"/>
      <c r="M30" s="8"/>
    </row>
    <row r="31" spans="1:13" ht="31.5" hidden="1" customHeight="1">
      <c r="A31" s="29">
        <v>7</v>
      </c>
      <c r="B31" s="71" t="s">
        <v>128</v>
      </c>
      <c r="C31" s="72" t="s">
        <v>104</v>
      </c>
      <c r="D31" s="71" t="s">
        <v>119</v>
      </c>
      <c r="E31" s="74">
        <v>146.1</v>
      </c>
      <c r="F31" s="74">
        <f>SUM(E31*78/1000)</f>
        <v>11.395799999999999</v>
      </c>
      <c r="G31" s="74">
        <v>339.21</v>
      </c>
      <c r="H31" s="78">
        <f t="shared" si="2"/>
        <v>3.8655693179999995</v>
      </c>
      <c r="I31" s="13">
        <f t="shared" si="3"/>
        <v>644.26155299999994</v>
      </c>
      <c r="J31" s="22"/>
      <c r="K31" s="8"/>
      <c r="L31" s="8"/>
      <c r="M31" s="8"/>
    </row>
    <row r="32" spans="1:13" ht="15.75" hidden="1" customHeight="1">
      <c r="A32" s="29">
        <v>11</v>
      </c>
      <c r="B32" s="71" t="s">
        <v>27</v>
      </c>
      <c r="C32" s="72" t="s">
        <v>104</v>
      </c>
      <c r="D32" s="71" t="s">
        <v>54</v>
      </c>
      <c r="E32" s="74">
        <f>E30</f>
        <v>317.7</v>
      </c>
      <c r="F32" s="74">
        <f>SUM(E32/1000)</f>
        <v>0.31769999999999998</v>
      </c>
      <c r="G32" s="74">
        <v>3961.23</v>
      </c>
      <c r="H32" s="78">
        <f t="shared" si="2"/>
        <v>1.2584827709999999</v>
      </c>
      <c r="I32" s="13">
        <f>F32*G32</f>
        <v>1258.482771</v>
      </c>
      <c r="J32" s="22"/>
      <c r="K32" s="8"/>
      <c r="L32" s="8"/>
      <c r="M32" s="8"/>
    </row>
    <row r="33" spans="1:14" ht="15.75" hidden="1" customHeight="1">
      <c r="A33" s="29">
        <v>8</v>
      </c>
      <c r="B33" s="71" t="s">
        <v>143</v>
      </c>
      <c r="C33" s="72" t="s">
        <v>40</v>
      </c>
      <c r="D33" s="71" t="s">
        <v>63</v>
      </c>
      <c r="E33" s="74">
        <v>5</v>
      </c>
      <c r="F33" s="74">
        <f>E33*155/100</f>
        <v>7.75</v>
      </c>
      <c r="G33" s="74">
        <v>1707.63</v>
      </c>
      <c r="H33" s="78">
        <f t="shared" si="2"/>
        <v>13.234132500000001</v>
      </c>
      <c r="I33" s="13">
        <f t="shared" si="3"/>
        <v>2205.6887500000003</v>
      </c>
      <c r="J33" s="22"/>
      <c r="K33" s="8"/>
      <c r="L33" s="8"/>
      <c r="M33" s="8"/>
    </row>
    <row r="34" spans="1:14" ht="15.75" hidden="1" customHeight="1">
      <c r="A34" s="29">
        <v>9</v>
      </c>
      <c r="B34" s="71" t="s">
        <v>105</v>
      </c>
      <c r="C34" s="72" t="s">
        <v>30</v>
      </c>
      <c r="D34" s="71" t="s">
        <v>63</v>
      </c>
      <c r="E34" s="80">
        <f>1/6</f>
        <v>0.16666666666666666</v>
      </c>
      <c r="F34" s="74">
        <f>155/6</f>
        <v>25.833333333333332</v>
      </c>
      <c r="G34" s="74">
        <v>74.349999999999994</v>
      </c>
      <c r="H34" s="78">
        <f t="shared" si="2"/>
        <v>1.920708333333333</v>
      </c>
      <c r="I34" s="13">
        <f t="shared" si="3"/>
        <v>320.11805555555554</v>
      </c>
      <c r="J34" s="22"/>
      <c r="K34" s="8"/>
      <c r="L34" s="8"/>
      <c r="M34" s="8"/>
    </row>
    <row r="35" spans="1:14" ht="15.75" hidden="1" customHeight="1">
      <c r="A35" s="29"/>
      <c r="B35" s="34" t="s">
        <v>64</v>
      </c>
      <c r="C35" s="44" t="s">
        <v>32</v>
      </c>
      <c r="D35" s="34" t="s">
        <v>66</v>
      </c>
      <c r="E35" s="121"/>
      <c r="F35" s="33">
        <v>2</v>
      </c>
      <c r="G35" s="33">
        <v>250.92</v>
      </c>
      <c r="H35" s="119">
        <f t="shared" si="2"/>
        <v>0.50183999999999995</v>
      </c>
      <c r="I35" s="13">
        <v>0</v>
      </c>
      <c r="J35" s="22"/>
      <c r="K35" s="8"/>
    </row>
    <row r="36" spans="1:14" ht="15.75" hidden="1" customHeight="1">
      <c r="A36" s="29"/>
      <c r="B36" s="34" t="s">
        <v>65</v>
      </c>
      <c r="C36" s="44" t="s">
        <v>31</v>
      </c>
      <c r="D36" s="34" t="s">
        <v>66</v>
      </c>
      <c r="E36" s="121"/>
      <c r="F36" s="33">
        <v>1</v>
      </c>
      <c r="G36" s="33">
        <v>1490.31</v>
      </c>
      <c r="H36" s="119">
        <f t="shared" si="2"/>
        <v>1.49031</v>
      </c>
      <c r="I36" s="13"/>
      <c r="J36" s="22"/>
      <c r="K36" s="8"/>
    </row>
    <row r="37" spans="1:14" ht="15.75" customHeight="1">
      <c r="A37" s="29"/>
      <c r="B37" s="93" t="s">
        <v>5</v>
      </c>
      <c r="C37" s="72"/>
      <c r="D37" s="71"/>
      <c r="E37" s="73"/>
      <c r="F37" s="74"/>
      <c r="G37" s="74"/>
      <c r="H37" s="78" t="s">
        <v>123</v>
      </c>
      <c r="I37" s="79"/>
      <c r="J37" s="23"/>
    </row>
    <row r="38" spans="1:14" ht="15.75" customHeight="1">
      <c r="A38" s="29">
        <v>5</v>
      </c>
      <c r="B38" s="71" t="s">
        <v>26</v>
      </c>
      <c r="C38" s="72" t="s">
        <v>31</v>
      </c>
      <c r="D38" s="71"/>
      <c r="E38" s="73"/>
      <c r="F38" s="74">
        <v>3</v>
      </c>
      <c r="G38" s="74">
        <v>2003</v>
      </c>
      <c r="H38" s="78">
        <f t="shared" ref="H38:H44" si="4">SUM(F38*G38/1000)</f>
        <v>6.0090000000000003</v>
      </c>
      <c r="I38" s="13">
        <f>G38*1.2</f>
        <v>2403.6</v>
      </c>
      <c r="J38" s="23"/>
    </row>
    <row r="39" spans="1:14" ht="15.75" customHeight="1">
      <c r="A39" s="29">
        <v>6</v>
      </c>
      <c r="B39" s="71" t="s">
        <v>67</v>
      </c>
      <c r="C39" s="72" t="s">
        <v>29</v>
      </c>
      <c r="D39" s="71" t="s">
        <v>222</v>
      </c>
      <c r="E39" s="74">
        <v>160.6</v>
      </c>
      <c r="F39" s="74">
        <f>SUM(E39*18/1000)</f>
        <v>2.8907999999999996</v>
      </c>
      <c r="G39" s="74">
        <v>2757.78</v>
      </c>
      <c r="H39" s="78">
        <f t="shared" si="4"/>
        <v>7.972190423999999</v>
      </c>
      <c r="I39" s="13">
        <f t="shared" ref="I39:I42" si="5">F39/6*G39</f>
        <v>1328.698404</v>
      </c>
      <c r="J39" s="23"/>
    </row>
    <row r="40" spans="1:14" ht="15.75" customHeight="1">
      <c r="A40" s="29">
        <v>7</v>
      </c>
      <c r="B40" s="71" t="s">
        <v>68</v>
      </c>
      <c r="C40" s="72" t="s">
        <v>29</v>
      </c>
      <c r="D40" s="71" t="s">
        <v>203</v>
      </c>
      <c r="E40" s="73">
        <v>89.1</v>
      </c>
      <c r="F40" s="74">
        <f>SUM(E40*155/1000)</f>
        <v>13.810499999999999</v>
      </c>
      <c r="G40" s="74">
        <v>460.02</v>
      </c>
      <c r="H40" s="78">
        <f t="shared" si="4"/>
        <v>6.3531062099999991</v>
      </c>
      <c r="I40" s="13">
        <f t="shared" si="5"/>
        <v>1058.8510349999999</v>
      </c>
      <c r="J40" s="23"/>
    </row>
    <row r="41" spans="1:14" ht="15.75" hidden="1" customHeight="1">
      <c r="A41" s="29">
        <v>12</v>
      </c>
      <c r="B41" s="71" t="s">
        <v>145</v>
      </c>
      <c r="C41" s="72" t="s">
        <v>146</v>
      </c>
      <c r="D41" s="71" t="s">
        <v>66</v>
      </c>
      <c r="E41" s="73"/>
      <c r="F41" s="74">
        <v>39</v>
      </c>
      <c r="G41" s="74">
        <v>301.70999999999998</v>
      </c>
      <c r="H41" s="78">
        <f t="shared" si="4"/>
        <v>11.766689999999999</v>
      </c>
      <c r="I41" s="13">
        <v>0</v>
      </c>
      <c r="J41" s="23"/>
    </row>
    <row r="42" spans="1:14" ht="47.25" customHeight="1">
      <c r="A42" s="29">
        <v>8</v>
      </c>
      <c r="B42" s="71" t="s">
        <v>83</v>
      </c>
      <c r="C42" s="72" t="s">
        <v>104</v>
      </c>
      <c r="D42" s="71" t="s">
        <v>204</v>
      </c>
      <c r="E42" s="74">
        <v>46.5</v>
      </c>
      <c r="F42" s="74">
        <f>SUM(E42*35/1000)</f>
        <v>1.6274999999999999</v>
      </c>
      <c r="G42" s="74">
        <v>7611.16</v>
      </c>
      <c r="H42" s="78">
        <f t="shared" si="4"/>
        <v>12.3871629</v>
      </c>
      <c r="I42" s="13">
        <f t="shared" si="5"/>
        <v>2064.5271499999999</v>
      </c>
      <c r="J42" s="23"/>
      <c r="L42" s="19"/>
      <c r="M42" s="20"/>
      <c r="N42" s="21"/>
    </row>
    <row r="43" spans="1:14" ht="15.75" customHeight="1">
      <c r="A43" s="94">
        <v>9</v>
      </c>
      <c r="B43" s="83" t="s">
        <v>106</v>
      </c>
      <c r="C43" s="84" t="s">
        <v>104</v>
      </c>
      <c r="D43" s="83" t="s">
        <v>205</v>
      </c>
      <c r="E43" s="85">
        <v>89.1</v>
      </c>
      <c r="F43" s="85">
        <f>SUM(E43*45/1000)</f>
        <v>4.0094999999999992</v>
      </c>
      <c r="G43" s="85">
        <v>562.25</v>
      </c>
      <c r="H43" s="82">
        <f t="shared" si="4"/>
        <v>2.2543413749999996</v>
      </c>
      <c r="I43" s="95">
        <f>F43/7.5*G43</f>
        <v>300.57884999999993</v>
      </c>
      <c r="J43" s="23"/>
      <c r="L43" s="19"/>
      <c r="M43" s="20"/>
      <c r="N43" s="21"/>
    </row>
    <row r="44" spans="1:14" ht="15.75" customHeight="1">
      <c r="A44" s="29">
        <v>10</v>
      </c>
      <c r="B44" s="14" t="s">
        <v>70</v>
      </c>
      <c r="C44" s="16" t="s">
        <v>32</v>
      </c>
      <c r="D44" s="14"/>
      <c r="E44" s="18"/>
      <c r="F44" s="13">
        <v>0.9</v>
      </c>
      <c r="G44" s="13">
        <v>974.83</v>
      </c>
      <c r="H44" s="13">
        <f t="shared" si="4"/>
        <v>0.8773470000000001</v>
      </c>
      <c r="I44" s="13">
        <f>F44/7.5*G44</f>
        <v>116.97960000000002</v>
      </c>
      <c r="J44" s="23"/>
      <c r="L44" s="19"/>
      <c r="M44" s="20"/>
      <c r="N44" s="21"/>
    </row>
    <row r="45" spans="1:14" ht="15.75" customHeight="1">
      <c r="A45" s="194" t="s">
        <v>129</v>
      </c>
      <c r="B45" s="195"/>
      <c r="C45" s="195"/>
      <c r="D45" s="195"/>
      <c r="E45" s="195"/>
      <c r="F45" s="195"/>
      <c r="G45" s="195"/>
      <c r="H45" s="195"/>
      <c r="I45" s="196"/>
      <c r="J45" s="23"/>
      <c r="L45" s="19"/>
      <c r="M45" s="20"/>
      <c r="N45" s="21"/>
    </row>
    <row r="46" spans="1:14" ht="15.75" hidden="1" customHeight="1">
      <c r="A46" s="29">
        <v>12</v>
      </c>
      <c r="B46" s="39" t="s">
        <v>107</v>
      </c>
      <c r="C46" s="40" t="s">
        <v>104</v>
      </c>
      <c r="D46" s="39" t="s">
        <v>42</v>
      </c>
      <c r="E46" s="17">
        <v>1632.75</v>
      </c>
      <c r="F46" s="36">
        <f>SUM(E46*2/1000)</f>
        <v>3.2654999999999998</v>
      </c>
      <c r="G46" s="36">
        <v>1062</v>
      </c>
      <c r="H46" s="36">
        <f t="shared" ref="H46:H55" si="6">SUM(F46*G46/1000)</f>
        <v>3.4679609999999998</v>
      </c>
      <c r="I46" s="13">
        <f>F46/2*G46</f>
        <v>1733.9804999999999</v>
      </c>
      <c r="J46" s="23"/>
      <c r="L46" s="19"/>
      <c r="M46" s="20"/>
      <c r="N46" s="21"/>
    </row>
    <row r="47" spans="1:14" ht="15.75" hidden="1" customHeight="1">
      <c r="A47" s="29">
        <v>13</v>
      </c>
      <c r="B47" s="39" t="s">
        <v>35</v>
      </c>
      <c r="C47" s="40" t="s">
        <v>104</v>
      </c>
      <c r="D47" s="39" t="s">
        <v>42</v>
      </c>
      <c r="E47" s="17">
        <v>53.75</v>
      </c>
      <c r="F47" s="36">
        <f>SUM(E47*2/1000)</f>
        <v>0.1075</v>
      </c>
      <c r="G47" s="36">
        <v>759.98</v>
      </c>
      <c r="H47" s="36">
        <f t="shared" si="6"/>
        <v>8.1697850000000002E-2</v>
      </c>
      <c r="I47" s="13">
        <f t="shared" ref="I47:I54" si="7">F47/2*G47</f>
        <v>40.848925000000001</v>
      </c>
      <c r="J47" s="23"/>
      <c r="L47" s="19"/>
      <c r="M47" s="20"/>
      <c r="N47" s="21"/>
    </row>
    <row r="48" spans="1:14" ht="15.75" hidden="1" customHeight="1">
      <c r="A48" s="29">
        <v>14</v>
      </c>
      <c r="B48" s="39" t="s">
        <v>36</v>
      </c>
      <c r="C48" s="40" t="s">
        <v>104</v>
      </c>
      <c r="D48" s="39" t="s">
        <v>42</v>
      </c>
      <c r="E48" s="17">
        <v>2285.6</v>
      </c>
      <c r="F48" s="36">
        <f>SUM(E48*2/1000)</f>
        <v>4.5712000000000002</v>
      </c>
      <c r="G48" s="36">
        <v>759.98</v>
      </c>
      <c r="H48" s="36">
        <f t="shared" si="6"/>
        <v>3.4740205760000005</v>
      </c>
      <c r="I48" s="13">
        <f t="shared" si="7"/>
        <v>1737.0102880000002</v>
      </c>
      <c r="J48" s="23"/>
      <c r="L48" s="19"/>
      <c r="M48" s="20"/>
      <c r="N48" s="21"/>
    </row>
    <row r="49" spans="1:14" ht="15.75" hidden="1" customHeight="1">
      <c r="A49" s="29">
        <v>15</v>
      </c>
      <c r="B49" s="39" t="s">
        <v>37</v>
      </c>
      <c r="C49" s="40" t="s">
        <v>104</v>
      </c>
      <c r="D49" s="39" t="s">
        <v>42</v>
      </c>
      <c r="E49" s="17">
        <v>1860</v>
      </c>
      <c r="F49" s="36">
        <f>SUM(E49*2/1000)</f>
        <v>3.72</v>
      </c>
      <c r="G49" s="36">
        <v>795.82</v>
      </c>
      <c r="H49" s="36">
        <f t="shared" si="6"/>
        <v>2.9604504</v>
      </c>
      <c r="I49" s="13">
        <f t="shared" si="7"/>
        <v>1480.2252000000001</v>
      </c>
      <c r="J49" s="23"/>
      <c r="L49" s="19"/>
      <c r="M49" s="20"/>
      <c r="N49" s="21"/>
    </row>
    <row r="50" spans="1:14" ht="15.75" hidden="1" customHeight="1">
      <c r="A50" s="29">
        <v>16</v>
      </c>
      <c r="B50" s="39" t="s">
        <v>33</v>
      </c>
      <c r="C50" s="40" t="s">
        <v>34</v>
      </c>
      <c r="D50" s="39" t="s">
        <v>42</v>
      </c>
      <c r="E50" s="17">
        <v>120.5</v>
      </c>
      <c r="F50" s="36">
        <f>SUM(E50*2/100)</f>
        <v>2.41</v>
      </c>
      <c r="G50" s="36">
        <v>95.49</v>
      </c>
      <c r="H50" s="36">
        <f t="shared" si="6"/>
        <v>0.2301309</v>
      </c>
      <c r="I50" s="13">
        <f t="shared" si="7"/>
        <v>115.06545</v>
      </c>
      <c r="J50" s="23"/>
      <c r="L50" s="19"/>
      <c r="M50" s="20"/>
      <c r="N50" s="21"/>
    </row>
    <row r="51" spans="1:14" ht="15.75" customHeight="1">
      <c r="A51" s="29">
        <v>11</v>
      </c>
      <c r="B51" s="39" t="s">
        <v>56</v>
      </c>
      <c r="C51" s="40" t="s">
        <v>104</v>
      </c>
      <c r="D51" s="39" t="s">
        <v>201</v>
      </c>
      <c r="E51" s="17">
        <v>3053.4</v>
      </c>
      <c r="F51" s="36">
        <f>SUM(E51*5/1000)</f>
        <v>15.266999999999999</v>
      </c>
      <c r="G51" s="36">
        <v>1591.6</v>
      </c>
      <c r="H51" s="36">
        <f t="shared" si="6"/>
        <v>24.298957199999997</v>
      </c>
      <c r="I51" s="13">
        <f>F51/5*G51</f>
        <v>4859.79144</v>
      </c>
      <c r="J51" s="23"/>
      <c r="L51" s="19"/>
      <c r="M51" s="20"/>
      <c r="N51" s="21"/>
    </row>
    <row r="52" spans="1:14" ht="31.5" hidden="1" customHeight="1">
      <c r="A52" s="29">
        <v>16</v>
      </c>
      <c r="B52" s="39" t="s">
        <v>108</v>
      </c>
      <c r="C52" s="40" t="s">
        <v>104</v>
      </c>
      <c r="D52" s="39" t="s">
        <v>42</v>
      </c>
      <c r="E52" s="17">
        <f>E51</f>
        <v>3053.4</v>
      </c>
      <c r="F52" s="36">
        <f>SUM(E52*2/1000)</f>
        <v>6.1067999999999998</v>
      </c>
      <c r="G52" s="36">
        <v>1591.6</v>
      </c>
      <c r="H52" s="36">
        <f t="shared" si="6"/>
        <v>9.7195828800000008</v>
      </c>
      <c r="I52" s="13">
        <f t="shared" si="7"/>
        <v>4859.79144</v>
      </c>
      <c r="J52" s="23"/>
      <c r="L52" s="19"/>
      <c r="M52" s="20"/>
      <c r="N52" s="21"/>
    </row>
    <row r="53" spans="1:14" ht="31.5" hidden="1" customHeight="1">
      <c r="A53" s="29">
        <v>17</v>
      </c>
      <c r="B53" s="39" t="s">
        <v>124</v>
      </c>
      <c r="C53" s="40" t="s">
        <v>38</v>
      </c>
      <c r="D53" s="39" t="s">
        <v>42</v>
      </c>
      <c r="E53" s="17">
        <v>20</v>
      </c>
      <c r="F53" s="36">
        <f>SUM(E53*2/100)</f>
        <v>0.4</v>
      </c>
      <c r="G53" s="36">
        <v>3581.13</v>
      </c>
      <c r="H53" s="36">
        <f t="shared" si="6"/>
        <v>1.4324520000000003</v>
      </c>
      <c r="I53" s="13">
        <f t="shared" si="7"/>
        <v>716.22600000000011</v>
      </c>
      <c r="J53" s="23"/>
      <c r="L53" s="19"/>
      <c r="M53" s="20"/>
      <c r="N53" s="21"/>
    </row>
    <row r="54" spans="1:14" ht="15.75" hidden="1" customHeight="1">
      <c r="A54" s="29">
        <v>18</v>
      </c>
      <c r="B54" s="39" t="s">
        <v>39</v>
      </c>
      <c r="C54" s="40" t="s">
        <v>40</v>
      </c>
      <c r="D54" s="39" t="s">
        <v>42</v>
      </c>
      <c r="E54" s="17">
        <v>1</v>
      </c>
      <c r="F54" s="36">
        <v>0.02</v>
      </c>
      <c r="G54" s="36">
        <v>7412.92</v>
      </c>
      <c r="H54" s="36">
        <f t="shared" si="6"/>
        <v>0.14825839999999998</v>
      </c>
      <c r="I54" s="13">
        <f t="shared" si="7"/>
        <v>74.129199999999997</v>
      </c>
      <c r="J54" s="23"/>
      <c r="L54" s="19"/>
      <c r="M54" s="20"/>
      <c r="N54" s="21"/>
    </row>
    <row r="55" spans="1:14" ht="15.75" hidden="1" customHeight="1">
      <c r="A55" s="29">
        <v>18</v>
      </c>
      <c r="B55" s="39" t="s">
        <v>41</v>
      </c>
      <c r="C55" s="40" t="s">
        <v>89</v>
      </c>
      <c r="D55" s="39" t="s">
        <v>71</v>
      </c>
      <c r="E55" s="17">
        <v>128</v>
      </c>
      <c r="F55" s="36">
        <f>SUM(E55)*3</f>
        <v>384</v>
      </c>
      <c r="G55" s="37">
        <v>86.15</v>
      </c>
      <c r="H55" s="36">
        <f t="shared" si="6"/>
        <v>33.081600000000009</v>
      </c>
      <c r="I55" s="13">
        <f>E55*G55</f>
        <v>11027.2</v>
      </c>
      <c r="J55" s="23"/>
      <c r="L55" s="19"/>
      <c r="M55" s="20"/>
      <c r="N55" s="21"/>
    </row>
    <row r="56" spans="1:14" ht="15.75" customHeight="1">
      <c r="A56" s="194" t="s">
        <v>130</v>
      </c>
      <c r="B56" s="195"/>
      <c r="C56" s="195"/>
      <c r="D56" s="195"/>
      <c r="E56" s="195"/>
      <c r="F56" s="195"/>
      <c r="G56" s="195"/>
      <c r="H56" s="195"/>
      <c r="I56" s="196"/>
      <c r="J56" s="23"/>
      <c r="L56" s="19"/>
      <c r="M56" s="20"/>
      <c r="N56" s="21"/>
    </row>
    <row r="57" spans="1:14" ht="15.75" hidden="1" customHeight="1">
      <c r="A57" s="96"/>
      <c r="B57" s="104" t="s">
        <v>43</v>
      </c>
      <c r="C57" s="98"/>
      <c r="D57" s="97"/>
      <c r="E57" s="99"/>
      <c r="F57" s="100"/>
      <c r="G57" s="100"/>
      <c r="H57" s="105"/>
      <c r="I57" s="106"/>
      <c r="J57" s="23"/>
      <c r="L57" s="19"/>
      <c r="M57" s="20"/>
      <c r="N57" s="21"/>
    </row>
    <row r="58" spans="1:14" ht="31.5" hidden="1" customHeight="1">
      <c r="A58" s="29">
        <v>19</v>
      </c>
      <c r="B58" s="71" t="s">
        <v>109</v>
      </c>
      <c r="C58" s="72" t="s">
        <v>93</v>
      </c>
      <c r="D58" s="71"/>
      <c r="E58" s="73">
        <v>92.7</v>
      </c>
      <c r="F58" s="74">
        <f>SUM(E58*6/100)</f>
        <v>5.5620000000000003</v>
      </c>
      <c r="G58" s="13">
        <v>2431.1799999999998</v>
      </c>
      <c r="H58" s="78">
        <f>SUM(F58*G58/1000)</f>
        <v>13.522223159999999</v>
      </c>
      <c r="I58" s="13">
        <f>G58*0.06</f>
        <v>145.87079999999997</v>
      </c>
      <c r="J58" s="23"/>
      <c r="L58" s="19"/>
      <c r="M58" s="20"/>
      <c r="N58" s="21"/>
    </row>
    <row r="59" spans="1:14" ht="15.75" hidden="1" customHeight="1">
      <c r="A59" s="29"/>
      <c r="B59" s="71" t="s">
        <v>125</v>
      </c>
      <c r="C59" s="72" t="s">
        <v>126</v>
      </c>
      <c r="D59" s="14" t="s">
        <v>66</v>
      </c>
      <c r="E59" s="73"/>
      <c r="F59" s="74">
        <v>2</v>
      </c>
      <c r="G59" s="67">
        <v>1582.05</v>
      </c>
      <c r="H59" s="78">
        <f>SUM(F59*G59/1000)</f>
        <v>3.1640999999999999</v>
      </c>
      <c r="I59" s="13">
        <f>G59*2</f>
        <v>3164.1</v>
      </c>
      <c r="J59" s="23"/>
      <c r="L59" s="19"/>
      <c r="M59" s="20"/>
      <c r="N59" s="21"/>
    </row>
    <row r="60" spans="1:14" ht="15.75" customHeight="1">
      <c r="A60" s="29"/>
      <c r="B60" s="93" t="s">
        <v>44</v>
      </c>
      <c r="C60" s="72"/>
      <c r="D60" s="71"/>
      <c r="E60" s="73"/>
      <c r="F60" s="74"/>
      <c r="G60" s="74"/>
      <c r="H60" s="75" t="s">
        <v>123</v>
      </c>
      <c r="I60" s="79"/>
      <c r="J60" s="23"/>
      <c r="L60" s="19"/>
      <c r="M60" s="20"/>
      <c r="N60" s="21"/>
    </row>
    <row r="61" spans="1:14" ht="15.75" hidden="1" customHeight="1">
      <c r="A61" s="29"/>
      <c r="B61" s="34" t="s">
        <v>45</v>
      </c>
      <c r="C61" s="44" t="s">
        <v>93</v>
      </c>
      <c r="D61" s="34" t="s">
        <v>54</v>
      </c>
      <c r="E61" s="123">
        <v>145</v>
      </c>
      <c r="F61" s="33">
        <f>SUM(E61/100)</f>
        <v>1.45</v>
      </c>
      <c r="G61" s="36">
        <v>1040.8399999999999</v>
      </c>
      <c r="H61" s="124">
        <v>9.1679999999999993</v>
      </c>
      <c r="I61" s="13">
        <v>0</v>
      </c>
      <c r="J61" s="23"/>
      <c r="L61" s="19"/>
      <c r="M61" s="20"/>
      <c r="N61" s="21"/>
    </row>
    <row r="62" spans="1:14" ht="15.75" customHeight="1">
      <c r="A62" s="29">
        <v>12</v>
      </c>
      <c r="B62" s="125" t="s">
        <v>90</v>
      </c>
      <c r="C62" s="126" t="s">
        <v>25</v>
      </c>
      <c r="D62" s="125" t="s">
        <v>206</v>
      </c>
      <c r="E62" s="123">
        <v>255.2</v>
      </c>
      <c r="F62" s="33">
        <v>2400</v>
      </c>
      <c r="G62" s="127">
        <v>1.4</v>
      </c>
      <c r="H62" s="128">
        <f>G62*F62/1000</f>
        <v>3.36</v>
      </c>
      <c r="I62" s="13">
        <f>F62/12*G62</f>
        <v>280</v>
      </c>
      <c r="J62" s="23"/>
      <c r="L62" s="19"/>
      <c r="M62" s="20"/>
      <c r="N62" s="21"/>
    </row>
    <row r="63" spans="1:14" ht="15.75" customHeight="1">
      <c r="A63" s="29"/>
      <c r="B63" s="102" t="s">
        <v>46</v>
      </c>
      <c r="C63" s="84"/>
      <c r="D63" s="83"/>
      <c r="E63" s="81"/>
      <c r="F63" s="85"/>
      <c r="G63" s="85"/>
      <c r="H63" s="86" t="s">
        <v>123</v>
      </c>
      <c r="I63" s="79"/>
      <c r="J63" s="23"/>
      <c r="L63" s="19"/>
      <c r="M63" s="20"/>
      <c r="N63" s="21"/>
    </row>
    <row r="64" spans="1:14" ht="15.75" customHeight="1">
      <c r="A64" s="29">
        <v>13</v>
      </c>
      <c r="B64" s="56" t="s">
        <v>47</v>
      </c>
      <c r="C64" s="40" t="s">
        <v>89</v>
      </c>
      <c r="D64" s="39" t="s">
        <v>201</v>
      </c>
      <c r="E64" s="17">
        <v>6</v>
      </c>
      <c r="F64" s="33">
        <f>SUM(E64)</f>
        <v>6</v>
      </c>
      <c r="G64" s="36">
        <v>291.68</v>
      </c>
      <c r="H64" s="114">
        <f t="shared" ref="H64:H72" si="8">SUM(F64*G64/1000)</f>
        <v>1.7500799999999999</v>
      </c>
      <c r="I64" s="13">
        <f>G64*1</f>
        <v>291.68</v>
      </c>
      <c r="J64" s="23"/>
      <c r="L64" s="19"/>
    </row>
    <row r="65" spans="1:22" ht="15.75" hidden="1" customHeight="1">
      <c r="A65" s="29"/>
      <c r="B65" s="56" t="s">
        <v>48</v>
      </c>
      <c r="C65" s="40" t="s">
        <v>89</v>
      </c>
      <c r="D65" s="39" t="s">
        <v>66</v>
      </c>
      <c r="E65" s="17">
        <v>4</v>
      </c>
      <c r="F65" s="33">
        <f>SUM(E65)</f>
        <v>4</v>
      </c>
      <c r="G65" s="36">
        <v>100.01</v>
      </c>
      <c r="H65" s="114">
        <f t="shared" si="8"/>
        <v>0.40004000000000001</v>
      </c>
      <c r="I65" s="13">
        <v>0</v>
      </c>
      <c r="J65" s="23"/>
      <c r="L65" s="19"/>
    </row>
    <row r="66" spans="1:22" ht="15.75" hidden="1" customHeight="1">
      <c r="A66" s="29"/>
      <c r="B66" s="56" t="s">
        <v>49</v>
      </c>
      <c r="C66" s="42" t="s">
        <v>111</v>
      </c>
      <c r="D66" s="39" t="s">
        <v>54</v>
      </c>
      <c r="E66" s="121">
        <v>15552</v>
      </c>
      <c r="F66" s="37">
        <f>SUM(E66/100)</f>
        <v>155.52000000000001</v>
      </c>
      <c r="G66" s="36">
        <v>278.24</v>
      </c>
      <c r="H66" s="114">
        <f t="shared" si="8"/>
        <v>43.271884800000009</v>
      </c>
      <c r="I66" s="13">
        <v>0</v>
      </c>
    </row>
    <row r="67" spans="1:22" ht="15.75" hidden="1" customHeight="1">
      <c r="A67" s="29"/>
      <c r="B67" s="56" t="s">
        <v>50</v>
      </c>
      <c r="C67" s="40" t="s">
        <v>112</v>
      </c>
      <c r="D67" s="39"/>
      <c r="E67" s="121">
        <v>15552</v>
      </c>
      <c r="F67" s="36">
        <f>SUM(E67/1000)</f>
        <v>15.552</v>
      </c>
      <c r="G67" s="36">
        <v>216.68</v>
      </c>
      <c r="H67" s="114">
        <f t="shared" si="8"/>
        <v>3.3698073600000003</v>
      </c>
      <c r="I67" s="13">
        <v>0</v>
      </c>
    </row>
    <row r="68" spans="1:22" ht="15.75" hidden="1" customHeight="1">
      <c r="A68" s="29"/>
      <c r="B68" s="56" t="s">
        <v>51</v>
      </c>
      <c r="C68" s="40" t="s">
        <v>78</v>
      </c>
      <c r="D68" s="39" t="s">
        <v>54</v>
      </c>
      <c r="E68" s="121">
        <v>2432</v>
      </c>
      <c r="F68" s="36">
        <f>SUM(E68/100)</f>
        <v>24.32</v>
      </c>
      <c r="G68" s="36">
        <v>2720.94</v>
      </c>
      <c r="H68" s="114">
        <f t="shared" si="8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/>
      <c r="B69" s="53" t="s">
        <v>72</v>
      </c>
      <c r="C69" s="40" t="s">
        <v>32</v>
      </c>
      <c r="D69" s="39"/>
      <c r="E69" s="121">
        <v>14.8</v>
      </c>
      <c r="F69" s="36">
        <f>SUM(E69)</f>
        <v>14.8</v>
      </c>
      <c r="G69" s="36">
        <v>42.61</v>
      </c>
      <c r="H69" s="114">
        <f t="shared" si="8"/>
        <v>0.63062800000000008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29"/>
      <c r="B70" s="53" t="s">
        <v>73</v>
      </c>
      <c r="C70" s="40" t="s">
        <v>32</v>
      </c>
      <c r="D70" s="39"/>
      <c r="E70" s="121">
        <f>E69</f>
        <v>14.8</v>
      </c>
      <c r="F70" s="36">
        <f>SUM(E70)</f>
        <v>14.8</v>
      </c>
      <c r="G70" s="36">
        <v>46.04</v>
      </c>
      <c r="H70" s="114">
        <f t="shared" si="8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22</v>
      </c>
      <c r="B71" s="39" t="s">
        <v>57</v>
      </c>
      <c r="C71" s="40" t="s">
        <v>58</v>
      </c>
      <c r="D71" s="39" t="s">
        <v>54</v>
      </c>
      <c r="E71" s="17">
        <v>5</v>
      </c>
      <c r="F71" s="33">
        <f>SUM(E71)</f>
        <v>5</v>
      </c>
      <c r="G71" s="36">
        <v>65.42</v>
      </c>
      <c r="H71" s="114">
        <f t="shared" si="8"/>
        <v>0.3271</v>
      </c>
      <c r="I71" s="13">
        <f>G71*4</f>
        <v>261.68</v>
      </c>
      <c r="J71" s="5"/>
      <c r="K71" s="5"/>
      <c r="L71" s="5"/>
      <c r="M71" s="5"/>
      <c r="N71" s="5"/>
      <c r="O71" s="5"/>
      <c r="P71" s="5"/>
      <c r="Q71" s="5"/>
      <c r="R71" s="182"/>
      <c r="S71" s="182"/>
      <c r="T71" s="182"/>
      <c r="U71" s="182"/>
    </row>
    <row r="72" spans="1:22" ht="15.75" customHeight="1">
      <c r="A72" s="29">
        <v>14</v>
      </c>
      <c r="B72" s="39" t="s">
        <v>148</v>
      </c>
      <c r="C72" s="45" t="s">
        <v>149</v>
      </c>
      <c r="D72" s="39"/>
      <c r="E72" s="17">
        <f>E51</f>
        <v>3053.4</v>
      </c>
      <c r="F72" s="33">
        <f>SUM(E72*12)</f>
        <v>36640.800000000003</v>
      </c>
      <c r="G72" s="36">
        <v>2.2799999999999998</v>
      </c>
      <c r="H72" s="114">
        <f t="shared" si="8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109"/>
      <c r="S72" s="109"/>
      <c r="T72" s="109"/>
      <c r="U72" s="109"/>
    </row>
    <row r="73" spans="1:22" ht="15.75" customHeight="1">
      <c r="A73" s="29"/>
      <c r="B73" s="112" t="s">
        <v>74</v>
      </c>
      <c r="C73" s="16"/>
      <c r="D73" s="14"/>
      <c r="E73" s="18"/>
      <c r="F73" s="13"/>
      <c r="G73" s="13"/>
      <c r="H73" s="87" t="s">
        <v>123</v>
      </c>
      <c r="I73" s="79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29">
        <v>19</v>
      </c>
      <c r="B74" s="39" t="s">
        <v>150</v>
      </c>
      <c r="C74" s="40" t="s">
        <v>151</v>
      </c>
      <c r="D74" s="39" t="s">
        <v>66</v>
      </c>
      <c r="E74" s="17">
        <v>1</v>
      </c>
      <c r="F74" s="36">
        <f>E74</f>
        <v>1</v>
      </c>
      <c r="G74" s="36">
        <v>1029.1199999999999</v>
      </c>
      <c r="H74" s="113">
        <f t="shared" ref="H74:H75" si="9">SUM(F74*G74/1000)</f>
        <v>1.0291199999999998</v>
      </c>
      <c r="I74" s="13">
        <v>0</v>
      </c>
    </row>
    <row r="75" spans="1:22" ht="15.75" hidden="1" customHeight="1">
      <c r="A75" s="29"/>
      <c r="B75" s="39" t="s">
        <v>152</v>
      </c>
      <c r="C75" s="40" t="s">
        <v>153</v>
      </c>
      <c r="D75" s="129"/>
      <c r="E75" s="17">
        <v>1</v>
      </c>
      <c r="F75" s="36">
        <v>1</v>
      </c>
      <c r="G75" s="36">
        <v>735</v>
      </c>
      <c r="H75" s="113">
        <f t="shared" si="9"/>
        <v>0.73499999999999999</v>
      </c>
      <c r="I75" s="13">
        <v>0</v>
      </c>
    </row>
    <row r="76" spans="1:22" ht="15.75" hidden="1" customHeight="1">
      <c r="A76" s="29">
        <v>23</v>
      </c>
      <c r="B76" s="39" t="s">
        <v>75</v>
      </c>
      <c r="C76" s="40" t="s">
        <v>76</v>
      </c>
      <c r="D76" s="39" t="s">
        <v>66</v>
      </c>
      <c r="E76" s="17">
        <v>5</v>
      </c>
      <c r="F76" s="33">
        <f>SUM(E76/10)</f>
        <v>0.5</v>
      </c>
      <c r="G76" s="36">
        <v>657.87</v>
      </c>
      <c r="H76" s="113">
        <f>SUM(F76*G76/1000)</f>
        <v>0.32893499999999998</v>
      </c>
      <c r="I76" s="13">
        <f>G76*0.8</f>
        <v>526.29600000000005</v>
      </c>
    </row>
    <row r="77" spans="1:22" ht="15.75" hidden="1" customHeight="1">
      <c r="A77" s="29">
        <v>15</v>
      </c>
      <c r="B77" s="39" t="s">
        <v>121</v>
      </c>
      <c r="C77" s="40" t="s">
        <v>89</v>
      </c>
      <c r="D77" s="39" t="s">
        <v>66</v>
      </c>
      <c r="E77" s="17">
        <v>1</v>
      </c>
      <c r="F77" s="36">
        <f>E77</f>
        <v>1</v>
      </c>
      <c r="G77" s="36">
        <v>1118.72</v>
      </c>
      <c r="H77" s="113">
        <f>SUM(F77*G77/1000)</f>
        <v>1.1187199999999999</v>
      </c>
      <c r="I77" s="13">
        <f>G77*1</f>
        <v>1118.72</v>
      </c>
    </row>
    <row r="78" spans="1:22" ht="15.75" customHeight="1">
      <c r="A78" s="29">
        <v>15</v>
      </c>
      <c r="B78" s="115" t="s">
        <v>154</v>
      </c>
      <c r="C78" s="116" t="s">
        <v>89</v>
      </c>
      <c r="D78" s="39"/>
      <c r="E78" s="17">
        <v>2</v>
      </c>
      <c r="F78" s="33">
        <f>E78*12</f>
        <v>24</v>
      </c>
      <c r="G78" s="36">
        <v>53.42</v>
      </c>
      <c r="H78" s="113">
        <f t="shared" ref="H78:H79" si="10">SUM(F78*G78/1000)</f>
        <v>1.2820799999999999</v>
      </c>
      <c r="I78" s="13">
        <f>G78*2</f>
        <v>106.84</v>
      </c>
    </row>
    <row r="79" spans="1:22" ht="31.5" customHeight="1">
      <c r="A79" s="29">
        <v>16</v>
      </c>
      <c r="B79" s="115" t="s">
        <v>155</v>
      </c>
      <c r="C79" s="116" t="s">
        <v>89</v>
      </c>
      <c r="D79" s="39" t="s">
        <v>206</v>
      </c>
      <c r="E79" s="17">
        <v>1</v>
      </c>
      <c r="F79" s="33">
        <f>E79*12</f>
        <v>12</v>
      </c>
      <c r="G79" s="36">
        <v>1194</v>
      </c>
      <c r="H79" s="113">
        <f t="shared" si="10"/>
        <v>14.327999999999999</v>
      </c>
      <c r="I79" s="13">
        <f>G79</f>
        <v>1194</v>
      </c>
    </row>
    <row r="80" spans="1:22" ht="15.75" hidden="1" customHeight="1">
      <c r="A80" s="29"/>
      <c r="B80" s="90" t="s">
        <v>77</v>
      </c>
      <c r="C80" s="16"/>
      <c r="D80" s="14"/>
      <c r="E80" s="18"/>
      <c r="F80" s="18"/>
      <c r="G80" s="18"/>
      <c r="H80" s="18"/>
      <c r="I80" s="79"/>
    </row>
    <row r="81" spans="1:9" ht="15.75" hidden="1" customHeight="1">
      <c r="A81" s="29"/>
      <c r="B81" s="41" t="s">
        <v>115</v>
      </c>
      <c r="C81" s="42" t="s">
        <v>78</v>
      </c>
      <c r="D81" s="56"/>
      <c r="E81" s="59"/>
      <c r="F81" s="37">
        <v>0.3</v>
      </c>
      <c r="G81" s="37">
        <v>3619.09</v>
      </c>
      <c r="H81" s="114">
        <f t="shared" ref="H81" si="11">SUM(F81*G81/1000)</f>
        <v>1.0857270000000001</v>
      </c>
      <c r="I81" s="13">
        <v>0</v>
      </c>
    </row>
    <row r="82" spans="1:9" ht="21" hidden="1" customHeight="1">
      <c r="A82" s="29"/>
      <c r="B82" s="112" t="s">
        <v>113</v>
      </c>
      <c r="C82" s="90"/>
      <c r="D82" s="31"/>
      <c r="E82" s="32"/>
      <c r="F82" s="91"/>
      <c r="G82" s="91"/>
      <c r="H82" s="92">
        <f>SUM(H58:H81)</f>
        <v>249.26712212000004</v>
      </c>
      <c r="I82" s="77"/>
    </row>
    <row r="83" spans="1:9" ht="15" hidden="1" customHeight="1">
      <c r="A83" s="94">
        <v>18</v>
      </c>
      <c r="B83" s="34" t="s">
        <v>114</v>
      </c>
      <c r="C83" s="130"/>
      <c r="D83" s="131"/>
      <c r="E83" s="132"/>
      <c r="F83" s="38">
        <f>232/10</f>
        <v>23.2</v>
      </c>
      <c r="G83" s="38">
        <v>12361.2</v>
      </c>
      <c r="H83" s="114">
        <f>G83*F83/1000</f>
        <v>286.77984000000004</v>
      </c>
      <c r="I83" s="95">
        <v>3244.4</v>
      </c>
    </row>
    <row r="84" spans="1:9" ht="15.75" customHeight="1">
      <c r="A84" s="194" t="s">
        <v>131</v>
      </c>
      <c r="B84" s="195"/>
      <c r="C84" s="195"/>
      <c r="D84" s="195"/>
      <c r="E84" s="195"/>
      <c r="F84" s="195"/>
      <c r="G84" s="195"/>
      <c r="H84" s="195"/>
      <c r="I84" s="196"/>
    </row>
    <row r="85" spans="1:9" ht="15.75" customHeight="1">
      <c r="A85" s="96">
        <v>17</v>
      </c>
      <c r="B85" s="34" t="s">
        <v>116</v>
      </c>
      <c r="C85" s="40" t="s">
        <v>55</v>
      </c>
      <c r="D85" s="103"/>
      <c r="E85" s="36">
        <v>3053.4</v>
      </c>
      <c r="F85" s="36">
        <f>SUM(E85*12)</f>
        <v>36640.800000000003</v>
      </c>
      <c r="G85" s="36">
        <v>3.1</v>
      </c>
      <c r="H85" s="114">
        <f>SUM(F85*G85/1000)</f>
        <v>113.58648000000001</v>
      </c>
      <c r="I85" s="101">
        <f>F85/12*G85</f>
        <v>9465.5400000000009</v>
      </c>
    </row>
    <row r="86" spans="1:9" ht="31.5" customHeight="1">
      <c r="A86" s="29">
        <v>18</v>
      </c>
      <c r="B86" s="39" t="s">
        <v>79</v>
      </c>
      <c r="C86" s="40"/>
      <c r="D86" s="103"/>
      <c r="E86" s="121">
        <v>3053.4</v>
      </c>
      <c r="F86" s="36">
        <f>E86*12</f>
        <v>36640.800000000003</v>
      </c>
      <c r="G86" s="36">
        <v>3.5</v>
      </c>
      <c r="H86" s="114">
        <f>F86*G86/1000</f>
        <v>128.24280000000002</v>
      </c>
      <c r="I86" s="13">
        <f>F86/12*G86</f>
        <v>10686.9</v>
      </c>
    </row>
    <row r="87" spans="1:9" ht="15.75" customHeight="1">
      <c r="A87" s="29"/>
      <c r="B87" s="43" t="s">
        <v>81</v>
      </c>
      <c r="C87" s="90"/>
      <c r="D87" s="88"/>
      <c r="E87" s="91"/>
      <c r="F87" s="91"/>
      <c r="G87" s="91"/>
      <c r="H87" s="92">
        <f>SUM(H86)</f>
        <v>128.24280000000002</v>
      </c>
      <c r="I87" s="91">
        <f>I86+I85+I79+I78+I72+I64+I62+I51+I44+I43+I42+I40+I39+I38+I26+I18+I17+I16</f>
        <v>53887.481205666663</v>
      </c>
    </row>
    <row r="88" spans="1:9" ht="15.75" customHeight="1">
      <c r="A88" s="183" t="s">
        <v>60</v>
      </c>
      <c r="B88" s="184"/>
      <c r="C88" s="184"/>
      <c r="D88" s="184"/>
      <c r="E88" s="184"/>
      <c r="F88" s="184"/>
      <c r="G88" s="184"/>
      <c r="H88" s="184"/>
      <c r="I88" s="185"/>
    </row>
    <row r="89" spans="1:9" ht="17.25" customHeight="1">
      <c r="A89" s="29">
        <v>19</v>
      </c>
      <c r="B89" s="115" t="s">
        <v>170</v>
      </c>
      <c r="C89" s="116" t="s">
        <v>29</v>
      </c>
      <c r="D89" s="117"/>
      <c r="E89" s="36"/>
      <c r="F89" s="36">
        <v>7</v>
      </c>
      <c r="G89" s="13">
        <v>1160.81</v>
      </c>
      <c r="H89" s="114">
        <f>F89*G89/1000</f>
        <v>8.1256699999999995</v>
      </c>
      <c r="I89" s="18">
        <f>G89*0.06</f>
        <v>69.648599999999988</v>
      </c>
    </row>
    <row r="90" spans="1:9" ht="15.75" hidden="1" customHeight="1">
      <c r="A90" s="29">
        <v>33</v>
      </c>
      <c r="B90" s="57"/>
      <c r="C90" s="58"/>
      <c r="D90" s="117"/>
      <c r="E90" s="36"/>
      <c r="F90" s="36">
        <v>1</v>
      </c>
      <c r="G90" s="36"/>
      <c r="H90" s="114">
        <f t="shared" ref="H90:H92" si="12">F90*G90/1000</f>
        <v>0</v>
      </c>
      <c r="I90" s="13"/>
    </row>
    <row r="91" spans="1:9" ht="15.75" hidden="1" customHeight="1">
      <c r="A91" s="29">
        <v>34</v>
      </c>
      <c r="B91" s="57"/>
      <c r="C91" s="140"/>
      <c r="D91" s="117"/>
      <c r="E91" s="36"/>
      <c r="F91" s="36">
        <v>1</v>
      </c>
      <c r="G91" s="36"/>
      <c r="H91" s="114">
        <f t="shared" si="12"/>
        <v>0</v>
      </c>
      <c r="I91" s="13"/>
    </row>
    <row r="92" spans="1:9" ht="31.5" hidden="1" customHeight="1">
      <c r="A92" s="29">
        <v>35</v>
      </c>
      <c r="B92" s="115"/>
      <c r="C92" s="141"/>
      <c r="D92" s="117"/>
      <c r="E92" s="36"/>
      <c r="F92" s="36">
        <f>0.4/10</f>
        <v>0.04</v>
      </c>
      <c r="G92" s="36"/>
      <c r="H92" s="114">
        <f t="shared" si="12"/>
        <v>0</v>
      </c>
      <c r="I92" s="13"/>
    </row>
    <row r="93" spans="1:9" ht="31.5" customHeight="1">
      <c r="A93" s="29">
        <v>20</v>
      </c>
      <c r="B93" s="115" t="s">
        <v>173</v>
      </c>
      <c r="C93" s="116" t="s">
        <v>29</v>
      </c>
      <c r="D93" s="117"/>
      <c r="E93" s="36"/>
      <c r="F93" s="36">
        <v>7</v>
      </c>
      <c r="G93" s="13">
        <v>19757.060000000001</v>
      </c>
      <c r="H93" s="114">
        <f>F93*G93/1000</f>
        <v>138.29942000000003</v>
      </c>
      <c r="I93" s="18">
        <f>G93*0.599*8/1000</f>
        <v>94.675831520000003</v>
      </c>
    </row>
    <row r="94" spans="1:9" ht="15.75" customHeight="1">
      <c r="A94" s="29"/>
      <c r="B94" s="50" t="s">
        <v>52</v>
      </c>
      <c r="C94" s="46"/>
      <c r="D94" s="54"/>
      <c r="E94" s="46">
        <v>1</v>
      </c>
      <c r="F94" s="46"/>
      <c r="G94" s="46"/>
      <c r="H94" s="46"/>
      <c r="I94" s="32">
        <f>SUM(I89:I93)</f>
        <v>164.32443151999999</v>
      </c>
    </row>
    <row r="95" spans="1:9" ht="15.75" customHeight="1">
      <c r="A95" s="29"/>
      <c r="B95" s="52" t="s">
        <v>80</v>
      </c>
      <c r="C95" s="15"/>
      <c r="D95" s="15"/>
      <c r="E95" s="47"/>
      <c r="F95" s="47"/>
      <c r="G95" s="48"/>
      <c r="H95" s="48"/>
      <c r="I95" s="17">
        <v>0</v>
      </c>
    </row>
    <row r="96" spans="1:9" ht="15.75" customHeight="1">
      <c r="A96" s="55"/>
      <c r="B96" s="51" t="s">
        <v>141</v>
      </c>
      <c r="C96" s="35"/>
      <c r="D96" s="35"/>
      <c r="E96" s="35"/>
      <c r="F96" s="35"/>
      <c r="G96" s="35"/>
      <c r="H96" s="35"/>
      <c r="I96" s="49">
        <f>I87+I94</f>
        <v>54051.805637186662</v>
      </c>
    </row>
    <row r="97" spans="1:9" ht="15.75">
      <c r="A97" s="186" t="s">
        <v>249</v>
      </c>
      <c r="B97" s="186"/>
      <c r="C97" s="186"/>
      <c r="D97" s="186"/>
      <c r="E97" s="186"/>
      <c r="F97" s="186"/>
      <c r="G97" s="186"/>
      <c r="H97" s="186"/>
      <c r="I97" s="186"/>
    </row>
    <row r="98" spans="1:9" ht="15.75">
      <c r="A98" s="62"/>
      <c r="B98" s="187" t="s">
        <v>250</v>
      </c>
      <c r="C98" s="187"/>
      <c r="D98" s="187"/>
      <c r="E98" s="187"/>
      <c r="F98" s="187"/>
      <c r="G98" s="187"/>
      <c r="H98" s="70"/>
      <c r="I98" s="3"/>
    </row>
    <row r="99" spans="1:9">
      <c r="A99" s="109"/>
      <c r="B99" s="188" t="s">
        <v>6</v>
      </c>
      <c r="C99" s="188"/>
      <c r="D99" s="188"/>
      <c r="E99" s="188"/>
      <c r="F99" s="188"/>
      <c r="G99" s="188"/>
      <c r="H99" s="24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 customHeight="1">
      <c r="A101" s="189" t="s">
        <v>7</v>
      </c>
      <c r="B101" s="189"/>
      <c r="C101" s="189"/>
      <c r="D101" s="189"/>
      <c r="E101" s="189"/>
      <c r="F101" s="189"/>
      <c r="G101" s="189"/>
      <c r="H101" s="189"/>
      <c r="I101" s="189"/>
    </row>
    <row r="102" spans="1:9" ht="15.75" customHeight="1">
      <c r="A102" s="189" t="s">
        <v>8</v>
      </c>
      <c r="B102" s="189"/>
      <c r="C102" s="189"/>
      <c r="D102" s="189"/>
      <c r="E102" s="189"/>
      <c r="F102" s="189"/>
      <c r="G102" s="189"/>
      <c r="H102" s="189"/>
      <c r="I102" s="189"/>
    </row>
    <row r="103" spans="1:9" ht="15.75" customHeight="1">
      <c r="A103" s="190" t="s">
        <v>61</v>
      </c>
      <c r="B103" s="190"/>
      <c r="C103" s="190"/>
      <c r="D103" s="190"/>
      <c r="E103" s="190"/>
      <c r="F103" s="190"/>
      <c r="G103" s="190"/>
      <c r="H103" s="190"/>
      <c r="I103" s="190"/>
    </row>
    <row r="104" spans="1:9" ht="15.75" customHeight="1">
      <c r="A104" s="11"/>
    </row>
    <row r="105" spans="1:9" ht="15.75" customHeight="1">
      <c r="A105" s="191" t="s">
        <v>9</v>
      </c>
      <c r="B105" s="191"/>
      <c r="C105" s="191"/>
      <c r="D105" s="191"/>
      <c r="E105" s="191"/>
      <c r="F105" s="191"/>
      <c r="G105" s="191"/>
      <c r="H105" s="191"/>
      <c r="I105" s="191"/>
    </row>
    <row r="106" spans="1:9" ht="15.75" customHeight="1">
      <c r="A106" s="4"/>
    </row>
    <row r="107" spans="1:9" ht="15.75" customHeight="1">
      <c r="B107" s="110" t="s">
        <v>10</v>
      </c>
      <c r="C107" s="192" t="s">
        <v>88</v>
      </c>
      <c r="D107" s="192"/>
      <c r="E107" s="192"/>
      <c r="F107" s="68"/>
      <c r="I107" s="108"/>
    </row>
    <row r="108" spans="1:9" ht="15.75" customHeight="1">
      <c r="A108" s="109"/>
      <c r="C108" s="188" t="s">
        <v>11</v>
      </c>
      <c r="D108" s="188"/>
      <c r="E108" s="188"/>
      <c r="F108" s="24"/>
      <c r="I108" s="107" t="s">
        <v>12</v>
      </c>
    </row>
    <row r="109" spans="1:9" ht="15.75" customHeight="1">
      <c r="A109" s="25"/>
      <c r="C109" s="12"/>
      <c r="D109" s="12"/>
      <c r="G109" s="12"/>
      <c r="H109" s="12"/>
    </row>
    <row r="110" spans="1:9" ht="15.75" customHeight="1">
      <c r="B110" s="110" t="s">
        <v>13</v>
      </c>
      <c r="C110" s="193"/>
      <c r="D110" s="193"/>
      <c r="E110" s="193"/>
      <c r="F110" s="69"/>
      <c r="I110" s="108"/>
    </row>
    <row r="111" spans="1:9" ht="15.75" customHeight="1">
      <c r="A111" s="109"/>
      <c r="C111" s="182" t="s">
        <v>11</v>
      </c>
      <c r="D111" s="182"/>
      <c r="E111" s="182"/>
      <c r="F111" s="109"/>
      <c r="I111" s="107" t="s">
        <v>12</v>
      </c>
    </row>
    <row r="112" spans="1:9" ht="15.75" customHeight="1">
      <c r="A112" s="4" t="s">
        <v>14</v>
      </c>
    </row>
    <row r="113" spans="1:9">
      <c r="A113" s="180" t="s">
        <v>15</v>
      </c>
      <c r="B113" s="180"/>
      <c r="C113" s="180"/>
      <c r="D113" s="180"/>
      <c r="E113" s="180"/>
      <c r="F113" s="180"/>
      <c r="G113" s="180"/>
      <c r="H113" s="180"/>
      <c r="I113" s="180"/>
    </row>
    <row r="114" spans="1:9" ht="45" customHeight="1">
      <c r="A114" s="181" t="s">
        <v>16</v>
      </c>
      <c r="B114" s="181"/>
      <c r="C114" s="181"/>
      <c r="D114" s="181"/>
      <c r="E114" s="181"/>
      <c r="F114" s="181"/>
      <c r="G114" s="181"/>
      <c r="H114" s="181"/>
      <c r="I114" s="181"/>
    </row>
    <row r="115" spans="1:9" ht="30" customHeight="1">
      <c r="A115" s="181" t="s">
        <v>17</v>
      </c>
      <c r="B115" s="181"/>
      <c r="C115" s="181"/>
      <c r="D115" s="181"/>
      <c r="E115" s="181"/>
      <c r="F115" s="181"/>
      <c r="G115" s="181"/>
      <c r="H115" s="181"/>
      <c r="I115" s="181"/>
    </row>
    <row r="116" spans="1:9" ht="30" customHeight="1">
      <c r="A116" s="181" t="s">
        <v>21</v>
      </c>
      <c r="B116" s="181"/>
      <c r="C116" s="181"/>
      <c r="D116" s="181"/>
      <c r="E116" s="181"/>
      <c r="F116" s="181"/>
      <c r="G116" s="181"/>
      <c r="H116" s="181"/>
      <c r="I116" s="181"/>
    </row>
    <row r="117" spans="1:9" ht="15" customHeight="1">
      <c r="A117" s="181" t="s">
        <v>20</v>
      </c>
      <c r="B117" s="181"/>
      <c r="C117" s="181"/>
      <c r="D117" s="181"/>
      <c r="E117" s="181"/>
      <c r="F117" s="181"/>
      <c r="G117" s="181"/>
      <c r="H117" s="181"/>
      <c r="I117" s="181"/>
    </row>
  </sheetData>
  <autoFilter ref="I12:I66"/>
  <mergeCells count="29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71:U71"/>
    <mergeCell ref="C111:E111"/>
    <mergeCell ref="A88:I88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4:I84"/>
    <mergeCell ref="A113:I113"/>
    <mergeCell ref="A114:I114"/>
    <mergeCell ref="A115:I115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8"/>
  <sheetViews>
    <sheetView view="pageBreakPreview" topLeftCell="A90" zoomScale="60" workbookViewId="0">
      <selection activeCell="K103" sqref="K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168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7" t="s">
        <v>133</v>
      </c>
      <c r="B3" s="197"/>
      <c r="C3" s="197"/>
      <c r="D3" s="197"/>
      <c r="E3" s="197"/>
      <c r="F3" s="197"/>
      <c r="G3" s="197"/>
      <c r="H3" s="197"/>
      <c r="I3" s="197"/>
      <c r="J3" s="3"/>
      <c r="K3" s="3"/>
      <c r="L3" s="3"/>
    </row>
    <row r="4" spans="1:13" ht="31.5" customHeight="1">
      <c r="A4" s="198" t="s">
        <v>117</v>
      </c>
      <c r="B4" s="198"/>
      <c r="C4" s="198"/>
      <c r="D4" s="198"/>
      <c r="E4" s="198"/>
      <c r="F4" s="198"/>
      <c r="G4" s="198"/>
      <c r="H4" s="198"/>
      <c r="I4" s="198"/>
    </row>
    <row r="5" spans="1:13" ht="15.75" customHeight="1">
      <c r="A5" s="197" t="s">
        <v>181</v>
      </c>
      <c r="B5" s="199"/>
      <c r="C5" s="199"/>
      <c r="D5" s="199"/>
      <c r="E5" s="199"/>
      <c r="F5" s="199"/>
      <c r="G5" s="199"/>
      <c r="H5" s="199"/>
      <c r="I5" s="199"/>
      <c r="J5" s="2"/>
      <c r="K5" s="2"/>
      <c r="L5" s="2"/>
      <c r="M5" s="2"/>
    </row>
    <row r="6" spans="1:13" ht="15.75" customHeight="1">
      <c r="A6" s="2"/>
      <c r="B6" s="147"/>
      <c r="C6" s="147"/>
      <c r="D6" s="147"/>
      <c r="E6" s="147"/>
      <c r="F6" s="147"/>
      <c r="G6" s="147"/>
      <c r="H6" s="147"/>
      <c r="I6" s="30">
        <v>43524</v>
      </c>
      <c r="J6" s="2"/>
      <c r="K6" s="2"/>
      <c r="L6" s="2"/>
      <c r="M6" s="2"/>
    </row>
    <row r="7" spans="1:13" ht="15.75" customHeight="1">
      <c r="B7" s="145"/>
      <c r="C7" s="145"/>
      <c r="D7" s="14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0" t="s">
        <v>169</v>
      </c>
      <c r="B8" s="200"/>
      <c r="C8" s="200"/>
      <c r="D8" s="200"/>
      <c r="E8" s="200"/>
      <c r="F8" s="200"/>
      <c r="G8" s="200"/>
      <c r="H8" s="200"/>
      <c r="I8" s="20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1" t="s">
        <v>158</v>
      </c>
      <c r="B10" s="201"/>
      <c r="C10" s="201"/>
      <c r="D10" s="201"/>
      <c r="E10" s="201"/>
      <c r="F10" s="201"/>
      <c r="G10" s="201"/>
      <c r="H10" s="201"/>
      <c r="I10" s="201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2" t="s">
        <v>59</v>
      </c>
      <c r="B14" s="202"/>
      <c r="C14" s="202"/>
      <c r="D14" s="202"/>
      <c r="E14" s="202"/>
      <c r="F14" s="202"/>
      <c r="G14" s="202"/>
      <c r="H14" s="202"/>
      <c r="I14" s="202"/>
      <c r="J14" s="8"/>
      <c r="K14" s="8"/>
      <c r="L14" s="8"/>
      <c r="M14" s="8"/>
    </row>
    <row r="15" spans="1:13" ht="15.75" customHeight="1">
      <c r="A15" s="203" t="s">
        <v>4</v>
      </c>
      <c r="B15" s="203"/>
      <c r="C15" s="203"/>
      <c r="D15" s="203"/>
      <c r="E15" s="203"/>
      <c r="F15" s="203"/>
      <c r="G15" s="203"/>
      <c r="H15" s="203"/>
      <c r="I15" s="203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93</v>
      </c>
      <c r="D16" s="71" t="s">
        <v>199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93</v>
      </c>
      <c r="D17" s="71" t="s">
        <v>200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93</v>
      </c>
      <c r="D18" s="71" t="s">
        <v>201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100</v>
      </c>
      <c r="C19" s="72" t="s">
        <v>101</v>
      </c>
      <c r="D19" s="71" t="s">
        <v>102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92</v>
      </c>
      <c r="C20" s="72" t="s">
        <v>93</v>
      </c>
      <c r="D20" s="71" t="s">
        <v>142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98</v>
      </c>
      <c r="C21" s="72" t="s">
        <v>93</v>
      </c>
      <c r="D21" s="71" t="s">
        <v>142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94</v>
      </c>
      <c r="C22" s="72" t="s">
        <v>53</v>
      </c>
      <c r="D22" s="71" t="s">
        <v>102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95</v>
      </c>
      <c r="C23" s="72" t="s">
        <v>53</v>
      </c>
      <c r="D23" s="71" t="s">
        <v>102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96</v>
      </c>
      <c r="C24" s="72" t="s">
        <v>53</v>
      </c>
      <c r="D24" s="71" t="s">
        <v>102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99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198</v>
      </c>
      <c r="C26" s="44" t="s">
        <v>25</v>
      </c>
      <c r="D26" s="34" t="s">
        <v>201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  <c r="J26" s="23"/>
    </row>
    <row r="27" spans="1:13" ht="15.75" hidden="1" customHeight="1">
      <c r="A27" s="29">
        <v>5</v>
      </c>
      <c r="B27" s="120" t="s">
        <v>23</v>
      </c>
      <c r="C27" s="44" t="s">
        <v>24</v>
      </c>
      <c r="D27" s="34"/>
      <c r="E27" s="121">
        <v>3053.4</v>
      </c>
      <c r="F27" s="33">
        <f>SUM(E27*12)</f>
        <v>36640.800000000003</v>
      </c>
      <c r="G27" s="33">
        <v>4.09</v>
      </c>
      <c r="H27" s="119">
        <f t="shared" ref="H27" si="1">SUM(F27*G27/1000)</f>
        <v>149.860872</v>
      </c>
      <c r="I27" s="13">
        <f>F27/12*G27</f>
        <v>12488.405999999999</v>
      </c>
      <c r="J27" s="23"/>
    </row>
    <row r="28" spans="1:13" ht="15.75" customHeight="1">
      <c r="A28" s="203" t="s">
        <v>140</v>
      </c>
      <c r="B28" s="203"/>
      <c r="C28" s="203"/>
      <c r="D28" s="203"/>
      <c r="E28" s="203"/>
      <c r="F28" s="203"/>
      <c r="G28" s="203"/>
      <c r="H28" s="203"/>
      <c r="I28" s="203"/>
      <c r="J28" s="22"/>
      <c r="K28" s="8"/>
      <c r="L28" s="8"/>
      <c r="M28" s="8"/>
    </row>
    <row r="29" spans="1:13" ht="15.75" hidden="1" customHeight="1">
      <c r="A29" s="96"/>
      <c r="B29" s="104" t="s">
        <v>28</v>
      </c>
      <c r="C29" s="98"/>
      <c r="D29" s="97"/>
      <c r="E29" s="99"/>
      <c r="F29" s="100"/>
      <c r="G29" s="100"/>
      <c r="H29" s="105"/>
      <c r="I29" s="106"/>
      <c r="J29" s="22"/>
      <c r="K29" s="8"/>
      <c r="L29" s="8"/>
      <c r="M29" s="8"/>
    </row>
    <row r="30" spans="1:13" ht="15.75" hidden="1" customHeight="1">
      <c r="A30" s="29">
        <v>6</v>
      </c>
      <c r="B30" s="71" t="s">
        <v>103</v>
      </c>
      <c r="C30" s="72" t="s">
        <v>104</v>
      </c>
      <c r="D30" s="71" t="s">
        <v>118</v>
      </c>
      <c r="E30" s="74">
        <v>317.7</v>
      </c>
      <c r="F30" s="74">
        <f>SUM(E30*52/1000)</f>
        <v>16.520399999999999</v>
      </c>
      <c r="G30" s="74">
        <v>204.44</v>
      </c>
      <c r="H30" s="78">
        <f t="shared" ref="H30:H36" si="2">SUM(F30*G30/1000)</f>
        <v>3.3774305759999996</v>
      </c>
      <c r="I30" s="13">
        <f t="shared" ref="I30:I34" si="3">F30/6*G30</f>
        <v>562.90509599999996</v>
      </c>
      <c r="J30" s="22"/>
      <c r="K30" s="8"/>
      <c r="L30" s="8"/>
      <c r="M30" s="8"/>
    </row>
    <row r="31" spans="1:13" ht="31.5" hidden="1" customHeight="1">
      <c r="A31" s="29">
        <v>7</v>
      </c>
      <c r="B31" s="71" t="s">
        <v>128</v>
      </c>
      <c r="C31" s="72" t="s">
        <v>104</v>
      </c>
      <c r="D31" s="71" t="s">
        <v>119</v>
      </c>
      <c r="E31" s="74">
        <v>146.1</v>
      </c>
      <c r="F31" s="74">
        <f>SUM(E31*78/1000)</f>
        <v>11.395799999999999</v>
      </c>
      <c r="G31" s="74">
        <v>339.21</v>
      </c>
      <c r="H31" s="78">
        <f t="shared" si="2"/>
        <v>3.8655693179999995</v>
      </c>
      <c r="I31" s="13">
        <f t="shared" si="3"/>
        <v>644.26155299999994</v>
      </c>
      <c r="J31" s="22"/>
      <c r="K31" s="8"/>
      <c r="L31" s="8"/>
      <c r="M31" s="8"/>
    </row>
    <row r="32" spans="1:13" ht="15.75" hidden="1" customHeight="1">
      <c r="A32" s="29">
        <v>11</v>
      </c>
      <c r="B32" s="71" t="s">
        <v>27</v>
      </c>
      <c r="C32" s="72" t="s">
        <v>104</v>
      </c>
      <c r="D32" s="71" t="s">
        <v>54</v>
      </c>
      <c r="E32" s="74">
        <f>E30</f>
        <v>317.7</v>
      </c>
      <c r="F32" s="74">
        <f>SUM(E32/1000)</f>
        <v>0.31769999999999998</v>
      </c>
      <c r="G32" s="74">
        <v>3961.23</v>
      </c>
      <c r="H32" s="78">
        <f t="shared" si="2"/>
        <v>1.2584827709999999</v>
      </c>
      <c r="I32" s="13">
        <f>F32*G32</f>
        <v>1258.482771</v>
      </c>
      <c r="J32" s="22"/>
      <c r="K32" s="8"/>
      <c r="L32" s="8"/>
      <c r="M32" s="8"/>
    </row>
    <row r="33" spans="1:14" ht="15.75" hidden="1" customHeight="1">
      <c r="A33" s="29">
        <v>8</v>
      </c>
      <c r="B33" s="71" t="s">
        <v>143</v>
      </c>
      <c r="C33" s="72" t="s">
        <v>40</v>
      </c>
      <c r="D33" s="71" t="s">
        <v>63</v>
      </c>
      <c r="E33" s="74">
        <v>5</v>
      </c>
      <c r="F33" s="74">
        <f>E33*155/100</f>
        <v>7.75</v>
      </c>
      <c r="G33" s="74">
        <v>1707.63</v>
      </c>
      <c r="H33" s="78">
        <f t="shared" si="2"/>
        <v>13.234132500000001</v>
      </c>
      <c r="I33" s="13">
        <f t="shared" si="3"/>
        <v>2205.6887500000003</v>
      </c>
      <c r="J33" s="22"/>
      <c r="K33" s="8"/>
      <c r="L33" s="8"/>
      <c r="M33" s="8"/>
    </row>
    <row r="34" spans="1:14" ht="15.75" hidden="1" customHeight="1">
      <c r="A34" s="29">
        <v>9</v>
      </c>
      <c r="B34" s="71" t="s">
        <v>105</v>
      </c>
      <c r="C34" s="72" t="s">
        <v>30</v>
      </c>
      <c r="D34" s="71" t="s">
        <v>63</v>
      </c>
      <c r="E34" s="80">
        <f>1/6</f>
        <v>0.16666666666666666</v>
      </c>
      <c r="F34" s="74">
        <f>155/6</f>
        <v>25.833333333333332</v>
      </c>
      <c r="G34" s="74">
        <v>74.349999999999994</v>
      </c>
      <c r="H34" s="78">
        <f t="shared" si="2"/>
        <v>1.920708333333333</v>
      </c>
      <c r="I34" s="13">
        <f t="shared" si="3"/>
        <v>320.11805555555554</v>
      </c>
      <c r="J34" s="22"/>
      <c r="K34" s="8"/>
      <c r="L34" s="8"/>
      <c r="M34" s="8"/>
    </row>
    <row r="35" spans="1:14" ht="15.75" hidden="1" customHeight="1">
      <c r="A35" s="29"/>
      <c r="B35" s="34" t="s">
        <v>64</v>
      </c>
      <c r="C35" s="44" t="s">
        <v>32</v>
      </c>
      <c r="D35" s="34" t="s">
        <v>66</v>
      </c>
      <c r="E35" s="121"/>
      <c r="F35" s="33">
        <v>2</v>
      </c>
      <c r="G35" s="33">
        <v>250.92</v>
      </c>
      <c r="H35" s="119">
        <f t="shared" si="2"/>
        <v>0.50183999999999995</v>
      </c>
      <c r="I35" s="13">
        <v>0</v>
      </c>
      <c r="J35" s="22"/>
      <c r="K35" s="8"/>
    </row>
    <row r="36" spans="1:14" ht="15.75" hidden="1" customHeight="1">
      <c r="A36" s="29"/>
      <c r="B36" s="34" t="s">
        <v>65</v>
      </c>
      <c r="C36" s="44" t="s">
        <v>31</v>
      </c>
      <c r="D36" s="34" t="s">
        <v>66</v>
      </c>
      <c r="E36" s="121"/>
      <c r="F36" s="33">
        <v>1</v>
      </c>
      <c r="G36" s="33">
        <v>1490.31</v>
      </c>
      <c r="H36" s="119">
        <f t="shared" si="2"/>
        <v>1.49031</v>
      </c>
      <c r="I36" s="13"/>
      <c r="J36" s="22"/>
      <c r="K36" s="8"/>
    </row>
    <row r="37" spans="1:14" ht="15.75" customHeight="1">
      <c r="A37" s="29"/>
      <c r="B37" s="93" t="s">
        <v>5</v>
      </c>
      <c r="C37" s="72"/>
      <c r="D37" s="71"/>
      <c r="E37" s="73"/>
      <c r="F37" s="74"/>
      <c r="G37" s="74"/>
      <c r="H37" s="78" t="s">
        <v>123</v>
      </c>
      <c r="I37" s="79"/>
      <c r="J37" s="23"/>
    </row>
    <row r="38" spans="1:14" ht="15.75" customHeight="1">
      <c r="A38" s="29">
        <v>5</v>
      </c>
      <c r="B38" s="71" t="s">
        <v>26</v>
      </c>
      <c r="C38" s="72" t="s">
        <v>31</v>
      </c>
      <c r="D38" s="71"/>
      <c r="E38" s="73"/>
      <c r="F38" s="74">
        <v>3</v>
      </c>
      <c r="G38" s="74">
        <v>2003</v>
      </c>
      <c r="H38" s="78">
        <f t="shared" ref="H38:H44" si="4">SUM(F38*G38/1000)</f>
        <v>6.0090000000000003</v>
      </c>
      <c r="I38" s="13">
        <f>G38*2.6</f>
        <v>5207.8</v>
      </c>
      <c r="J38" s="23"/>
    </row>
    <row r="39" spans="1:14" ht="15.75" customHeight="1">
      <c r="A39" s="29">
        <v>6</v>
      </c>
      <c r="B39" s="71" t="s">
        <v>67</v>
      </c>
      <c r="C39" s="72" t="s">
        <v>29</v>
      </c>
      <c r="D39" s="71" t="s">
        <v>202</v>
      </c>
      <c r="E39" s="74">
        <v>160.6</v>
      </c>
      <c r="F39" s="74">
        <f>SUM(E39*18/1000)</f>
        <v>2.8907999999999996</v>
      </c>
      <c r="G39" s="74">
        <v>2757.78</v>
      </c>
      <c r="H39" s="78">
        <f t="shared" si="4"/>
        <v>7.972190423999999</v>
      </c>
      <c r="I39" s="13">
        <f t="shared" ref="I39:I42" si="5">F39/6*G39</f>
        <v>1328.698404</v>
      </c>
      <c r="J39" s="23"/>
    </row>
    <row r="40" spans="1:14" ht="15.75" customHeight="1">
      <c r="A40" s="29">
        <v>7</v>
      </c>
      <c r="B40" s="71" t="s">
        <v>68</v>
      </c>
      <c r="C40" s="72" t="s">
        <v>29</v>
      </c>
      <c r="D40" s="71" t="s">
        <v>203</v>
      </c>
      <c r="E40" s="73">
        <v>89.1</v>
      </c>
      <c r="F40" s="74">
        <f>SUM(E40*155/1000)</f>
        <v>13.810499999999999</v>
      </c>
      <c r="G40" s="74">
        <v>460.02</v>
      </c>
      <c r="H40" s="78">
        <f t="shared" si="4"/>
        <v>6.3531062099999991</v>
      </c>
      <c r="I40" s="13">
        <f t="shared" si="5"/>
        <v>1058.8510349999999</v>
      </c>
      <c r="J40" s="23"/>
    </row>
    <row r="41" spans="1:14" ht="15.75" hidden="1" customHeight="1">
      <c r="A41" s="29">
        <v>12</v>
      </c>
      <c r="B41" s="71" t="s">
        <v>145</v>
      </c>
      <c r="C41" s="72" t="s">
        <v>146</v>
      </c>
      <c r="D41" s="71" t="s">
        <v>66</v>
      </c>
      <c r="E41" s="73"/>
      <c r="F41" s="74">
        <v>39</v>
      </c>
      <c r="G41" s="74">
        <v>301.70999999999998</v>
      </c>
      <c r="H41" s="78">
        <f t="shared" si="4"/>
        <v>11.766689999999999</v>
      </c>
      <c r="I41" s="13">
        <v>0</v>
      </c>
      <c r="J41" s="23"/>
    </row>
    <row r="42" spans="1:14" ht="47.25" customHeight="1">
      <c r="A42" s="29">
        <v>8</v>
      </c>
      <c r="B42" s="71" t="s">
        <v>83</v>
      </c>
      <c r="C42" s="72" t="s">
        <v>104</v>
      </c>
      <c r="D42" s="71" t="s">
        <v>204</v>
      </c>
      <c r="E42" s="74">
        <v>46.5</v>
      </c>
      <c r="F42" s="74">
        <f>SUM(E42*35/1000)</f>
        <v>1.6274999999999999</v>
      </c>
      <c r="G42" s="74">
        <v>7611.16</v>
      </c>
      <c r="H42" s="78">
        <f t="shared" si="4"/>
        <v>12.3871629</v>
      </c>
      <c r="I42" s="13">
        <f t="shared" si="5"/>
        <v>2064.5271499999999</v>
      </c>
      <c r="J42" s="23"/>
      <c r="L42" s="19"/>
      <c r="M42" s="20"/>
      <c r="N42" s="21"/>
    </row>
    <row r="43" spans="1:14" ht="15.75" customHeight="1">
      <c r="A43" s="94">
        <v>9</v>
      </c>
      <c r="B43" s="83" t="s">
        <v>106</v>
      </c>
      <c r="C43" s="84" t="s">
        <v>104</v>
      </c>
      <c r="D43" s="83" t="s">
        <v>205</v>
      </c>
      <c r="E43" s="85">
        <v>89.1</v>
      </c>
      <c r="F43" s="85">
        <f>SUM(E43*45/1000)</f>
        <v>4.0094999999999992</v>
      </c>
      <c r="G43" s="85">
        <v>562.25</v>
      </c>
      <c r="H43" s="82">
        <f t="shared" si="4"/>
        <v>2.2543413749999996</v>
      </c>
      <c r="I43" s="95">
        <f>F43/7.5*G43</f>
        <v>300.57884999999993</v>
      </c>
      <c r="J43" s="23"/>
      <c r="L43" s="19"/>
      <c r="M43" s="20"/>
      <c r="N43" s="21"/>
    </row>
    <row r="44" spans="1:14" ht="15.75" customHeight="1">
      <c r="A44" s="29">
        <v>10</v>
      </c>
      <c r="B44" s="14" t="s">
        <v>70</v>
      </c>
      <c r="C44" s="16" t="s">
        <v>32</v>
      </c>
      <c r="D44" s="14"/>
      <c r="E44" s="18"/>
      <c r="F44" s="13">
        <v>0.9</v>
      </c>
      <c r="G44" s="13">
        <v>974.83</v>
      </c>
      <c r="H44" s="13">
        <f t="shared" si="4"/>
        <v>0.8773470000000001</v>
      </c>
      <c r="I44" s="95">
        <f>F44/7.5*G44</f>
        <v>116.97960000000002</v>
      </c>
      <c r="J44" s="23"/>
      <c r="L44" s="19"/>
      <c r="M44" s="20"/>
      <c r="N44" s="21"/>
    </row>
    <row r="45" spans="1:14" ht="15.75" customHeight="1">
      <c r="A45" s="194" t="s">
        <v>129</v>
      </c>
      <c r="B45" s="195"/>
      <c r="C45" s="195"/>
      <c r="D45" s="195"/>
      <c r="E45" s="195"/>
      <c r="F45" s="195"/>
      <c r="G45" s="195"/>
      <c r="H45" s="195"/>
      <c r="I45" s="196"/>
      <c r="J45" s="23"/>
      <c r="L45" s="19"/>
      <c r="M45" s="20"/>
      <c r="N45" s="21"/>
    </row>
    <row r="46" spans="1:14" ht="15.75" hidden="1" customHeight="1">
      <c r="A46" s="29">
        <v>12</v>
      </c>
      <c r="B46" s="39" t="s">
        <v>107</v>
      </c>
      <c r="C46" s="40" t="s">
        <v>104</v>
      </c>
      <c r="D46" s="39" t="s">
        <v>42</v>
      </c>
      <c r="E46" s="17">
        <v>1632.75</v>
      </c>
      <c r="F46" s="36">
        <f>SUM(E46*2/1000)</f>
        <v>3.2654999999999998</v>
      </c>
      <c r="G46" s="36">
        <v>1062</v>
      </c>
      <c r="H46" s="36">
        <f t="shared" ref="H46:H55" si="6">SUM(F46*G46/1000)</f>
        <v>3.4679609999999998</v>
      </c>
      <c r="I46" s="13">
        <f>F46/2*G46</f>
        <v>1733.9804999999999</v>
      </c>
      <c r="J46" s="23"/>
      <c r="L46" s="19"/>
      <c r="M46" s="20"/>
      <c r="N46" s="21"/>
    </row>
    <row r="47" spans="1:14" ht="15.75" hidden="1" customHeight="1">
      <c r="A47" s="29">
        <v>13</v>
      </c>
      <c r="B47" s="39" t="s">
        <v>35</v>
      </c>
      <c r="C47" s="40" t="s">
        <v>104</v>
      </c>
      <c r="D47" s="39" t="s">
        <v>42</v>
      </c>
      <c r="E47" s="17">
        <v>53.75</v>
      </c>
      <c r="F47" s="36">
        <f>SUM(E47*2/1000)</f>
        <v>0.1075</v>
      </c>
      <c r="G47" s="36">
        <v>759.98</v>
      </c>
      <c r="H47" s="36">
        <f t="shared" si="6"/>
        <v>8.1697850000000002E-2</v>
      </c>
      <c r="I47" s="13">
        <f t="shared" ref="I47:I54" si="7">F47/2*G47</f>
        <v>40.848925000000001</v>
      </c>
      <c r="J47" s="23"/>
      <c r="L47" s="19"/>
      <c r="M47" s="20"/>
      <c r="N47" s="21"/>
    </row>
    <row r="48" spans="1:14" ht="15.75" hidden="1" customHeight="1">
      <c r="A48" s="29">
        <v>14</v>
      </c>
      <c r="B48" s="39" t="s">
        <v>36</v>
      </c>
      <c r="C48" s="40" t="s">
        <v>104</v>
      </c>
      <c r="D48" s="39" t="s">
        <v>42</v>
      </c>
      <c r="E48" s="17">
        <v>2285.6</v>
      </c>
      <c r="F48" s="36">
        <f>SUM(E48*2/1000)</f>
        <v>4.5712000000000002</v>
      </c>
      <c r="G48" s="36">
        <v>759.98</v>
      </c>
      <c r="H48" s="36">
        <f t="shared" si="6"/>
        <v>3.4740205760000005</v>
      </c>
      <c r="I48" s="13">
        <f t="shared" si="7"/>
        <v>1737.0102880000002</v>
      </c>
      <c r="J48" s="23"/>
      <c r="L48" s="19"/>
      <c r="M48" s="20"/>
      <c r="N48" s="21"/>
    </row>
    <row r="49" spans="1:14" ht="15.75" hidden="1" customHeight="1">
      <c r="A49" s="29">
        <v>15</v>
      </c>
      <c r="B49" s="39" t="s">
        <v>37</v>
      </c>
      <c r="C49" s="40" t="s">
        <v>104</v>
      </c>
      <c r="D49" s="39" t="s">
        <v>42</v>
      </c>
      <c r="E49" s="17">
        <v>1860</v>
      </c>
      <c r="F49" s="36">
        <f>SUM(E49*2/1000)</f>
        <v>3.72</v>
      </c>
      <c r="G49" s="36">
        <v>795.82</v>
      </c>
      <c r="H49" s="36">
        <f t="shared" si="6"/>
        <v>2.9604504</v>
      </c>
      <c r="I49" s="13">
        <f t="shared" si="7"/>
        <v>1480.2252000000001</v>
      </c>
      <c r="J49" s="23"/>
      <c r="L49" s="19"/>
      <c r="M49" s="20"/>
      <c r="N49" s="21"/>
    </row>
    <row r="50" spans="1:14" ht="15.75" hidden="1" customHeight="1">
      <c r="A50" s="29">
        <v>16</v>
      </c>
      <c r="B50" s="39" t="s">
        <v>33</v>
      </c>
      <c r="C50" s="40" t="s">
        <v>34</v>
      </c>
      <c r="D50" s="39" t="s">
        <v>42</v>
      </c>
      <c r="E50" s="17">
        <v>120.5</v>
      </c>
      <c r="F50" s="36">
        <f>SUM(E50*2/100)</f>
        <v>2.41</v>
      </c>
      <c r="G50" s="36">
        <v>95.49</v>
      </c>
      <c r="H50" s="36">
        <f t="shared" si="6"/>
        <v>0.2301309</v>
      </c>
      <c r="I50" s="13">
        <f t="shared" si="7"/>
        <v>115.06545</v>
      </c>
      <c r="J50" s="23"/>
      <c r="L50" s="19"/>
      <c r="M50" s="20"/>
      <c r="N50" s="21"/>
    </row>
    <row r="51" spans="1:14" ht="15.75" customHeight="1">
      <c r="A51" s="29">
        <v>11</v>
      </c>
      <c r="B51" s="39" t="s">
        <v>56</v>
      </c>
      <c r="C51" s="40" t="s">
        <v>104</v>
      </c>
      <c r="D51" s="39" t="s">
        <v>201</v>
      </c>
      <c r="E51" s="17">
        <v>3053.4</v>
      </c>
      <c r="F51" s="36">
        <f>SUM(E51*5/1000)</f>
        <v>15.266999999999999</v>
      </c>
      <c r="G51" s="36">
        <v>1591.6</v>
      </c>
      <c r="H51" s="36">
        <f t="shared" si="6"/>
        <v>24.298957199999997</v>
      </c>
      <c r="I51" s="13">
        <f>F51/5*G51</f>
        <v>4859.79144</v>
      </c>
      <c r="J51" s="23"/>
      <c r="L51" s="19"/>
      <c r="M51" s="20"/>
      <c r="N51" s="21"/>
    </row>
    <row r="52" spans="1:14" ht="31.5" hidden="1" customHeight="1">
      <c r="A52" s="29">
        <v>16</v>
      </c>
      <c r="B52" s="39" t="s">
        <v>108</v>
      </c>
      <c r="C52" s="40" t="s">
        <v>104</v>
      </c>
      <c r="D52" s="39" t="s">
        <v>42</v>
      </c>
      <c r="E52" s="17">
        <f>E51</f>
        <v>3053.4</v>
      </c>
      <c r="F52" s="36">
        <f>SUM(E52*2/1000)</f>
        <v>6.1067999999999998</v>
      </c>
      <c r="G52" s="36">
        <v>1591.6</v>
      </c>
      <c r="H52" s="36">
        <f t="shared" si="6"/>
        <v>9.7195828800000008</v>
      </c>
      <c r="I52" s="13">
        <f t="shared" si="7"/>
        <v>4859.79144</v>
      </c>
      <c r="J52" s="23"/>
      <c r="L52" s="19"/>
      <c r="M52" s="20"/>
      <c r="N52" s="21"/>
    </row>
    <row r="53" spans="1:14" ht="31.5" hidden="1" customHeight="1">
      <c r="A53" s="29">
        <v>17</v>
      </c>
      <c r="B53" s="39" t="s">
        <v>124</v>
      </c>
      <c r="C53" s="40" t="s">
        <v>38</v>
      </c>
      <c r="D53" s="39" t="s">
        <v>42</v>
      </c>
      <c r="E53" s="17">
        <v>20</v>
      </c>
      <c r="F53" s="36">
        <f>SUM(E53*2/100)</f>
        <v>0.4</v>
      </c>
      <c r="G53" s="36">
        <v>3581.13</v>
      </c>
      <c r="H53" s="36">
        <f t="shared" si="6"/>
        <v>1.4324520000000003</v>
      </c>
      <c r="I53" s="13">
        <f t="shared" si="7"/>
        <v>716.22600000000011</v>
      </c>
      <c r="J53" s="23"/>
      <c r="L53" s="19"/>
      <c r="M53" s="20"/>
      <c r="N53" s="21"/>
    </row>
    <row r="54" spans="1:14" ht="15.75" hidden="1" customHeight="1">
      <c r="A54" s="29">
        <v>18</v>
      </c>
      <c r="B54" s="39" t="s">
        <v>39</v>
      </c>
      <c r="C54" s="40" t="s">
        <v>40</v>
      </c>
      <c r="D54" s="39" t="s">
        <v>42</v>
      </c>
      <c r="E54" s="17">
        <v>1</v>
      </c>
      <c r="F54" s="36">
        <v>0.02</v>
      </c>
      <c r="G54" s="36">
        <v>7412.92</v>
      </c>
      <c r="H54" s="36">
        <f t="shared" si="6"/>
        <v>0.14825839999999998</v>
      </c>
      <c r="I54" s="13">
        <f t="shared" si="7"/>
        <v>74.129199999999997</v>
      </c>
      <c r="J54" s="23"/>
      <c r="L54" s="19"/>
      <c r="M54" s="20"/>
      <c r="N54" s="21"/>
    </row>
    <row r="55" spans="1:14" ht="15.75" hidden="1" customHeight="1">
      <c r="A55" s="29">
        <v>16</v>
      </c>
      <c r="B55" s="39" t="s">
        <v>41</v>
      </c>
      <c r="C55" s="40" t="s">
        <v>89</v>
      </c>
      <c r="D55" s="39" t="s">
        <v>71</v>
      </c>
      <c r="E55" s="17">
        <v>128</v>
      </c>
      <c r="F55" s="36">
        <f>SUM(E55)*3</f>
        <v>384</v>
      </c>
      <c r="G55" s="37">
        <v>86.15</v>
      </c>
      <c r="H55" s="36">
        <f t="shared" si="6"/>
        <v>33.081600000000009</v>
      </c>
      <c r="I55" s="13">
        <f>E55*G55</f>
        <v>11027.2</v>
      </c>
      <c r="J55" s="23"/>
      <c r="L55" s="19"/>
      <c r="M55" s="20"/>
      <c r="N55" s="21"/>
    </row>
    <row r="56" spans="1:14" ht="15.75" customHeight="1">
      <c r="A56" s="194" t="s">
        <v>130</v>
      </c>
      <c r="B56" s="195"/>
      <c r="C56" s="195"/>
      <c r="D56" s="195"/>
      <c r="E56" s="195"/>
      <c r="F56" s="195"/>
      <c r="G56" s="195"/>
      <c r="H56" s="195"/>
      <c r="I56" s="196"/>
      <c r="J56" s="23"/>
      <c r="L56" s="19"/>
      <c r="M56" s="20"/>
      <c r="N56" s="21"/>
    </row>
    <row r="57" spans="1:14" ht="15.75" hidden="1" customHeight="1">
      <c r="A57" s="96"/>
      <c r="B57" s="104" t="s">
        <v>43</v>
      </c>
      <c r="C57" s="98"/>
      <c r="D57" s="97"/>
      <c r="E57" s="99"/>
      <c r="F57" s="100"/>
      <c r="G57" s="100"/>
      <c r="H57" s="105"/>
      <c r="I57" s="106"/>
      <c r="J57" s="23"/>
      <c r="L57" s="19"/>
      <c r="M57" s="20"/>
      <c r="N57" s="21"/>
    </row>
    <row r="58" spans="1:14" ht="31.5" hidden="1" customHeight="1">
      <c r="A58" s="29">
        <v>16</v>
      </c>
      <c r="B58" s="71" t="s">
        <v>109</v>
      </c>
      <c r="C58" s="72" t="s">
        <v>93</v>
      </c>
      <c r="D58" s="71" t="s">
        <v>110</v>
      </c>
      <c r="E58" s="73">
        <v>92.7</v>
      </c>
      <c r="F58" s="74">
        <f>SUM(E58*6/100)</f>
        <v>5.5620000000000003</v>
      </c>
      <c r="G58" s="13">
        <v>2431.1799999999998</v>
      </c>
      <c r="H58" s="78">
        <f>SUM(F58*G58/1000)</f>
        <v>13.522223159999999</v>
      </c>
      <c r="I58" s="13">
        <f>F58/6*G58</f>
        <v>2253.7038600000001</v>
      </c>
      <c r="J58" s="23"/>
      <c r="L58" s="19"/>
      <c r="M58" s="20"/>
      <c r="N58" s="21"/>
    </row>
    <row r="59" spans="1:14" ht="15.75" hidden="1" customHeight="1">
      <c r="A59" s="29"/>
      <c r="B59" s="71" t="s">
        <v>125</v>
      </c>
      <c r="C59" s="72" t="s">
        <v>126</v>
      </c>
      <c r="D59" s="14" t="s">
        <v>66</v>
      </c>
      <c r="E59" s="73"/>
      <c r="F59" s="74">
        <v>2</v>
      </c>
      <c r="G59" s="67">
        <v>1582.05</v>
      </c>
      <c r="H59" s="78">
        <f>SUM(F59*G59/1000)</f>
        <v>3.1640999999999999</v>
      </c>
      <c r="I59" s="13">
        <f>G59*2</f>
        <v>3164.1</v>
      </c>
      <c r="J59" s="23"/>
      <c r="L59" s="19"/>
      <c r="M59" s="20"/>
      <c r="N59" s="21"/>
    </row>
    <row r="60" spans="1:14" ht="15.75" customHeight="1">
      <c r="A60" s="29"/>
      <c r="B60" s="93" t="s">
        <v>44</v>
      </c>
      <c r="C60" s="72"/>
      <c r="D60" s="71"/>
      <c r="E60" s="73"/>
      <c r="F60" s="74"/>
      <c r="G60" s="74"/>
      <c r="H60" s="75" t="s">
        <v>123</v>
      </c>
      <c r="I60" s="79"/>
      <c r="J60" s="23"/>
      <c r="L60" s="19"/>
      <c r="M60" s="20"/>
      <c r="N60" s="21"/>
    </row>
    <row r="61" spans="1:14" ht="15.75" hidden="1" customHeight="1">
      <c r="A61" s="29"/>
      <c r="B61" s="34" t="s">
        <v>45</v>
      </c>
      <c r="C61" s="44" t="s">
        <v>93</v>
      </c>
      <c r="D61" s="34" t="s">
        <v>54</v>
      </c>
      <c r="E61" s="123">
        <v>145</v>
      </c>
      <c r="F61" s="33">
        <f>SUM(E61/100)</f>
        <v>1.45</v>
      </c>
      <c r="G61" s="36">
        <v>1040.8399999999999</v>
      </c>
      <c r="H61" s="124">
        <v>9.1679999999999993</v>
      </c>
      <c r="I61" s="13">
        <v>0</v>
      </c>
      <c r="J61" s="23"/>
      <c r="L61" s="19"/>
      <c r="M61" s="20"/>
      <c r="N61" s="21"/>
    </row>
    <row r="62" spans="1:14" ht="15.75" customHeight="1">
      <c r="A62" s="29">
        <v>12</v>
      </c>
      <c r="B62" s="125" t="s">
        <v>90</v>
      </c>
      <c r="C62" s="126" t="s">
        <v>25</v>
      </c>
      <c r="D62" s="125" t="s">
        <v>206</v>
      </c>
      <c r="E62" s="123">
        <v>200</v>
      </c>
      <c r="F62" s="33">
        <f>SUM(E62*12)</f>
        <v>2400</v>
      </c>
      <c r="G62" s="127">
        <v>1.4</v>
      </c>
      <c r="H62" s="128">
        <f>G62*F62/1000</f>
        <v>3.36</v>
      </c>
      <c r="I62" s="13">
        <f>F62/12*G62</f>
        <v>280</v>
      </c>
      <c r="J62" s="23"/>
      <c r="L62" s="19"/>
      <c r="M62" s="20"/>
      <c r="N62" s="21"/>
    </row>
    <row r="63" spans="1:14" ht="15.75" customHeight="1">
      <c r="A63" s="29"/>
      <c r="B63" s="102" t="s">
        <v>46</v>
      </c>
      <c r="C63" s="84"/>
      <c r="D63" s="83"/>
      <c r="E63" s="81"/>
      <c r="F63" s="85"/>
      <c r="G63" s="85"/>
      <c r="H63" s="86" t="s">
        <v>123</v>
      </c>
      <c r="I63" s="79"/>
      <c r="J63" s="23"/>
      <c r="L63" s="19"/>
      <c r="M63" s="20"/>
      <c r="N63" s="21"/>
    </row>
    <row r="64" spans="1:14" ht="15.75" customHeight="1">
      <c r="A64" s="29">
        <v>13</v>
      </c>
      <c r="B64" s="56" t="s">
        <v>47</v>
      </c>
      <c r="C64" s="40" t="s">
        <v>89</v>
      </c>
      <c r="D64" s="39" t="s">
        <v>201</v>
      </c>
      <c r="E64" s="17">
        <v>6</v>
      </c>
      <c r="F64" s="33">
        <f>SUM(E64)</f>
        <v>6</v>
      </c>
      <c r="G64" s="36">
        <v>291.68</v>
      </c>
      <c r="H64" s="114">
        <f t="shared" ref="H64:H72" si="8">SUM(F64*G64/1000)</f>
        <v>1.7500799999999999</v>
      </c>
      <c r="I64" s="13">
        <f>G64*1</f>
        <v>291.68</v>
      </c>
      <c r="J64" s="23"/>
      <c r="L64" s="19"/>
    </row>
    <row r="65" spans="1:22" ht="15.75" hidden="1" customHeight="1">
      <c r="A65" s="29"/>
      <c r="B65" s="56" t="s">
        <v>48</v>
      </c>
      <c r="C65" s="40" t="s">
        <v>89</v>
      </c>
      <c r="D65" s="39" t="s">
        <v>66</v>
      </c>
      <c r="E65" s="17">
        <v>4</v>
      </c>
      <c r="F65" s="33">
        <f>SUM(E65)</f>
        <v>4</v>
      </c>
      <c r="G65" s="36">
        <v>100.01</v>
      </c>
      <c r="H65" s="114">
        <f t="shared" si="8"/>
        <v>0.40004000000000001</v>
      </c>
      <c r="I65" s="13">
        <v>0</v>
      </c>
      <c r="J65" s="23"/>
      <c r="L65" s="19"/>
    </row>
    <row r="66" spans="1:22" ht="15.75" hidden="1" customHeight="1">
      <c r="A66" s="29"/>
      <c r="B66" s="56" t="s">
        <v>49</v>
      </c>
      <c r="C66" s="42" t="s">
        <v>111</v>
      </c>
      <c r="D66" s="39" t="s">
        <v>54</v>
      </c>
      <c r="E66" s="121">
        <v>15552</v>
      </c>
      <c r="F66" s="37">
        <f>SUM(E66/100)</f>
        <v>155.52000000000001</v>
      </c>
      <c r="G66" s="36">
        <v>278.24</v>
      </c>
      <c r="H66" s="114">
        <f t="shared" si="8"/>
        <v>43.271884800000009</v>
      </c>
      <c r="I66" s="13">
        <v>0</v>
      </c>
    </row>
    <row r="67" spans="1:22" ht="15.75" hidden="1" customHeight="1">
      <c r="A67" s="29"/>
      <c r="B67" s="56" t="s">
        <v>50</v>
      </c>
      <c r="C67" s="40" t="s">
        <v>112</v>
      </c>
      <c r="D67" s="39"/>
      <c r="E67" s="121">
        <v>15552</v>
      </c>
      <c r="F67" s="36">
        <f>SUM(E67/1000)</f>
        <v>15.552</v>
      </c>
      <c r="G67" s="36">
        <v>216.68</v>
      </c>
      <c r="H67" s="114">
        <f t="shared" si="8"/>
        <v>3.3698073600000003</v>
      </c>
      <c r="I67" s="13">
        <v>0</v>
      </c>
    </row>
    <row r="68" spans="1:22" ht="15.75" hidden="1" customHeight="1">
      <c r="A68" s="29"/>
      <c r="B68" s="56" t="s">
        <v>51</v>
      </c>
      <c r="C68" s="40" t="s">
        <v>78</v>
      </c>
      <c r="D68" s="39" t="s">
        <v>54</v>
      </c>
      <c r="E68" s="121">
        <v>2432</v>
      </c>
      <c r="F68" s="36">
        <f>SUM(E68/100)</f>
        <v>24.32</v>
      </c>
      <c r="G68" s="36">
        <v>2720.94</v>
      </c>
      <c r="H68" s="114">
        <f t="shared" si="8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/>
      <c r="B69" s="53" t="s">
        <v>72</v>
      </c>
      <c r="C69" s="40" t="s">
        <v>32</v>
      </c>
      <c r="D69" s="39"/>
      <c r="E69" s="121">
        <v>14.8</v>
      </c>
      <c r="F69" s="36">
        <f>SUM(E69)</f>
        <v>14.8</v>
      </c>
      <c r="G69" s="36">
        <v>42.61</v>
      </c>
      <c r="H69" s="114">
        <f t="shared" si="8"/>
        <v>0.63062800000000008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29"/>
      <c r="B70" s="53" t="s">
        <v>73</v>
      </c>
      <c r="C70" s="40" t="s">
        <v>32</v>
      </c>
      <c r="D70" s="39"/>
      <c r="E70" s="121">
        <f>E69</f>
        <v>14.8</v>
      </c>
      <c r="F70" s="36">
        <f>SUM(E70)</f>
        <v>14.8</v>
      </c>
      <c r="G70" s="36">
        <v>46.04</v>
      </c>
      <c r="H70" s="114">
        <f t="shared" si="8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22</v>
      </c>
      <c r="B71" s="39" t="s">
        <v>57</v>
      </c>
      <c r="C71" s="40" t="s">
        <v>58</v>
      </c>
      <c r="D71" s="39" t="s">
        <v>54</v>
      </c>
      <c r="E71" s="17">
        <v>5</v>
      </c>
      <c r="F71" s="33">
        <f>SUM(E71)</f>
        <v>5</v>
      </c>
      <c r="G71" s="36">
        <v>65.42</v>
      </c>
      <c r="H71" s="114">
        <f t="shared" si="8"/>
        <v>0.3271</v>
      </c>
      <c r="I71" s="13">
        <f>G71*4</f>
        <v>261.68</v>
      </c>
      <c r="J71" s="5"/>
      <c r="K71" s="5"/>
      <c r="L71" s="5"/>
      <c r="M71" s="5"/>
      <c r="N71" s="5"/>
      <c r="O71" s="5"/>
      <c r="P71" s="5"/>
      <c r="Q71" s="5"/>
      <c r="R71" s="182"/>
      <c r="S71" s="182"/>
      <c r="T71" s="182"/>
      <c r="U71" s="182"/>
    </row>
    <row r="72" spans="1:22" ht="15.75" customHeight="1">
      <c r="A72" s="29">
        <v>14</v>
      </c>
      <c r="B72" s="39" t="s">
        <v>148</v>
      </c>
      <c r="C72" s="45" t="s">
        <v>149</v>
      </c>
      <c r="D72" s="39"/>
      <c r="E72" s="17">
        <f>E51</f>
        <v>3053.4</v>
      </c>
      <c r="F72" s="33">
        <f>SUM(E72*12)</f>
        <v>36640.800000000003</v>
      </c>
      <c r="G72" s="36">
        <v>2.2799999999999998</v>
      </c>
      <c r="H72" s="114">
        <f t="shared" si="8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144"/>
      <c r="S72" s="144"/>
      <c r="T72" s="144"/>
      <c r="U72" s="144"/>
    </row>
    <row r="73" spans="1:22" ht="15.75" customHeight="1">
      <c r="A73" s="29"/>
      <c r="B73" s="146" t="s">
        <v>74</v>
      </c>
      <c r="C73" s="16"/>
      <c r="D73" s="14"/>
      <c r="E73" s="18"/>
      <c r="F73" s="13"/>
      <c r="G73" s="13"/>
      <c r="H73" s="87" t="s">
        <v>123</v>
      </c>
      <c r="I73" s="79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29">
        <v>19</v>
      </c>
      <c r="B74" s="39" t="s">
        <v>150</v>
      </c>
      <c r="C74" s="40" t="s">
        <v>151</v>
      </c>
      <c r="D74" s="39" t="s">
        <v>66</v>
      </c>
      <c r="E74" s="17">
        <v>1</v>
      </c>
      <c r="F74" s="36">
        <f>E74</f>
        <v>1</v>
      </c>
      <c r="G74" s="36">
        <v>1029.1199999999999</v>
      </c>
      <c r="H74" s="113">
        <f t="shared" ref="H74:H75" si="9">SUM(F74*G74/1000)</f>
        <v>1.0291199999999998</v>
      </c>
      <c r="I74" s="13">
        <v>0</v>
      </c>
    </row>
    <row r="75" spans="1:22" ht="15.75" hidden="1" customHeight="1">
      <c r="A75" s="29"/>
      <c r="B75" s="39" t="s">
        <v>152</v>
      </c>
      <c r="C75" s="40" t="s">
        <v>153</v>
      </c>
      <c r="D75" s="129"/>
      <c r="E75" s="17">
        <v>1</v>
      </c>
      <c r="F75" s="36">
        <v>1</v>
      </c>
      <c r="G75" s="36">
        <v>735</v>
      </c>
      <c r="H75" s="113">
        <f t="shared" si="9"/>
        <v>0.73499999999999999</v>
      </c>
      <c r="I75" s="13">
        <v>0</v>
      </c>
    </row>
    <row r="76" spans="1:22" ht="15.75" hidden="1" customHeight="1">
      <c r="A76" s="29">
        <v>23</v>
      </c>
      <c r="B76" s="39" t="s">
        <v>75</v>
      </c>
      <c r="C76" s="40" t="s">
        <v>76</v>
      </c>
      <c r="D76" s="39" t="s">
        <v>66</v>
      </c>
      <c r="E76" s="17">
        <v>5</v>
      </c>
      <c r="F76" s="33">
        <f>SUM(E76/10)</f>
        <v>0.5</v>
      </c>
      <c r="G76" s="36">
        <v>657.87</v>
      </c>
      <c r="H76" s="113">
        <f>SUM(F76*G76/1000)</f>
        <v>0.32893499999999998</v>
      </c>
      <c r="I76" s="13">
        <f>G76*0.8</f>
        <v>526.29600000000005</v>
      </c>
    </row>
    <row r="77" spans="1:22" ht="15.75" hidden="1" customHeight="1">
      <c r="A77" s="29"/>
      <c r="B77" s="39" t="s">
        <v>121</v>
      </c>
      <c r="C77" s="40" t="s">
        <v>89</v>
      </c>
      <c r="D77" s="39" t="s">
        <v>66</v>
      </c>
      <c r="E77" s="17">
        <v>1</v>
      </c>
      <c r="F77" s="36">
        <f>E77</f>
        <v>1</v>
      </c>
      <c r="G77" s="36">
        <v>1118.72</v>
      </c>
      <c r="H77" s="113">
        <f>SUM(F77*G77/1000)</f>
        <v>1.1187199999999999</v>
      </c>
      <c r="I77" s="13">
        <v>0</v>
      </c>
    </row>
    <row r="78" spans="1:22" ht="15.75" customHeight="1">
      <c r="A78" s="29">
        <v>15</v>
      </c>
      <c r="B78" s="115" t="s">
        <v>154</v>
      </c>
      <c r="C78" s="116" t="s">
        <v>89</v>
      </c>
      <c r="D78" s="39" t="s">
        <v>201</v>
      </c>
      <c r="E78" s="17">
        <v>2</v>
      </c>
      <c r="F78" s="33">
        <f>E78*12</f>
        <v>24</v>
      </c>
      <c r="G78" s="36">
        <v>53.42</v>
      </c>
      <c r="H78" s="113">
        <f t="shared" ref="H78:H79" si="10">SUM(F78*G78/1000)</f>
        <v>1.2820799999999999</v>
      </c>
      <c r="I78" s="13">
        <f>G78*2</f>
        <v>106.84</v>
      </c>
    </row>
    <row r="79" spans="1:22" ht="31.5" customHeight="1">
      <c r="A79" s="29">
        <v>16</v>
      </c>
      <c r="B79" s="115" t="s">
        <v>155</v>
      </c>
      <c r="C79" s="116" t="s">
        <v>89</v>
      </c>
      <c r="D79" s="39" t="s">
        <v>206</v>
      </c>
      <c r="E79" s="17">
        <v>1</v>
      </c>
      <c r="F79" s="33">
        <f>E79*12</f>
        <v>12</v>
      </c>
      <c r="G79" s="36">
        <v>1194</v>
      </c>
      <c r="H79" s="113">
        <f t="shared" si="10"/>
        <v>14.327999999999999</v>
      </c>
      <c r="I79" s="13">
        <f>G79</f>
        <v>1194</v>
      </c>
    </row>
    <row r="80" spans="1:22" ht="15.75" hidden="1" customHeight="1">
      <c r="A80" s="29"/>
      <c r="B80" s="90" t="s">
        <v>77</v>
      </c>
      <c r="C80" s="16"/>
      <c r="D80" s="14"/>
      <c r="E80" s="18"/>
      <c r="F80" s="18"/>
      <c r="G80" s="18"/>
      <c r="H80" s="18"/>
      <c r="I80" s="79"/>
    </row>
    <row r="81" spans="1:9" ht="15.75" hidden="1" customHeight="1">
      <c r="A81" s="29"/>
      <c r="B81" s="41" t="s">
        <v>115</v>
      </c>
      <c r="C81" s="42" t="s">
        <v>78</v>
      </c>
      <c r="D81" s="56"/>
      <c r="E81" s="59"/>
      <c r="F81" s="37">
        <v>0.3</v>
      </c>
      <c r="G81" s="37">
        <v>3619.09</v>
      </c>
      <c r="H81" s="114">
        <f t="shared" ref="H81" si="11">SUM(F81*G81/1000)</f>
        <v>1.0857270000000001</v>
      </c>
      <c r="I81" s="13">
        <v>0</v>
      </c>
    </row>
    <row r="82" spans="1:9" ht="15.75" hidden="1" customHeight="1">
      <c r="A82" s="29"/>
      <c r="B82" s="146" t="s">
        <v>113</v>
      </c>
      <c r="C82" s="90"/>
      <c r="D82" s="31"/>
      <c r="E82" s="32"/>
      <c r="F82" s="91"/>
      <c r="G82" s="91"/>
      <c r="H82" s="92">
        <f>SUM(H58:H81)</f>
        <v>249.26712212000004</v>
      </c>
      <c r="I82" s="77"/>
    </row>
    <row r="83" spans="1:9" ht="15.75" hidden="1" customHeight="1">
      <c r="A83" s="94"/>
      <c r="B83" s="34" t="s">
        <v>114</v>
      </c>
      <c r="C83" s="130"/>
      <c r="D83" s="131"/>
      <c r="E83" s="132"/>
      <c r="F83" s="38">
        <f>232/10</f>
        <v>23.2</v>
      </c>
      <c r="G83" s="38">
        <v>12361.2</v>
      </c>
      <c r="H83" s="114">
        <f>G83*F83/1000</f>
        <v>286.77984000000004</v>
      </c>
      <c r="I83" s="95">
        <v>0</v>
      </c>
    </row>
    <row r="84" spans="1:9" ht="15.75" customHeight="1">
      <c r="A84" s="194" t="s">
        <v>131</v>
      </c>
      <c r="B84" s="195"/>
      <c r="C84" s="195"/>
      <c r="D84" s="195"/>
      <c r="E84" s="195"/>
      <c r="F84" s="195"/>
      <c r="G84" s="195"/>
      <c r="H84" s="195"/>
      <c r="I84" s="196"/>
    </row>
    <row r="85" spans="1:9" ht="15.75" customHeight="1">
      <c r="A85" s="96">
        <v>17</v>
      </c>
      <c r="B85" s="34" t="s">
        <v>116</v>
      </c>
      <c r="C85" s="40" t="s">
        <v>55</v>
      </c>
      <c r="D85" s="103"/>
      <c r="E85" s="36">
        <v>3053.4</v>
      </c>
      <c r="F85" s="36">
        <f>SUM(E85*12)</f>
        <v>36640.800000000003</v>
      </c>
      <c r="G85" s="36">
        <v>3.1</v>
      </c>
      <c r="H85" s="114">
        <f>SUM(F85*G85/1000)</f>
        <v>113.58648000000001</v>
      </c>
      <c r="I85" s="101">
        <f>F85/12*G85</f>
        <v>9465.5400000000009</v>
      </c>
    </row>
    <row r="86" spans="1:9" ht="31.5" customHeight="1">
      <c r="A86" s="29">
        <v>18</v>
      </c>
      <c r="B86" s="39" t="s">
        <v>79</v>
      </c>
      <c r="C86" s="40"/>
      <c r="D86" s="103"/>
      <c r="E86" s="121">
        <v>3053.4</v>
      </c>
      <c r="F86" s="36">
        <f>E86*12</f>
        <v>36640.800000000003</v>
      </c>
      <c r="G86" s="36">
        <v>3.5</v>
      </c>
      <c r="H86" s="114">
        <f>F86*G86/1000</f>
        <v>128.24280000000002</v>
      </c>
      <c r="I86" s="13">
        <f>F86/12*G86</f>
        <v>10686.9</v>
      </c>
    </row>
    <row r="87" spans="1:9" ht="15.75" customHeight="1">
      <c r="A87" s="29"/>
      <c r="B87" s="43" t="s">
        <v>81</v>
      </c>
      <c r="C87" s="90"/>
      <c r="D87" s="88"/>
      <c r="E87" s="91"/>
      <c r="F87" s="91"/>
      <c r="G87" s="91"/>
      <c r="H87" s="92">
        <f>SUM(H86)</f>
        <v>128.24280000000002</v>
      </c>
      <c r="I87" s="91">
        <f>I86+I85+I79+I78+I72+I64+I62+I51+I44+I43+I42+I40+I39+I38+I26+I18+I17+I16</f>
        <v>56691.681205666668</v>
      </c>
    </row>
    <row r="88" spans="1:9" ht="15.75" customHeight="1">
      <c r="A88" s="183" t="s">
        <v>60</v>
      </c>
      <c r="B88" s="184"/>
      <c r="C88" s="184"/>
      <c r="D88" s="184"/>
      <c r="E88" s="184"/>
      <c r="F88" s="184"/>
      <c r="G88" s="184"/>
      <c r="H88" s="184"/>
      <c r="I88" s="185"/>
    </row>
    <row r="89" spans="1:9" ht="34.5" customHeight="1">
      <c r="A89" s="29">
        <v>19</v>
      </c>
      <c r="B89" s="115" t="s">
        <v>173</v>
      </c>
      <c r="C89" s="116" t="s">
        <v>29</v>
      </c>
      <c r="D89" s="52"/>
      <c r="E89" s="13"/>
      <c r="F89" s="13">
        <v>128</v>
      </c>
      <c r="G89" s="13">
        <v>19757.060000000001</v>
      </c>
      <c r="H89" s="89">
        <f t="shared" ref="H89" si="12">G89*F89/1000</f>
        <v>2528.9036800000003</v>
      </c>
      <c r="I89" s="13">
        <f>G89*0.599*8/1000</f>
        <v>94.675831520000003</v>
      </c>
    </row>
    <row r="90" spans="1:9" ht="31.5" customHeight="1">
      <c r="A90" s="29">
        <v>20</v>
      </c>
      <c r="B90" s="115" t="s">
        <v>182</v>
      </c>
      <c r="C90" s="116" t="s">
        <v>183</v>
      </c>
      <c r="D90" s="117"/>
      <c r="E90" s="36"/>
      <c r="F90" s="36">
        <v>4</v>
      </c>
      <c r="G90" s="13">
        <v>59.21</v>
      </c>
      <c r="H90" s="114">
        <f>F90*G90/1000</f>
        <v>0.23683999999999999</v>
      </c>
      <c r="I90" s="13">
        <f>G90*1</f>
        <v>59.21</v>
      </c>
    </row>
    <row r="91" spans="1:9" ht="32.25" customHeight="1">
      <c r="A91" s="29">
        <v>21</v>
      </c>
      <c r="B91" s="115" t="s">
        <v>184</v>
      </c>
      <c r="C91" s="116" t="s">
        <v>97</v>
      </c>
      <c r="D91" s="117"/>
      <c r="E91" s="36"/>
      <c r="F91" s="36">
        <v>1</v>
      </c>
      <c r="G91" s="13">
        <v>561.86</v>
      </c>
      <c r="H91" s="114">
        <f>F91*G91/1000</f>
        <v>0.56186000000000003</v>
      </c>
      <c r="I91" s="13">
        <f>G91*1</f>
        <v>561.86</v>
      </c>
    </row>
    <row r="92" spans="1:9" ht="17.25" customHeight="1">
      <c r="A92" s="29">
        <v>22</v>
      </c>
      <c r="B92" s="115" t="s">
        <v>185</v>
      </c>
      <c r="C92" s="116" t="s">
        <v>89</v>
      </c>
      <c r="D92" s="117"/>
      <c r="E92" s="36"/>
      <c r="F92" s="36"/>
      <c r="G92" s="13">
        <v>6076.3</v>
      </c>
      <c r="H92" s="114"/>
      <c r="I92" s="13">
        <f>G92*1</f>
        <v>6076.3</v>
      </c>
    </row>
    <row r="93" spans="1:9" ht="32.25" customHeight="1">
      <c r="A93" s="29">
        <v>23</v>
      </c>
      <c r="B93" s="115" t="s">
        <v>218</v>
      </c>
      <c r="C93" s="116" t="s">
        <v>97</v>
      </c>
      <c r="D93" s="117"/>
      <c r="E93" s="36"/>
      <c r="F93" s="36"/>
      <c r="G93" s="177">
        <v>1209.49</v>
      </c>
      <c r="H93" s="114"/>
      <c r="I93" s="13">
        <f>G93*1</f>
        <v>1209.49</v>
      </c>
    </row>
    <row r="94" spans="1:9" ht="17.25" customHeight="1">
      <c r="A94" s="29">
        <v>24</v>
      </c>
      <c r="B94" s="115" t="s">
        <v>188</v>
      </c>
      <c r="C94" s="116" t="s">
        <v>29</v>
      </c>
      <c r="D94" s="117"/>
      <c r="E94" s="36"/>
      <c r="F94" s="36"/>
      <c r="G94" s="13">
        <v>830.69</v>
      </c>
      <c r="H94" s="114"/>
      <c r="I94" s="13">
        <f>G94*0.002</f>
        <v>1.6613800000000001</v>
      </c>
    </row>
    <row r="95" spans="1:9" ht="15.75" customHeight="1">
      <c r="A95" s="29"/>
      <c r="B95" s="50" t="s">
        <v>52</v>
      </c>
      <c r="C95" s="46"/>
      <c r="D95" s="54"/>
      <c r="E95" s="46">
        <v>1</v>
      </c>
      <c r="F95" s="46"/>
      <c r="G95" s="46"/>
      <c r="H95" s="46"/>
      <c r="I95" s="32">
        <f>SUM(I89:I94)</f>
        <v>8003.1972115199997</v>
      </c>
    </row>
    <row r="96" spans="1:9" ht="15.75" customHeight="1">
      <c r="A96" s="29"/>
      <c r="B96" s="52" t="s">
        <v>80</v>
      </c>
      <c r="C96" s="15"/>
      <c r="D96" s="15"/>
      <c r="E96" s="47"/>
      <c r="F96" s="47"/>
      <c r="G96" s="48"/>
      <c r="H96" s="48"/>
      <c r="I96" s="17">
        <v>0</v>
      </c>
    </row>
    <row r="97" spans="1:9" ht="15.75" customHeight="1">
      <c r="A97" s="55"/>
      <c r="B97" s="51" t="s">
        <v>141</v>
      </c>
      <c r="C97" s="35"/>
      <c r="D97" s="35"/>
      <c r="E97" s="35"/>
      <c r="F97" s="35"/>
      <c r="G97" s="35"/>
      <c r="H97" s="35"/>
      <c r="I97" s="49">
        <f>I87+I95</f>
        <v>64694.878417186665</v>
      </c>
    </row>
    <row r="98" spans="1:9" ht="15.75">
      <c r="A98" s="186" t="s">
        <v>219</v>
      </c>
      <c r="B98" s="186"/>
      <c r="C98" s="186"/>
      <c r="D98" s="186"/>
      <c r="E98" s="186"/>
      <c r="F98" s="186"/>
      <c r="G98" s="186"/>
      <c r="H98" s="186"/>
      <c r="I98" s="186"/>
    </row>
    <row r="99" spans="1:9" ht="15.75">
      <c r="A99" s="62"/>
      <c r="B99" s="187" t="s">
        <v>220</v>
      </c>
      <c r="C99" s="187"/>
      <c r="D99" s="187"/>
      <c r="E99" s="187"/>
      <c r="F99" s="187"/>
      <c r="G99" s="187"/>
      <c r="H99" s="70"/>
      <c r="I99" s="3"/>
    </row>
    <row r="100" spans="1:9">
      <c r="A100" s="144"/>
      <c r="B100" s="188" t="s">
        <v>6</v>
      </c>
      <c r="C100" s="188"/>
      <c r="D100" s="188"/>
      <c r="E100" s="188"/>
      <c r="F100" s="188"/>
      <c r="G100" s="188"/>
      <c r="H100" s="24"/>
      <c r="I100" s="5"/>
    </row>
    <row r="101" spans="1:9" ht="15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 customHeight="1">
      <c r="A102" s="189" t="s">
        <v>7</v>
      </c>
      <c r="B102" s="189"/>
      <c r="C102" s="189"/>
      <c r="D102" s="189"/>
      <c r="E102" s="189"/>
      <c r="F102" s="189"/>
      <c r="G102" s="189"/>
      <c r="H102" s="189"/>
      <c r="I102" s="189"/>
    </row>
    <row r="103" spans="1:9" ht="15.75" customHeight="1">
      <c r="A103" s="189" t="s">
        <v>8</v>
      </c>
      <c r="B103" s="189"/>
      <c r="C103" s="189"/>
      <c r="D103" s="189"/>
      <c r="E103" s="189"/>
      <c r="F103" s="189"/>
      <c r="G103" s="189"/>
      <c r="H103" s="189"/>
      <c r="I103" s="189"/>
    </row>
    <row r="104" spans="1:9" ht="15.75" customHeight="1">
      <c r="A104" s="190" t="s">
        <v>61</v>
      </c>
      <c r="B104" s="190"/>
      <c r="C104" s="190"/>
      <c r="D104" s="190"/>
      <c r="E104" s="190"/>
      <c r="F104" s="190"/>
      <c r="G104" s="190"/>
      <c r="H104" s="190"/>
      <c r="I104" s="190"/>
    </row>
    <row r="105" spans="1:9" ht="15.75" customHeight="1">
      <c r="A105" s="11"/>
    </row>
    <row r="106" spans="1:9" ht="15.75" customHeight="1">
      <c r="A106" s="191" t="s">
        <v>9</v>
      </c>
      <c r="B106" s="191"/>
      <c r="C106" s="191"/>
      <c r="D106" s="191"/>
      <c r="E106" s="191"/>
      <c r="F106" s="191"/>
      <c r="G106" s="191"/>
      <c r="H106" s="191"/>
      <c r="I106" s="191"/>
    </row>
    <row r="107" spans="1:9" ht="15.75" customHeight="1">
      <c r="A107" s="4"/>
    </row>
    <row r="108" spans="1:9" ht="15.75" customHeight="1">
      <c r="B108" s="145" t="s">
        <v>10</v>
      </c>
      <c r="C108" s="192" t="s">
        <v>88</v>
      </c>
      <c r="D108" s="192"/>
      <c r="E108" s="192"/>
      <c r="F108" s="68"/>
      <c r="I108" s="143"/>
    </row>
    <row r="109" spans="1:9" ht="15.75" customHeight="1">
      <c r="A109" s="144"/>
      <c r="C109" s="188" t="s">
        <v>11</v>
      </c>
      <c r="D109" s="188"/>
      <c r="E109" s="188"/>
      <c r="F109" s="24"/>
      <c r="I109" s="142" t="s">
        <v>12</v>
      </c>
    </row>
    <row r="110" spans="1:9" ht="15.75" customHeight="1">
      <c r="A110" s="25"/>
      <c r="C110" s="12"/>
      <c r="D110" s="12"/>
      <c r="G110" s="12"/>
      <c r="H110" s="12"/>
    </row>
    <row r="111" spans="1:9" ht="15.75" customHeight="1">
      <c r="B111" s="145" t="s">
        <v>13</v>
      </c>
      <c r="C111" s="193"/>
      <c r="D111" s="193"/>
      <c r="E111" s="193"/>
      <c r="F111" s="69"/>
      <c r="I111" s="143"/>
    </row>
    <row r="112" spans="1:9" ht="15.75" customHeight="1">
      <c r="A112" s="144"/>
      <c r="C112" s="182" t="s">
        <v>11</v>
      </c>
      <c r="D112" s="182"/>
      <c r="E112" s="182"/>
      <c r="F112" s="144"/>
      <c r="I112" s="142" t="s">
        <v>12</v>
      </c>
    </row>
    <row r="113" spans="1:9" ht="15.75" customHeight="1">
      <c r="A113" s="4" t="s">
        <v>14</v>
      </c>
    </row>
    <row r="114" spans="1:9">
      <c r="A114" s="180" t="s">
        <v>15</v>
      </c>
      <c r="B114" s="180"/>
      <c r="C114" s="180"/>
      <c r="D114" s="180"/>
      <c r="E114" s="180"/>
      <c r="F114" s="180"/>
      <c r="G114" s="180"/>
      <c r="H114" s="180"/>
      <c r="I114" s="180"/>
    </row>
    <row r="115" spans="1:9" ht="45" customHeight="1">
      <c r="A115" s="181" t="s">
        <v>16</v>
      </c>
      <c r="B115" s="181"/>
      <c r="C115" s="181"/>
      <c r="D115" s="181"/>
      <c r="E115" s="181"/>
      <c r="F115" s="181"/>
      <c r="G115" s="181"/>
      <c r="H115" s="181"/>
      <c r="I115" s="181"/>
    </row>
    <row r="116" spans="1:9" ht="30" customHeight="1">
      <c r="A116" s="181" t="s">
        <v>17</v>
      </c>
      <c r="B116" s="181"/>
      <c r="C116" s="181"/>
      <c r="D116" s="181"/>
      <c r="E116" s="181"/>
      <c r="F116" s="181"/>
      <c r="G116" s="181"/>
      <c r="H116" s="181"/>
      <c r="I116" s="181"/>
    </row>
    <row r="117" spans="1:9" ht="30" customHeight="1">
      <c r="A117" s="181" t="s">
        <v>21</v>
      </c>
      <c r="B117" s="181"/>
      <c r="C117" s="181"/>
      <c r="D117" s="181"/>
      <c r="E117" s="181"/>
      <c r="F117" s="181"/>
      <c r="G117" s="181"/>
      <c r="H117" s="181"/>
      <c r="I117" s="181"/>
    </row>
    <row r="118" spans="1:9" ht="15" customHeight="1">
      <c r="A118" s="181" t="s">
        <v>20</v>
      </c>
      <c r="B118" s="181"/>
      <c r="C118" s="181"/>
      <c r="D118" s="181"/>
      <c r="E118" s="181"/>
      <c r="F118" s="181"/>
      <c r="G118" s="181"/>
      <c r="H118" s="181"/>
      <c r="I118" s="181"/>
    </row>
  </sheetData>
  <autoFilter ref="I12:I66"/>
  <mergeCells count="29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71:U71"/>
    <mergeCell ref="C112:E112"/>
    <mergeCell ref="A88:I88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84:I84"/>
    <mergeCell ref="A114:I114"/>
    <mergeCell ref="A115:I115"/>
    <mergeCell ref="A116:I116"/>
    <mergeCell ref="A117:I117"/>
    <mergeCell ref="A118:I11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5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D38" sqref="D38:D4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168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7" t="s">
        <v>160</v>
      </c>
      <c r="B3" s="197"/>
      <c r="C3" s="197"/>
      <c r="D3" s="197"/>
      <c r="E3" s="197"/>
      <c r="F3" s="197"/>
      <c r="G3" s="197"/>
      <c r="H3" s="197"/>
      <c r="I3" s="197"/>
      <c r="J3" s="3"/>
      <c r="K3" s="3"/>
      <c r="L3" s="3"/>
    </row>
    <row r="4" spans="1:13" ht="31.5" customHeight="1">
      <c r="A4" s="198" t="s">
        <v>117</v>
      </c>
      <c r="B4" s="198"/>
      <c r="C4" s="198"/>
      <c r="D4" s="198"/>
      <c r="E4" s="198"/>
      <c r="F4" s="198"/>
      <c r="G4" s="198"/>
      <c r="H4" s="198"/>
      <c r="I4" s="198"/>
    </row>
    <row r="5" spans="1:13" ht="15.75" customHeight="1">
      <c r="A5" s="197" t="s">
        <v>186</v>
      </c>
      <c r="B5" s="199"/>
      <c r="C5" s="199"/>
      <c r="D5" s="199"/>
      <c r="E5" s="199"/>
      <c r="F5" s="199"/>
      <c r="G5" s="199"/>
      <c r="H5" s="199"/>
      <c r="I5" s="199"/>
      <c r="J5" s="2"/>
      <c r="K5" s="2"/>
      <c r="L5" s="2"/>
      <c r="M5" s="2"/>
    </row>
    <row r="6" spans="1:13" ht="15.75" customHeight="1">
      <c r="A6" s="2"/>
      <c r="B6" s="149"/>
      <c r="C6" s="149"/>
      <c r="D6" s="149"/>
      <c r="E6" s="149"/>
      <c r="F6" s="149"/>
      <c r="G6" s="149"/>
      <c r="H6" s="149"/>
      <c r="I6" s="30">
        <v>43555</v>
      </c>
      <c r="J6" s="2"/>
      <c r="K6" s="2"/>
      <c r="L6" s="2"/>
      <c r="M6" s="2"/>
    </row>
    <row r="7" spans="1:13" ht="15.75" customHeight="1">
      <c r="B7" s="150"/>
      <c r="C7" s="150"/>
      <c r="D7" s="15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0" t="s">
        <v>169</v>
      </c>
      <c r="B8" s="200"/>
      <c r="C8" s="200"/>
      <c r="D8" s="200"/>
      <c r="E8" s="200"/>
      <c r="F8" s="200"/>
      <c r="G8" s="200"/>
      <c r="H8" s="200"/>
      <c r="I8" s="20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1" t="s">
        <v>158</v>
      </c>
      <c r="B10" s="201"/>
      <c r="C10" s="201"/>
      <c r="D10" s="201"/>
      <c r="E10" s="201"/>
      <c r="F10" s="201"/>
      <c r="G10" s="201"/>
      <c r="H10" s="201"/>
      <c r="I10" s="201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2" t="s">
        <v>59</v>
      </c>
      <c r="B14" s="202"/>
      <c r="C14" s="202"/>
      <c r="D14" s="202"/>
      <c r="E14" s="202"/>
      <c r="F14" s="202"/>
      <c r="G14" s="202"/>
      <c r="H14" s="202"/>
      <c r="I14" s="202"/>
      <c r="J14" s="8"/>
      <c r="K14" s="8"/>
      <c r="L14" s="8"/>
      <c r="M14" s="8"/>
    </row>
    <row r="15" spans="1:13" ht="15.75" customHeight="1">
      <c r="A15" s="203" t="s">
        <v>4</v>
      </c>
      <c r="B15" s="203"/>
      <c r="C15" s="203"/>
      <c r="D15" s="203"/>
      <c r="E15" s="203"/>
      <c r="F15" s="203"/>
      <c r="G15" s="203"/>
      <c r="H15" s="203"/>
      <c r="I15" s="203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93</v>
      </c>
      <c r="D16" s="71" t="s">
        <v>199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93</v>
      </c>
      <c r="D17" s="71" t="s">
        <v>200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93</v>
      </c>
      <c r="D18" s="71" t="s">
        <v>201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100</v>
      </c>
      <c r="C19" s="72" t="s">
        <v>101</v>
      </c>
      <c r="D19" s="71" t="s">
        <v>102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92</v>
      </c>
      <c r="C20" s="72" t="s">
        <v>93</v>
      </c>
      <c r="D20" s="71" t="s">
        <v>142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98</v>
      </c>
      <c r="C21" s="72" t="s">
        <v>93</v>
      </c>
      <c r="D21" s="71" t="s">
        <v>142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94</v>
      </c>
      <c r="C22" s="72" t="s">
        <v>53</v>
      </c>
      <c r="D22" s="71" t="s">
        <v>102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95</v>
      </c>
      <c r="C23" s="72" t="s">
        <v>53</v>
      </c>
      <c r="D23" s="71" t="s">
        <v>102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96</v>
      </c>
      <c r="C24" s="72" t="s">
        <v>53</v>
      </c>
      <c r="D24" s="71" t="s">
        <v>102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99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198</v>
      </c>
      <c r="C26" s="44" t="s">
        <v>25</v>
      </c>
      <c r="D26" s="34" t="s">
        <v>201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  <c r="J26" s="23"/>
    </row>
    <row r="27" spans="1:13" ht="15.75" customHeight="1">
      <c r="A27" s="203" t="s">
        <v>140</v>
      </c>
      <c r="B27" s="203"/>
      <c r="C27" s="203"/>
      <c r="D27" s="203"/>
      <c r="E27" s="203"/>
      <c r="F27" s="203"/>
      <c r="G27" s="203"/>
      <c r="H27" s="203"/>
      <c r="I27" s="203"/>
      <c r="J27" s="22"/>
      <c r="K27" s="8"/>
      <c r="L27" s="8"/>
      <c r="M27" s="8"/>
    </row>
    <row r="28" spans="1:13" ht="15.75" hidden="1" customHeight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  <c r="J28" s="22"/>
      <c r="K28" s="8"/>
      <c r="L28" s="8"/>
      <c r="M28" s="8"/>
    </row>
    <row r="29" spans="1:13" ht="15.75" hidden="1" customHeight="1">
      <c r="A29" s="29">
        <v>6</v>
      </c>
      <c r="B29" s="71" t="s">
        <v>103</v>
      </c>
      <c r="C29" s="72" t="s">
        <v>104</v>
      </c>
      <c r="D29" s="71" t="s">
        <v>118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5" si="1">SUM(F29*G29/1000)</f>
        <v>3.3774305759999996</v>
      </c>
      <c r="I29" s="13">
        <f t="shared" ref="I29:I33" si="2">F29/6*G29</f>
        <v>562.90509599999996</v>
      </c>
      <c r="J29" s="22"/>
      <c r="K29" s="8"/>
      <c r="L29" s="8"/>
      <c r="M29" s="8"/>
    </row>
    <row r="30" spans="1:13" ht="31.5" hidden="1" customHeight="1">
      <c r="A30" s="29">
        <v>7</v>
      </c>
      <c r="B30" s="71" t="s">
        <v>128</v>
      </c>
      <c r="C30" s="72" t="s">
        <v>104</v>
      </c>
      <c r="D30" s="71" t="s">
        <v>119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1"/>
        <v>3.8655693179999995</v>
      </c>
      <c r="I30" s="13">
        <f t="shared" si="2"/>
        <v>644.26155299999994</v>
      </c>
      <c r="J30" s="22"/>
      <c r="K30" s="8"/>
      <c r="L30" s="8"/>
      <c r="M30" s="8"/>
    </row>
    <row r="31" spans="1:13" ht="15.75" hidden="1" customHeight="1">
      <c r="A31" s="29">
        <v>11</v>
      </c>
      <c r="B31" s="71" t="s">
        <v>27</v>
      </c>
      <c r="C31" s="72" t="s">
        <v>104</v>
      </c>
      <c r="D31" s="71" t="s">
        <v>54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1"/>
        <v>1.2584827709999999</v>
      </c>
      <c r="I31" s="13">
        <f>F31*G31</f>
        <v>1258.482771</v>
      </c>
      <c r="J31" s="22"/>
      <c r="K31" s="8"/>
      <c r="L31" s="8"/>
      <c r="M31" s="8"/>
    </row>
    <row r="32" spans="1:13" ht="15.75" hidden="1" customHeight="1">
      <c r="A32" s="29">
        <v>8</v>
      </c>
      <c r="B32" s="71" t="s">
        <v>143</v>
      </c>
      <c r="C32" s="72" t="s">
        <v>40</v>
      </c>
      <c r="D32" s="71" t="s">
        <v>63</v>
      </c>
      <c r="E32" s="74">
        <v>5</v>
      </c>
      <c r="F32" s="74">
        <f>E32*155/100</f>
        <v>7.75</v>
      </c>
      <c r="G32" s="74">
        <v>1707.63</v>
      </c>
      <c r="H32" s="78">
        <f t="shared" si="1"/>
        <v>13.234132500000001</v>
      </c>
      <c r="I32" s="13">
        <f t="shared" si="2"/>
        <v>2205.6887500000003</v>
      </c>
      <c r="J32" s="22"/>
      <c r="K32" s="8"/>
      <c r="L32" s="8"/>
      <c r="M32" s="8"/>
    </row>
    <row r="33" spans="1:14" ht="15.75" hidden="1" customHeight="1">
      <c r="A33" s="29">
        <v>9</v>
      </c>
      <c r="B33" s="71" t="s">
        <v>105</v>
      </c>
      <c r="C33" s="72" t="s">
        <v>30</v>
      </c>
      <c r="D33" s="71" t="s">
        <v>63</v>
      </c>
      <c r="E33" s="80">
        <f>1/6</f>
        <v>0.16666666666666666</v>
      </c>
      <c r="F33" s="74">
        <f>155/6</f>
        <v>25.833333333333332</v>
      </c>
      <c r="G33" s="74">
        <v>74.349999999999994</v>
      </c>
      <c r="H33" s="78">
        <f t="shared" si="1"/>
        <v>1.920708333333333</v>
      </c>
      <c r="I33" s="13">
        <f t="shared" si="2"/>
        <v>320.11805555555554</v>
      </c>
      <c r="J33" s="22"/>
      <c r="K33" s="8"/>
      <c r="L33" s="8"/>
      <c r="M33" s="8"/>
    </row>
    <row r="34" spans="1:14" ht="15.75" hidden="1" customHeight="1">
      <c r="A34" s="29"/>
      <c r="B34" s="34" t="s">
        <v>64</v>
      </c>
      <c r="C34" s="44" t="s">
        <v>32</v>
      </c>
      <c r="D34" s="34" t="s">
        <v>66</v>
      </c>
      <c r="E34" s="121"/>
      <c r="F34" s="33">
        <v>2</v>
      </c>
      <c r="G34" s="33">
        <v>250.92</v>
      </c>
      <c r="H34" s="119">
        <f t="shared" si="1"/>
        <v>0.50183999999999995</v>
      </c>
      <c r="I34" s="13">
        <v>0</v>
      </c>
      <c r="J34" s="22"/>
      <c r="K34" s="8"/>
    </row>
    <row r="35" spans="1:14" ht="15.75" hidden="1" customHeight="1">
      <c r="A35" s="29"/>
      <c r="B35" s="34" t="s">
        <v>65</v>
      </c>
      <c r="C35" s="44" t="s">
        <v>31</v>
      </c>
      <c r="D35" s="34" t="s">
        <v>66</v>
      </c>
      <c r="E35" s="121"/>
      <c r="F35" s="33">
        <v>1</v>
      </c>
      <c r="G35" s="33">
        <v>1490.31</v>
      </c>
      <c r="H35" s="119">
        <f t="shared" si="1"/>
        <v>1.49031</v>
      </c>
      <c r="I35" s="13"/>
      <c r="J35" s="22"/>
      <c r="K35" s="8"/>
    </row>
    <row r="36" spans="1:14" ht="15.75" customHeight="1">
      <c r="A36" s="29"/>
      <c r="B36" s="93" t="s">
        <v>5</v>
      </c>
      <c r="C36" s="72"/>
      <c r="D36" s="71"/>
      <c r="E36" s="73"/>
      <c r="F36" s="74"/>
      <c r="G36" s="74"/>
      <c r="H36" s="78" t="s">
        <v>123</v>
      </c>
      <c r="I36" s="79"/>
      <c r="J36" s="23"/>
    </row>
    <row r="37" spans="1:14" ht="15.75" customHeight="1">
      <c r="A37" s="29">
        <v>5</v>
      </c>
      <c r="B37" s="71" t="s">
        <v>26</v>
      </c>
      <c r="C37" s="72" t="s">
        <v>31</v>
      </c>
      <c r="D37" s="71"/>
      <c r="E37" s="73"/>
      <c r="F37" s="74">
        <v>3</v>
      </c>
      <c r="G37" s="74">
        <v>2003</v>
      </c>
      <c r="H37" s="78">
        <f t="shared" ref="H37:H43" si="3">SUM(F37*G37/1000)</f>
        <v>6.0090000000000003</v>
      </c>
      <c r="I37" s="13">
        <f>G37*2.1</f>
        <v>4206.3</v>
      </c>
      <c r="J37" s="23"/>
    </row>
    <row r="38" spans="1:14" ht="15.75" customHeight="1">
      <c r="A38" s="29">
        <v>6</v>
      </c>
      <c r="B38" s="71" t="s">
        <v>67</v>
      </c>
      <c r="C38" s="72" t="s">
        <v>29</v>
      </c>
      <c r="D38" s="71" t="s">
        <v>202</v>
      </c>
      <c r="E38" s="74">
        <v>160.6</v>
      </c>
      <c r="F38" s="74">
        <f>SUM(E38*18/1000)</f>
        <v>2.8907999999999996</v>
      </c>
      <c r="G38" s="74">
        <v>2757.78</v>
      </c>
      <c r="H38" s="78">
        <f t="shared" si="3"/>
        <v>7.972190423999999</v>
      </c>
      <c r="I38" s="13">
        <f t="shared" ref="I38:I41" si="4">F38/6*G38</f>
        <v>1328.698404</v>
      </c>
      <c r="J38" s="23"/>
    </row>
    <row r="39" spans="1:14" ht="15.75" customHeight="1">
      <c r="A39" s="29">
        <v>7</v>
      </c>
      <c r="B39" s="71" t="s">
        <v>68</v>
      </c>
      <c r="C39" s="72" t="s">
        <v>29</v>
      </c>
      <c r="D39" s="71" t="s">
        <v>203</v>
      </c>
      <c r="E39" s="73">
        <v>89.1</v>
      </c>
      <c r="F39" s="74">
        <f>SUM(E39*155/1000)</f>
        <v>13.810499999999999</v>
      </c>
      <c r="G39" s="74">
        <v>460.02</v>
      </c>
      <c r="H39" s="78">
        <f t="shared" si="3"/>
        <v>6.3531062099999991</v>
      </c>
      <c r="I39" s="13">
        <f t="shared" si="4"/>
        <v>1058.8510349999999</v>
      </c>
      <c r="J39" s="23"/>
    </row>
    <row r="40" spans="1:14" ht="15.75" hidden="1" customHeight="1">
      <c r="A40" s="29">
        <v>12</v>
      </c>
      <c r="B40" s="71" t="s">
        <v>145</v>
      </c>
      <c r="C40" s="72" t="s">
        <v>146</v>
      </c>
      <c r="D40" s="71" t="s">
        <v>66</v>
      </c>
      <c r="E40" s="73"/>
      <c r="F40" s="74">
        <v>39</v>
      </c>
      <c r="G40" s="74">
        <v>301.70999999999998</v>
      </c>
      <c r="H40" s="78">
        <f t="shared" si="3"/>
        <v>11.766689999999999</v>
      </c>
      <c r="I40" s="13">
        <v>0</v>
      </c>
      <c r="J40" s="23"/>
    </row>
    <row r="41" spans="1:14" ht="47.25" customHeight="1">
      <c r="A41" s="29">
        <v>8</v>
      </c>
      <c r="B41" s="71" t="s">
        <v>83</v>
      </c>
      <c r="C41" s="72" t="s">
        <v>104</v>
      </c>
      <c r="D41" s="71" t="s">
        <v>204</v>
      </c>
      <c r="E41" s="74">
        <v>46.5</v>
      </c>
      <c r="F41" s="74">
        <f>SUM(E41*35/1000)</f>
        <v>1.6274999999999999</v>
      </c>
      <c r="G41" s="74">
        <v>7611.16</v>
      </c>
      <c r="H41" s="78">
        <f t="shared" si="3"/>
        <v>12.3871629</v>
      </c>
      <c r="I41" s="13">
        <f t="shared" si="4"/>
        <v>2064.5271499999999</v>
      </c>
      <c r="J41" s="23"/>
      <c r="L41" s="19"/>
      <c r="M41" s="20"/>
      <c r="N41" s="21"/>
    </row>
    <row r="42" spans="1:14" ht="15.75" customHeight="1">
      <c r="A42" s="94">
        <v>9</v>
      </c>
      <c r="B42" s="83" t="s">
        <v>106</v>
      </c>
      <c r="C42" s="84" t="s">
        <v>104</v>
      </c>
      <c r="D42" s="83" t="s">
        <v>205</v>
      </c>
      <c r="E42" s="85">
        <v>89.1</v>
      </c>
      <c r="F42" s="85">
        <f>SUM(E42*45/1000)</f>
        <v>4.0094999999999992</v>
      </c>
      <c r="G42" s="85">
        <v>562.25</v>
      </c>
      <c r="H42" s="82">
        <f t="shared" si="3"/>
        <v>2.2543413749999996</v>
      </c>
      <c r="I42" s="95">
        <f>(F42/7.5*1.5)*G42</f>
        <v>450.86827499999993</v>
      </c>
      <c r="J42" s="23"/>
      <c r="L42" s="19"/>
      <c r="M42" s="20"/>
      <c r="N42" s="21"/>
    </row>
    <row r="43" spans="1:14" ht="15.75" customHeight="1">
      <c r="A43" s="29">
        <v>10</v>
      </c>
      <c r="B43" s="14" t="s">
        <v>70</v>
      </c>
      <c r="C43" s="16" t="s">
        <v>32</v>
      </c>
      <c r="D43" s="14"/>
      <c r="E43" s="18"/>
      <c r="F43" s="13">
        <v>0.9</v>
      </c>
      <c r="G43" s="13">
        <v>974.83</v>
      </c>
      <c r="H43" s="13">
        <f t="shared" si="3"/>
        <v>0.8773470000000001</v>
      </c>
      <c r="I43" s="95">
        <f>(F43/7.5*1.5)*G43</f>
        <v>175.46940000000004</v>
      </c>
      <c r="J43" s="23"/>
      <c r="L43" s="19"/>
      <c r="M43" s="20"/>
      <c r="N43" s="21"/>
    </row>
    <row r="44" spans="1:14" ht="15.75" hidden="1" customHeight="1">
      <c r="A44" s="194" t="s">
        <v>129</v>
      </c>
      <c r="B44" s="195"/>
      <c r="C44" s="195"/>
      <c r="D44" s="195"/>
      <c r="E44" s="195"/>
      <c r="F44" s="195"/>
      <c r="G44" s="195"/>
      <c r="H44" s="195"/>
      <c r="I44" s="196"/>
      <c r="J44" s="23"/>
      <c r="L44" s="19"/>
      <c r="M44" s="20"/>
      <c r="N44" s="21"/>
    </row>
    <row r="45" spans="1:14" ht="15.75" hidden="1" customHeight="1">
      <c r="A45" s="29">
        <v>12</v>
      </c>
      <c r="B45" s="39" t="s">
        <v>107</v>
      </c>
      <c r="C45" s="40" t="s">
        <v>104</v>
      </c>
      <c r="D45" s="39" t="s">
        <v>42</v>
      </c>
      <c r="E45" s="17">
        <v>1632.75</v>
      </c>
      <c r="F45" s="36">
        <f>SUM(E45*2/1000)</f>
        <v>3.2654999999999998</v>
      </c>
      <c r="G45" s="36">
        <v>1062</v>
      </c>
      <c r="H45" s="36">
        <f t="shared" ref="H45:H54" si="5">SUM(F45*G45/1000)</f>
        <v>3.4679609999999998</v>
      </c>
      <c r="I45" s="13">
        <f>F45/2*G45</f>
        <v>1733.9804999999999</v>
      </c>
      <c r="J45" s="23"/>
      <c r="L45" s="19"/>
      <c r="M45" s="20"/>
      <c r="N45" s="21"/>
    </row>
    <row r="46" spans="1:14" ht="15.75" hidden="1" customHeight="1">
      <c r="A46" s="29">
        <v>13</v>
      </c>
      <c r="B46" s="39" t="s">
        <v>35</v>
      </c>
      <c r="C46" s="40" t="s">
        <v>104</v>
      </c>
      <c r="D46" s="39" t="s">
        <v>42</v>
      </c>
      <c r="E46" s="17">
        <v>53.75</v>
      </c>
      <c r="F46" s="36">
        <f>SUM(E46*2/1000)</f>
        <v>0.1075</v>
      </c>
      <c r="G46" s="36">
        <v>759.98</v>
      </c>
      <c r="H46" s="36">
        <f t="shared" si="5"/>
        <v>8.1697850000000002E-2</v>
      </c>
      <c r="I46" s="13">
        <f t="shared" ref="I46:I53" si="6">F46/2*G46</f>
        <v>40.848925000000001</v>
      </c>
      <c r="J46" s="23"/>
      <c r="L46" s="19"/>
      <c r="M46" s="20"/>
      <c r="N46" s="21"/>
    </row>
    <row r="47" spans="1:14" ht="15.75" hidden="1" customHeight="1">
      <c r="A47" s="29">
        <v>14</v>
      </c>
      <c r="B47" s="39" t="s">
        <v>36</v>
      </c>
      <c r="C47" s="40" t="s">
        <v>104</v>
      </c>
      <c r="D47" s="39" t="s">
        <v>42</v>
      </c>
      <c r="E47" s="17">
        <v>2285.6</v>
      </c>
      <c r="F47" s="36">
        <f>SUM(E47*2/1000)</f>
        <v>4.5712000000000002</v>
      </c>
      <c r="G47" s="36">
        <v>759.98</v>
      </c>
      <c r="H47" s="36">
        <f t="shared" si="5"/>
        <v>3.4740205760000005</v>
      </c>
      <c r="I47" s="13">
        <f t="shared" si="6"/>
        <v>1737.0102880000002</v>
      </c>
      <c r="J47" s="23"/>
      <c r="L47" s="19"/>
      <c r="M47" s="20"/>
      <c r="N47" s="21"/>
    </row>
    <row r="48" spans="1:14" ht="15.75" hidden="1" customHeight="1">
      <c r="A48" s="29">
        <v>15</v>
      </c>
      <c r="B48" s="39" t="s">
        <v>37</v>
      </c>
      <c r="C48" s="40" t="s">
        <v>104</v>
      </c>
      <c r="D48" s="39" t="s">
        <v>42</v>
      </c>
      <c r="E48" s="17">
        <v>1860</v>
      </c>
      <c r="F48" s="36">
        <f>SUM(E48*2/1000)</f>
        <v>3.72</v>
      </c>
      <c r="G48" s="36">
        <v>795.82</v>
      </c>
      <c r="H48" s="36">
        <f t="shared" si="5"/>
        <v>2.9604504</v>
      </c>
      <c r="I48" s="13">
        <f t="shared" si="6"/>
        <v>1480.2252000000001</v>
      </c>
      <c r="J48" s="23"/>
      <c r="L48" s="19"/>
      <c r="M48" s="20"/>
      <c r="N48" s="21"/>
    </row>
    <row r="49" spans="1:14" ht="15.75" hidden="1" customHeight="1">
      <c r="A49" s="29">
        <v>16</v>
      </c>
      <c r="B49" s="39" t="s">
        <v>33</v>
      </c>
      <c r="C49" s="40" t="s">
        <v>34</v>
      </c>
      <c r="D49" s="39" t="s">
        <v>42</v>
      </c>
      <c r="E49" s="17">
        <v>120.5</v>
      </c>
      <c r="F49" s="36">
        <f>SUM(E49*2/100)</f>
        <v>2.41</v>
      </c>
      <c r="G49" s="36">
        <v>95.49</v>
      </c>
      <c r="H49" s="36">
        <f t="shared" si="5"/>
        <v>0.2301309</v>
      </c>
      <c r="I49" s="13">
        <f t="shared" si="6"/>
        <v>115.06545</v>
      </c>
      <c r="J49" s="23"/>
      <c r="L49" s="19"/>
      <c r="M49" s="20"/>
      <c r="N49" s="21"/>
    </row>
    <row r="50" spans="1:14" ht="15.75" hidden="1" customHeight="1">
      <c r="A50" s="29">
        <v>15</v>
      </c>
      <c r="B50" s="39" t="s">
        <v>56</v>
      </c>
      <c r="C50" s="40" t="s">
        <v>104</v>
      </c>
      <c r="D50" s="39" t="s">
        <v>132</v>
      </c>
      <c r="E50" s="17">
        <v>3053.4</v>
      </c>
      <c r="F50" s="36">
        <f>SUM(E50*5/1000)</f>
        <v>15.266999999999999</v>
      </c>
      <c r="G50" s="36">
        <v>1591.6</v>
      </c>
      <c r="H50" s="36">
        <f t="shared" si="5"/>
        <v>24.298957199999997</v>
      </c>
      <c r="I50" s="13">
        <f>F50/5*G50</f>
        <v>4859.79144</v>
      </c>
      <c r="J50" s="23"/>
      <c r="L50" s="19"/>
      <c r="M50" s="20"/>
      <c r="N50" s="21"/>
    </row>
    <row r="51" spans="1:14" ht="31.5" hidden="1" customHeight="1">
      <c r="A51" s="29">
        <v>16</v>
      </c>
      <c r="B51" s="39" t="s">
        <v>108</v>
      </c>
      <c r="C51" s="40" t="s">
        <v>104</v>
      </c>
      <c r="D51" s="39" t="s">
        <v>42</v>
      </c>
      <c r="E51" s="17">
        <f>E50</f>
        <v>3053.4</v>
      </c>
      <c r="F51" s="36">
        <f>SUM(E51*2/1000)</f>
        <v>6.1067999999999998</v>
      </c>
      <c r="G51" s="36">
        <v>1591.6</v>
      </c>
      <c r="H51" s="36">
        <f t="shared" si="5"/>
        <v>9.7195828800000008</v>
      </c>
      <c r="I51" s="13">
        <f t="shared" si="6"/>
        <v>4859.79144</v>
      </c>
      <c r="J51" s="23"/>
      <c r="L51" s="19"/>
      <c r="M51" s="20"/>
      <c r="N51" s="21"/>
    </row>
    <row r="52" spans="1:14" ht="31.5" hidden="1" customHeight="1">
      <c r="A52" s="29">
        <v>17</v>
      </c>
      <c r="B52" s="39" t="s">
        <v>124</v>
      </c>
      <c r="C52" s="40" t="s">
        <v>38</v>
      </c>
      <c r="D52" s="39" t="s">
        <v>42</v>
      </c>
      <c r="E52" s="17">
        <v>20</v>
      </c>
      <c r="F52" s="36">
        <f>SUM(E52*2/100)</f>
        <v>0.4</v>
      </c>
      <c r="G52" s="36">
        <v>3581.13</v>
      </c>
      <c r="H52" s="36">
        <f t="shared" si="5"/>
        <v>1.4324520000000003</v>
      </c>
      <c r="I52" s="13">
        <f t="shared" si="6"/>
        <v>716.22600000000011</v>
      </c>
      <c r="J52" s="23"/>
      <c r="L52" s="19"/>
      <c r="M52" s="20"/>
      <c r="N52" s="21"/>
    </row>
    <row r="53" spans="1:14" ht="15.75" hidden="1" customHeight="1">
      <c r="A53" s="29">
        <v>18</v>
      </c>
      <c r="B53" s="39" t="s">
        <v>39</v>
      </c>
      <c r="C53" s="40" t="s">
        <v>40</v>
      </c>
      <c r="D53" s="39" t="s">
        <v>42</v>
      </c>
      <c r="E53" s="17">
        <v>1</v>
      </c>
      <c r="F53" s="36">
        <v>0.02</v>
      </c>
      <c r="G53" s="36">
        <v>7412.92</v>
      </c>
      <c r="H53" s="36">
        <f t="shared" si="5"/>
        <v>0.14825839999999998</v>
      </c>
      <c r="I53" s="13">
        <f t="shared" si="6"/>
        <v>74.129199999999997</v>
      </c>
      <c r="J53" s="23"/>
      <c r="L53" s="19"/>
      <c r="M53" s="20"/>
      <c r="N53" s="21"/>
    </row>
    <row r="54" spans="1:14" ht="15.75" hidden="1" customHeight="1">
      <c r="A54" s="29">
        <v>16</v>
      </c>
      <c r="B54" s="39" t="s">
        <v>41</v>
      </c>
      <c r="C54" s="40" t="s">
        <v>89</v>
      </c>
      <c r="D54" s="39" t="s">
        <v>71</v>
      </c>
      <c r="E54" s="17">
        <v>128</v>
      </c>
      <c r="F54" s="36">
        <f>SUM(E54)*3</f>
        <v>384</v>
      </c>
      <c r="G54" s="37">
        <v>86.15</v>
      </c>
      <c r="H54" s="36">
        <f t="shared" si="5"/>
        <v>33.081600000000009</v>
      </c>
      <c r="I54" s="13">
        <f>E54*G54</f>
        <v>11027.2</v>
      </c>
      <c r="J54" s="23"/>
      <c r="L54" s="19"/>
      <c r="M54" s="20"/>
      <c r="N54" s="21"/>
    </row>
    <row r="55" spans="1:14" ht="15.75" customHeight="1">
      <c r="A55" s="194" t="s">
        <v>134</v>
      </c>
      <c r="B55" s="195"/>
      <c r="C55" s="195"/>
      <c r="D55" s="195"/>
      <c r="E55" s="195"/>
      <c r="F55" s="195"/>
      <c r="G55" s="195"/>
      <c r="H55" s="195"/>
      <c r="I55" s="196"/>
      <c r="J55" s="23"/>
      <c r="L55" s="19"/>
      <c r="M55" s="20"/>
      <c r="N55" s="21"/>
    </row>
    <row r="56" spans="1:14" ht="15.75" hidden="1" customHeight="1">
      <c r="A56" s="96"/>
      <c r="B56" s="104" t="s">
        <v>43</v>
      </c>
      <c r="C56" s="98"/>
      <c r="D56" s="97"/>
      <c r="E56" s="99"/>
      <c r="F56" s="100"/>
      <c r="G56" s="100"/>
      <c r="H56" s="105"/>
      <c r="I56" s="106"/>
      <c r="J56" s="23"/>
      <c r="L56" s="19"/>
      <c r="M56" s="20"/>
      <c r="N56" s="21"/>
    </row>
    <row r="57" spans="1:14" ht="29.25" customHeight="1">
      <c r="A57" s="29">
        <v>11</v>
      </c>
      <c r="B57" s="71" t="s">
        <v>109</v>
      </c>
      <c r="C57" s="72" t="s">
        <v>93</v>
      </c>
      <c r="D57" s="71"/>
      <c r="E57" s="73">
        <v>92.7</v>
      </c>
      <c r="F57" s="74">
        <f>SUM(E57*6/100)</f>
        <v>5.5620000000000003</v>
      </c>
      <c r="G57" s="13">
        <v>2431.1799999999998</v>
      </c>
      <c r="H57" s="78">
        <f>SUM(F57*G57/1000)</f>
        <v>13.522223159999999</v>
      </c>
      <c r="I57" s="13">
        <f>G57*1.58</f>
        <v>3841.2644</v>
      </c>
      <c r="J57" s="23"/>
      <c r="L57" s="19"/>
      <c r="M57" s="20"/>
      <c r="N57" s="21"/>
    </row>
    <row r="58" spans="1:14" ht="16.5" customHeight="1">
      <c r="A58" s="29">
        <v>12</v>
      </c>
      <c r="B58" s="71" t="s">
        <v>125</v>
      </c>
      <c r="C58" s="72" t="s">
        <v>126</v>
      </c>
      <c r="D58" s="14" t="s">
        <v>209</v>
      </c>
      <c r="E58" s="73"/>
      <c r="F58" s="74">
        <v>2</v>
      </c>
      <c r="G58" s="67">
        <v>1582.05</v>
      </c>
      <c r="H58" s="78">
        <f>SUM(F58*G58/1000)</f>
        <v>3.1640999999999999</v>
      </c>
      <c r="I58" s="13">
        <f>G58*4</f>
        <v>6328.2</v>
      </c>
      <c r="J58" s="23"/>
      <c r="L58" s="19"/>
      <c r="M58" s="20"/>
      <c r="N58" s="21"/>
    </row>
    <row r="59" spans="1:14" ht="15.75" customHeight="1">
      <c r="A59" s="29"/>
      <c r="B59" s="93" t="s">
        <v>44</v>
      </c>
      <c r="C59" s="72"/>
      <c r="D59" s="71"/>
      <c r="E59" s="73"/>
      <c r="F59" s="74"/>
      <c r="G59" s="74"/>
      <c r="H59" s="75" t="s">
        <v>123</v>
      </c>
      <c r="I59" s="79"/>
      <c r="J59" s="23"/>
      <c r="L59" s="19"/>
      <c r="M59" s="20"/>
      <c r="N59" s="21"/>
    </row>
    <row r="60" spans="1:14" ht="15.75" hidden="1" customHeight="1">
      <c r="A60" s="29"/>
      <c r="B60" s="34" t="s">
        <v>45</v>
      </c>
      <c r="C60" s="44" t="s">
        <v>93</v>
      </c>
      <c r="D60" s="34" t="s">
        <v>54</v>
      </c>
      <c r="E60" s="123">
        <v>145</v>
      </c>
      <c r="F60" s="33">
        <f>SUM(E60/100)</f>
        <v>1.45</v>
      </c>
      <c r="G60" s="36">
        <v>1040.8399999999999</v>
      </c>
      <c r="H60" s="124">
        <v>9.1679999999999993</v>
      </c>
      <c r="I60" s="13">
        <v>0</v>
      </c>
      <c r="J60" s="23"/>
      <c r="L60" s="19"/>
      <c r="M60" s="20"/>
      <c r="N60" s="21"/>
    </row>
    <row r="61" spans="1:14" ht="15.75" customHeight="1">
      <c r="A61" s="29">
        <v>13</v>
      </c>
      <c r="B61" s="125" t="s">
        <v>90</v>
      </c>
      <c r="C61" s="126" t="s">
        <v>25</v>
      </c>
      <c r="D61" s="125" t="s">
        <v>206</v>
      </c>
      <c r="E61" s="123">
        <v>200</v>
      </c>
      <c r="F61" s="33">
        <f>SUM(E61*12)</f>
        <v>2400</v>
      </c>
      <c r="G61" s="127">
        <v>1.4</v>
      </c>
      <c r="H61" s="128">
        <f>G61*F61/1000</f>
        <v>3.36</v>
      </c>
      <c r="I61" s="13">
        <f>F61/12*G61</f>
        <v>280</v>
      </c>
      <c r="J61" s="23"/>
      <c r="L61" s="19"/>
      <c r="M61" s="20"/>
      <c r="N61" s="21"/>
    </row>
    <row r="62" spans="1:14" ht="15.75" customHeight="1">
      <c r="A62" s="29"/>
      <c r="B62" s="102" t="s">
        <v>46</v>
      </c>
      <c r="C62" s="84"/>
      <c r="D62" s="83"/>
      <c r="E62" s="81"/>
      <c r="F62" s="85"/>
      <c r="G62" s="85"/>
      <c r="H62" s="86" t="s">
        <v>123</v>
      </c>
      <c r="I62" s="79"/>
      <c r="J62" s="23"/>
      <c r="L62" s="19"/>
      <c r="M62" s="20"/>
      <c r="N62" s="21"/>
    </row>
    <row r="63" spans="1:14" ht="15.75" hidden="1" customHeight="1">
      <c r="A63" s="29">
        <v>16</v>
      </c>
      <c r="B63" s="56" t="s">
        <v>47</v>
      </c>
      <c r="C63" s="40" t="s">
        <v>89</v>
      </c>
      <c r="D63" s="39" t="s">
        <v>66</v>
      </c>
      <c r="E63" s="17">
        <v>6</v>
      </c>
      <c r="F63" s="33">
        <f>SUM(E63)</f>
        <v>6</v>
      </c>
      <c r="G63" s="36">
        <v>291.68</v>
      </c>
      <c r="H63" s="114">
        <f t="shared" ref="H63:H71" si="7">SUM(F63*G63/1000)</f>
        <v>1.7500799999999999</v>
      </c>
      <c r="I63" s="13">
        <f>G63*3</f>
        <v>875.04</v>
      </c>
      <c r="J63" s="23"/>
      <c r="L63" s="19"/>
    </row>
    <row r="64" spans="1:14" ht="15.75" hidden="1" customHeight="1">
      <c r="A64" s="29"/>
      <c r="B64" s="56" t="s">
        <v>48</v>
      </c>
      <c r="C64" s="40" t="s">
        <v>89</v>
      </c>
      <c r="D64" s="39" t="s">
        <v>66</v>
      </c>
      <c r="E64" s="17">
        <v>4</v>
      </c>
      <c r="F64" s="33">
        <f>SUM(E64)</f>
        <v>4</v>
      </c>
      <c r="G64" s="36">
        <v>100.01</v>
      </c>
      <c r="H64" s="114">
        <f t="shared" si="7"/>
        <v>0.40004000000000001</v>
      </c>
      <c r="I64" s="13">
        <v>0</v>
      </c>
      <c r="J64" s="23"/>
      <c r="L64" s="19"/>
    </row>
    <row r="65" spans="1:22" ht="15.75" hidden="1" customHeight="1">
      <c r="A65" s="29"/>
      <c r="B65" s="56" t="s">
        <v>49</v>
      </c>
      <c r="C65" s="42" t="s">
        <v>111</v>
      </c>
      <c r="D65" s="39" t="s">
        <v>54</v>
      </c>
      <c r="E65" s="121">
        <v>15552</v>
      </c>
      <c r="F65" s="37">
        <f>SUM(E65/100)</f>
        <v>155.52000000000001</v>
      </c>
      <c r="G65" s="36">
        <v>278.24</v>
      </c>
      <c r="H65" s="114">
        <f t="shared" si="7"/>
        <v>43.271884800000009</v>
      </c>
      <c r="I65" s="13">
        <v>0</v>
      </c>
    </row>
    <row r="66" spans="1:22" ht="15.75" hidden="1" customHeight="1">
      <c r="A66" s="29"/>
      <c r="B66" s="56" t="s">
        <v>50</v>
      </c>
      <c r="C66" s="40" t="s">
        <v>112</v>
      </c>
      <c r="D66" s="39"/>
      <c r="E66" s="121">
        <v>15552</v>
      </c>
      <c r="F66" s="36">
        <f>SUM(E66/1000)</f>
        <v>15.552</v>
      </c>
      <c r="G66" s="36">
        <v>216.68</v>
      </c>
      <c r="H66" s="114">
        <f t="shared" si="7"/>
        <v>3.3698073600000003</v>
      </c>
      <c r="I66" s="13">
        <v>0</v>
      </c>
    </row>
    <row r="67" spans="1:22" ht="15.75" hidden="1" customHeight="1">
      <c r="A67" s="29"/>
      <c r="B67" s="56" t="s">
        <v>51</v>
      </c>
      <c r="C67" s="40" t="s">
        <v>78</v>
      </c>
      <c r="D67" s="39" t="s">
        <v>54</v>
      </c>
      <c r="E67" s="121">
        <v>2432</v>
      </c>
      <c r="F67" s="36">
        <f>SUM(E67/100)</f>
        <v>24.32</v>
      </c>
      <c r="G67" s="36">
        <v>2720.94</v>
      </c>
      <c r="H67" s="114">
        <f t="shared" si="7"/>
        <v>66.173260800000008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/>
      <c r="B68" s="53" t="s">
        <v>72</v>
      </c>
      <c r="C68" s="40" t="s">
        <v>32</v>
      </c>
      <c r="D68" s="39"/>
      <c r="E68" s="121">
        <v>14.8</v>
      </c>
      <c r="F68" s="36">
        <f>SUM(E68)</f>
        <v>14.8</v>
      </c>
      <c r="G68" s="36">
        <v>42.61</v>
      </c>
      <c r="H68" s="114">
        <f t="shared" si="7"/>
        <v>0.63062800000000008</v>
      </c>
      <c r="I68" s="13">
        <v>0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31.5" hidden="1" customHeight="1">
      <c r="A69" s="29"/>
      <c r="B69" s="53" t="s">
        <v>73</v>
      </c>
      <c r="C69" s="40" t="s">
        <v>32</v>
      </c>
      <c r="D69" s="39"/>
      <c r="E69" s="121">
        <f>E68</f>
        <v>14.8</v>
      </c>
      <c r="F69" s="36">
        <f>SUM(E69)</f>
        <v>14.8</v>
      </c>
      <c r="G69" s="36">
        <v>46.04</v>
      </c>
      <c r="H69" s="114">
        <f t="shared" si="7"/>
        <v>0.681392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22</v>
      </c>
      <c r="B70" s="39" t="s">
        <v>57</v>
      </c>
      <c r="C70" s="40" t="s">
        <v>58</v>
      </c>
      <c r="D70" s="39" t="s">
        <v>54</v>
      </c>
      <c r="E70" s="17">
        <v>5</v>
      </c>
      <c r="F70" s="33">
        <f>SUM(E70)</f>
        <v>5</v>
      </c>
      <c r="G70" s="36">
        <v>65.42</v>
      </c>
      <c r="H70" s="114">
        <f t="shared" si="7"/>
        <v>0.3271</v>
      </c>
      <c r="I70" s="13">
        <f>G70*4</f>
        <v>261.68</v>
      </c>
      <c r="J70" s="5"/>
      <c r="K70" s="5"/>
      <c r="L70" s="5"/>
      <c r="M70" s="5"/>
      <c r="N70" s="5"/>
      <c r="O70" s="5"/>
      <c r="P70" s="5"/>
      <c r="Q70" s="5"/>
      <c r="R70" s="182"/>
      <c r="S70" s="182"/>
      <c r="T70" s="182"/>
      <c r="U70" s="182"/>
    </row>
    <row r="71" spans="1:22" ht="15.75" customHeight="1">
      <c r="A71" s="29">
        <v>14</v>
      </c>
      <c r="B71" s="39" t="s">
        <v>148</v>
      </c>
      <c r="C71" s="45" t="s">
        <v>149</v>
      </c>
      <c r="D71" s="39"/>
      <c r="E71" s="17">
        <f>E50</f>
        <v>3053.4</v>
      </c>
      <c r="F71" s="33">
        <f>SUM(E71*12)</f>
        <v>36640.800000000003</v>
      </c>
      <c r="G71" s="36">
        <v>2.2799999999999998</v>
      </c>
      <c r="H71" s="114">
        <f t="shared" si="7"/>
        <v>83.541024000000007</v>
      </c>
      <c r="I71" s="13">
        <f>F71/12*G71</f>
        <v>6961.7519999999995</v>
      </c>
      <c r="J71" s="5"/>
      <c r="K71" s="5"/>
      <c r="L71" s="5"/>
      <c r="M71" s="5"/>
      <c r="N71" s="5"/>
      <c r="O71" s="5"/>
      <c r="P71" s="5"/>
      <c r="Q71" s="5"/>
      <c r="R71" s="151"/>
      <c r="S71" s="151"/>
      <c r="T71" s="151"/>
      <c r="U71" s="151"/>
    </row>
    <row r="72" spans="1:22" ht="15.75" customHeight="1">
      <c r="A72" s="29"/>
      <c r="B72" s="148" t="s">
        <v>74</v>
      </c>
      <c r="C72" s="16"/>
      <c r="D72" s="14"/>
      <c r="E72" s="18"/>
      <c r="F72" s="13"/>
      <c r="G72" s="13"/>
      <c r="H72" s="87" t="s">
        <v>123</v>
      </c>
      <c r="I72" s="79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>
        <v>19</v>
      </c>
      <c r="B73" s="39" t="s">
        <v>150</v>
      </c>
      <c r="C73" s="40" t="s">
        <v>151</v>
      </c>
      <c r="D73" s="39" t="s">
        <v>66</v>
      </c>
      <c r="E73" s="17">
        <v>1</v>
      </c>
      <c r="F73" s="36">
        <f>E73</f>
        <v>1</v>
      </c>
      <c r="G73" s="36">
        <v>1029.1199999999999</v>
      </c>
      <c r="H73" s="113">
        <f t="shared" ref="H73:H74" si="8">SUM(F73*G73/1000)</f>
        <v>1.0291199999999998</v>
      </c>
      <c r="I73" s="13">
        <v>0</v>
      </c>
    </row>
    <row r="74" spans="1:22" ht="15.75" hidden="1" customHeight="1">
      <c r="A74" s="29"/>
      <c r="B74" s="39" t="s">
        <v>152</v>
      </c>
      <c r="C74" s="40" t="s">
        <v>153</v>
      </c>
      <c r="D74" s="129"/>
      <c r="E74" s="17">
        <v>1</v>
      </c>
      <c r="F74" s="36">
        <v>1</v>
      </c>
      <c r="G74" s="36">
        <v>735</v>
      </c>
      <c r="H74" s="113">
        <f t="shared" si="8"/>
        <v>0.73499999999999999</v>
      </c>
      <c r="I74" s="13">
        <v>0</v>
      </c>
    </row>
    <row r="75" spans="1:22" ht="15.75" hidden="1" customHeight="1">
      <c r="A75" s="29">
        <v>18</v>
      </c>
      <c r="B75" s="39" t="s">
        <v>75</v>
      </c>
      <c r="C75" s="40" t="s">
        <v>76</v>
      </c>
      <c r="D75" s="39" t="s">
        <v>66</v>
      </c>
      <c r="E75" s="17">
        <v>5</v>
      </c>
      <c r="F75" s="33">
        <f>SUM(E75/10)</f>
        <v>0.5</v>
      </c>
      <c r="G75" s="36">
        <v>657.87</v>
      </c>
      <c r="H75" s="113">
        <f>SUM(F75*G75/1000)</f>
        <v>0.32893499999999998</v>
      </c>
      <c r="I75" s="13">
        <f>G75*0.4</f>
        <v>263.14800000000002</v>
      </c>
    </row>
    <row r="76" spans="1:22" ht="15.75" hidden="1" customHeight="1">
      <c r="A76" s="29"/>
      <c r="B76" s="39" t="s">
        <v>121</v>
      </c>
      <c r="C76" s="40" t="s">
        <v>89</v>
      </c>
      <c r="D76" s="39" t="s">
        <v>66</v>
      </c>
      <c r="E76" s="17">
        <v>1</v>
      </c>
      <c r="F76" s="36">
        <f>E76</f>
        <v>1</v>
      </c>
      <c r="G76" s="36">
        <v>1118.72</v>
      </c>
      <c r="H76" s="113">
        <f>SUM(F76*G76/1000)</f>
        <v>1.1187199999999999</v>
      </c>
      <c r="I76" s="13">
        <v>0</v>
      </c>
    </row>
    <row r="77" spans="1:22" ht="15.75" customHeight="1">
      <c r="A77" s="29">
        <v>15</v>
      </c>
      <c r="B77" s="115" t="s">
        <v>154</v>
      </c>
      <c r="C77" s="116" t="s">
        <v>89</v>
      </c>
      <c r="D77" s="39" t="s">
        <v>201</v>
      </c>
      <c r="E77" s="17">
        <v>2</v>
      </c>
      <c r="F77" s="33">
        <f>E77*12</f>
        <v>24</v>
      </c>
      <c r="G77" s="36">
        <v>53.42</v>
      </c>
      <c r="H77" s="113">
        <f t="shared" ref="H77:H78" si="9">SUM(F77*G77/1000)</f>
        <v>1.2820799999999999</v>
      </c>
      <c r="I77" s="13">
        <f>G77*2</f>
        <v>106.84</v>
      </c>
    </row>
    <row r="78" spans="1:22" ht="31.5" customHeight="1">
      <c r="A78" s="29">
        <v>16</v>
      </c>
      <c r="B78" s="115" t="s">
        <v>155</v>
      </c>
      <c r="C78" s="116" t="s">
        <v>89</v>
      </c>
      <c r="D78" s="39" t="s">
        <v>206</v>
      </c>
      <c r="E78" s="17">
        <v>1</v>
      </c>
      <c r="F78" s="33">
        <f>E78*12</f>
        <v>12</v>
      </c>
      <c r="G78" s="36">
        <v>1194</v>
      </c>
      <c r="H78" s="113">
        <f t="shared" si="9"/>
        <v>14.327999999999999</v>
      </c>
      <c r="I78" s="13">
        <f>G78</f>
        <v>1194</v>
      </c>
    </row>
    <row r="79" spans="1:22" ht="15.75" hidden="1" customHeight="1">
      <c r="A79" s="29"/>
      <c r="B79" s="90" t="s">
        <v>77</v>
      </c>
      <c r="C79" s="16"/>
      <c r="D79" s="14"/>
      <c r="E79" s="18"/>
      <c r="F79" s="18"/>
      <c r="G79" s="18"/>
      <c r="H79" s="18"/>
      <c r="I79" s="79"/>
    </row>
    <row r="80" spans="1:22" ht="15.75" hidden="1" customHeight="1">
      <c r="A80" s="29"/>
      <c r="B80" s="41" t="s">
        <v>115</v>
      </c>
      <c r="C80" s="42" t="s">
        <v>78</v>
      </c>
      <c r="D80" s="56"/>
      <c r="E80" s="59"/>
      <c r="F80" s="37">
        <v>0.3</v>
      </c>
      <c r="G80" s="37">
        <v>3619.09</v>
      </c>
      <c r="H80" s="114">
        <f t="shared" ref="H80" si="10">SUM(F80*G80/1000)</f>
        <v>1.0857270000000001</v>
      </c>
      <c r="I80" s="13">
        <v>0</v>
      </c>
    </row>
    <row r="81" spans="1:9" ht="15.75" hidden="1" customHeight="1">
      <c r="A81" s="29"/>
      <c r="B81" s="148" t="s">
        <v>113</v>
      </c>
      <c r="C81" s="90"/>
      <c r="D81" s="31"/>
      <c r="E81" s="32"/>
      <c r="F81" s="91"/>
      <c r="G81" s="91"/>
      <c r="H81" s="92">
        <f>SUM(H57:H80)</f>
        <v>249.26712212000004</v>
      </c>
      <c r="I81" s="77"/>
    </row>
    <row r="82" spans="1:9" ht="15.75" hidden="1" customHeight="1">
      <c r="A82" s="94"/>
      <c r="B82" s="34" t="s">
        <v>114</v>
      </c>
      <c r="C82" s="130"/>
      <c r="D82" s="131"/>
      <c r="E82" s="132"/>
      <c r="F82" s="38">
        <f>232/10</f>
        <v>23.2</v>
      </c>
      <c r="G82" s="38">
        <v>12361.2</v>
      </c>
      <c r="H82" s="114">
        <f>G82*F82/1000</f>
        <v>286.77984000000004</v>
      </c>
      <c r="I82" s="95">
        <v>0</v>
      </c>
    </row>
    <row r="83" spans="1:9" ht="15.75" customHeight="1">
      <c r="A83" s="194" t="s">
        <v>135</v>
      </c>
      <c r="B83" s="195"/>
      <c r="C83" s="195"/>
      <c r="D83" s="195"/>
      <c r="E83" s="195"/>
      <c r="F83" s="195"/>
      <c r="G83" s="195"/>
      <c r="H83" s="195"/>
      <c r="I83" s="196"/>
    </row>
    <row r="84" spans="1:9" ht="15.75" customHeight="1">
      <c r="A84" s="96">
        <v>17</v>
      </c>
      <c r="B84" s="34" t="s">
        <v>116</v>
      </c>
      <c r="C84" s="40" t="s">
        <v>55</v>
      </c>
      <c r="D84" s="103"/>
      <c r="E84" s="36">
        <v>3053.4</v>
      </c>
      <c r="F84" s="36">
        <f>SUM(E84*12)</f>
        <v>36640.800000000003</v>
      </c>
      <c r="G84" s="36">
        <v>3.1</v>
      </c>
      <c r="H84" s="114">
        <f>SUM(F84*G84/1000)</f>
        <v>113.58648000000001</v>
      </c>
      <c r="I84" s="101">
        <f>F84/12*G84</f>
        <v>9465.5400000000009</v>
      </c>
    </row>
    <row r="85" spans="1:9" ht="31.5" customHeight="1">
      <c r="A85" s="29">
        <v>18</v>
      </c>
      <c r="B85" s="39" t="s">
        <v>79</v>
      </c>
      <c r="C85" s="40"/>
      <c r="D85" s="103"/>
      <c r="E85" s="121">
        <v>3053.4</v>
      </c>
      <c r="F85" s="36">
        <f>E85*12</f>
        <v>36640.800000000003</v>
      </c>
      <c r="G85" s="36">
        <v>3.5</v>
      </c>
      <c r="H85" s="114">
        <f>F85*G85/1000</f>
        <v>128.24280000000002</v>
      </c>
      <c r="I85" s="13">
        <f>F85/12*G85</f>
        <v>10686.9</v>
      </c>
    </row>
    <row r="86" spans="1:9" ht="15.75" customHeight="1">
      <c r="A86" s="29"/>
      <c r="B86" s="43" t="s">
        <v>81</v>
      </c>
      <c r="C86" s="90"/>
      <c r="D86" s="88"/>
      <c r="E86" s="91"/>
      <c r="F86" s="91"/>
      <c r="G86" s="91"/>
      <c r="H86" s="92">
        <f>SUM(H85)</f>
        <v>128.24280000000002</v>
      </c>
      <c r="I86" s="91">
        <f>I85+I84+I78+I77+I71+I61+I58+I57+I43+I42+I41+I39+I38+I37+I26+I18+I17+I16</f>
        <v>60916.953390666677</v>
      </c>
    </row>
    <row r="87" spans="1:9" ht="15.75" customHeight="1">
      <c r="A87" s="183" t="s">
        <v>60</v>
      </c>
      <c r="B87" s="184"/>
      <c r="C87" s="184"/>
      <c r="D87" s="184"/>
      <c r="E87" s="184"/>
      <c r="F87" s="184"/>
      <c r="G87" s="184"/>
      <c r="H87" s="184"/>
      <c r="I87" s="185"/>
    </row>
    <row r="88" spans="1:9" ht="33" customHeight="1">
      <c r="A88" s="29">
        <v>19</v>
      </c>
      <c r="B88" s="115" t="s">
        <v>173</v>
      </c>
      <c r="C88" s="116" t="s">
        <v>29</v>
      </c>
      <c r="D88" s="52"/>
      <c r="E88" s="13"/>
      <c r="F88" s="13">
        <v>128</v>
      </c>
      <c r="G88" s="13">
        <v>19757.060000000001</v>
      </c>
      <c r="H88" s="89">
        <f t="shared" ref="H88" si="11">G88*F88/1000</f>
        <v>2528.9036800000003</v>
      </c>
      <c r="I88" s="13">
        <f>G88*0.599*8/1000</f>
        <v>94.675831520000003</v>
      </c>
    </row>
    <row r="89" spans="1:9" ht="18.75" customHeight="1">
      <c r="A89" s="29">
        <v>20</v>
      </c>
      <c r="B89" s="115" t="s">
        <v>187</v>
      </c>
      <c r="C89" s="116" t="s">
        <v>126</v>
      </c>
      <c r="D89" s="117"/>
      <c r="E89" s="36"/>
      <c r="F89" s="36">
        <v>4</v>
      </c>
      <c r="G89" s="13">
        <v>1855</v>
      </c>
      <c r="H89" s="114">
        <f>F89*G89/1000</f>
        <v>7.42</v>
      </c>
      <c r="I89" s="13">
        <f>G89*1</f>
        <v>1855</v>
      </c>
    </row>
    <row r="90" spans="1:9" ht="14.25" customHeight="1">
      <c r="A90" s="29">
        <v>21</v>
      </c>
      <c r="B90" s="115" t="s">
        <v>170</v>
      </c>
      <c r="C90" s="116" t="s">
        <v>29</v>
      </c>
      <c r="D90" s="117"/>
      <c r="E90" s="36"/>
      <c r="F90" s="36">
        <v>1</v>
      </c>
      <c r="G90" s="13">
        <v>1160.81</v>
      </c>
      <c r="H90" s="114">
        <f>F90*G90/1000</f>
        <v>1.1608099999999999</v>
      </c>
      <c r="I90" s="13">
        <f>G90*0.458</f>
        <v>531.65098</v>
      </c>
    </row>
    <row r="91" spans="1:9" ht="34.5" customHeight="1">
      <c r="A91" s="29">
        <v>22</v>
      </c>
      <c r="B91" s="115" t="s">
        <v>184</v>
      </c>
      <c r="C91" s="116" t="s">
        <v>97</v>
      </c>
      <c r="D91" s="117"/>
      <c r="E91" s="36"/>
      <c r="F91" s="36">
        <v>1</v>
      </c>
      <c r="G91" s="13">
        <v>561.86</v>
      </c>
      <c r="H91" s="114">
        <f>F91*G91/1000</f>
        <v>0.56186000000000003</v>
      </c>
      <c r="I91" s="13">
        <f>G91*1</f>
        <v>561.86</v>
      </c>
    </row>
    <row r="92" spans="1:9" ht="15.75" customHeight="1">
      <c r="A92" s="29"/>
      <c r="B92" s="50" t="s">
        <v>52</v>
      </c>
      <c r="C92" s="46"/>
      <c r="D92" s="54"/>
      <c r="E92" s="46">
        <v>1</v>
      </c>
      <c r="F92" s="46"/>
      <c r="G92" s="46"/>
      <c r="H92" s="46"/>
      <c r="I92" s="32">
        <f>SUM(I88:I91)</f>
        <v>3043.18681152</v>
      </c>
    </row>
    <row r="93" spans="1:9" ht="15.75" customHeight="1">
      <c r="A93" s="29"/>
      <c r="B93" s="52" t="s">
        <v>80</v>
      </c>
      <c r="C93" s="15"/>
      <c r="D93" s="15"/>
      <c r="E93" s="47"/>
      <c r="F93" s="47"/>
      <c r="G93" s="48"/>
      <c r="H93" s="48"/>
      <c r="I93" s="17">
        <v>0</v>
      </c>
    </row>
    <row r="94" spans="1:9" ht="15.75" customHeight="1">
      <c r="A94" s="55"/>
      <c r="B94" s="51" t="s">
        <v>141</v>
      </c>
      <c r="C94" s="35"/>
      <c r="D94" s="35"/>
      <c r="E94" s="35"/>
      <c r="F94" s="35"/>
      <c r="G94" s="35"/>
      <c r="H94" s="35"/>
      <c r="I94" s="49">
        <f>I86+I92</f>
        <v>63960.140202186674</v>
      </c>
    </row>
    <row r="95" spans="1:9" ht="15.75">
      <c r="A95" s="186" t="s">
        <v>210</v>
      </c>
      <c r="B95" s="186"/>
      <c r="C95" s="186"/>
      <c r="D95" s="186"/>
      <c r="E95" s="186"/>
      <c r="F95" s="186"/>
      <c r="G95" s="186"/>
      <c r="H95" s="186"/>
      <c r="I95" s="186"/>
    </row>
    <row r="96" spans="1:9" ht="15.75">
      <c r="A96" s="62"/>
      <c r="B96" s="187" t="s">
        <v>211</v>
      </c>
      <c r="C96" s="187"/>
      <c r="D96" s="187"/>
      <c r="E96" s="187"/>
      <c r="F96" s="187"/>
      <c r="G96" s="187"/>
      <c r="H96" s="70"/>
      <c r="I96" s="3"/>
    </row>
    <row r="97" spans="1:9">
      <c r="A97" s="151"/>
      <c r="B97" s="188" t="s">
        <v>6</v>
      </c>
      <c r="C97" s="188"/>
      <c r="D97" s="188"/>
      <c r="E97" s="188"/>
      <c r="F97" s="188"/>
      <c r="G97" s="188"/>
      <c r="H97" s="24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89" t="s">
        <v>7</v>
      </c>
      <c r="B99" s="189"/>
      <c r="C99" s="189"/>
      <c r="D99" s="189"/>
      <c r="E99" s="189"/>
      <c r="F99" s="189"/>
      <c r="G99" s="189"/>
      <c r="H99" s="189"/>
      <c r="I99" s="189"/>
    </row>
    <row r="100" spans="1:9" ht="15.75" customHeight="1">
      <c r="A100" s="189" t="s">
        <v>8</v>
      </c>
      <c r="B100" s="189"/>
      <c r="C100" s="189"/>
      <c r="D100" s="189"/>
      <c r="E100" s="189"/>
      <c r="F100" s="189"/>
      <c r="G100" s="189"/>
      <c r="H100" s="189"/>
      <c r="I100" s="189"/>
    </row>
    <row r="101" spans="1:9" ht="15.75" customHeight="1">
      <c r="A101" s="190" t="s">
        <v>61</v>
      </c>
      <c r="B101" s="190"/>
      <c r="C101" s="190"/>
      <c r="D101" s="190"/>
      <c r="E101" s="190"/>
      <c r="F101" s="190"/>
      <c r="G101" s="190"/>
      <c r="H101" s="190"/>
      <c r="I101" s="190"/>
    </row>
    <row r="102" spans="1:9" ht="15.75" customHeight="1">
      <c r="A102" s="11"/>
    </row>
    <row r="103" spans="1:9" ht="15.75" customHeight="1">
      <c r="A103" s="191" t="s">
        <v>9</v>
      </c>
      <c r="B103" s="191"/>
      <c r="C103" s="191"/>
      <c r="D103" s="191"/>
      <c r="E103" s="191"/>
      <c r="F103" s="191"/>
      <c r="G103" s="191"/>
      <c r="H103" s="191"/>
      <c r="I103" s="191"/>
    </row>
    <row r="104" spans="1:9" ht="15.75" customHeight="1">
      <c r="A104" s="4"/>
    </row>
    <row r="105" spans="1:9" ht="15.75" customHeight="1">
      <c r="B105" s="150" t="s">
        <v>10</v>
      </c>
      <c r="C105" s="192" t="s">
        <v>88</v>
      </c>
      <c r="D105" s="192"/>
      <c r="E105" s="192"/>
      <c r="F105" s="68"/>
      <c r="I105" s="153"/>
    </row>
    <row r="106" spans="1:9" ht="15.75" customHeight="1">
      <c r="A106" s="151"/>
      <c r="C106" s="188" t="s">
        <v>11</v>
      </c>
      <c r="D106" s="188"/>
      <c r="E106" s="188"/>
      <c r="F106" s="24"/>
      <c r="I106" s="152" t="s">
        <v>12</v>
      </c>
    </row>
    <row r="107" spans="1:9" ht="15.75" customHeight="1">
      <c r="A107" s="25"/>
      <c r="C107" s="12"/>
      <c r="D107" s="12"/>
      <c r="G107" s="12"/>
      <c r="H107" s="12"/>
    </row>
    <row r="108" spans="1:9" ht="15.75" customHeight="1">
      <c r="B108" s="150" t="s">
        <v>13</v>
      </c>
      <c r="C108" s="193"/>
      <c r="D108" s="193"/>
      <c r="E108" s="193"/>
      <c r="F108" s="69"/>
      <c r="I108" s="153"/>
    </row>
    <row r="109" spans="1:9" ht="15.75" customHeight="1">
      <c r="A109" s="151"/>
      <c r="C109" s="182" t="s">
        <v>11</v>
      </c>
      <c r="D109" s="182"/>
      <c r="E109" s="182"/>
      <c r="F109" s="151"/>
      <c r="I109" s="152" t="s">
        <v>12</v>
      </c>
    </row>
    <row r="110" spans="1:9" ht="15.75" customHeight="1">
      <c r="A110" s="4" t="s">
        <v>14</v>
      </c>
    </row>
    <row r="111" spans="1:9">
      <c r="A111" s="180" t="s">
        <v>15</v>
      </c>
      <c r="B111" s="180"/>
      <c r="C111" s="180"/>
      <c r="D111" s="180"/>
      <c r="E111" s="180"/>
      <c r="F111" s="180"/>
      <c r="G111" s="180"/>
      <c r="H111" s="180"/>
      <c r="I111" s="180"/>
    </row>
    <row r="112" spans="1:9" ht="45" customHeight="1">
      <c r="A112" s="181" t="s">
        <v>16</v>
      </c>
      <c r="B112" s="181"/>
      <c r="C112" s="181"/>
      <c r="D112" s="181"/>
      <c r="E112" s="181"/>
      <c r="F112" s="181"/>
      <c r="G112" s="181"/>
      <c r="H112" s="181"/>
      <c r="I112" s="181"/>
    </row>
    <row r="113" spans="1:9" ht="30" customHeight="1">
      <c r="A113" s="181" t="s">
        <v>17</v>
      </c>
      <c r="B113" s="181"/>
      <c r="C113" s="181"/>
      <c r="D113" s="181"/>
      <c r="E113" s="181"/>
      <c r="F113" s="181"/>
      <c r="G113" s="181"/>
      <c r="H113" s="181"/>
      <c r="I113" s="181"/>
    </row>
    <row r="114" spans="1:9" ht="30" customHeight="1">
      <c r="A114" s="181" t="s">
        <v>21</v>
      </c>
      <c r="B114" s="181"/>
      <c r="C114" s="181"/>
      <c r="D114" s="181"/>
      <c r="E114" s="181"/>
      <c r="F114" s="181"/>
      <c r="G114" s="181"/>
      <c r="H114" s="181"/>
      <c r="I114" s="181"/>
    </row>
    <row r="115" spans="1:9" ht="15" customHeight="1">
      <c r="A115" s="181" t="s">
        <v>20</v>
      </c>
      <c r="B115" s="181"/>
      <c r="C115" s="181"/>
      <c r="D115" s="181"/>
      <c r="E115" s="181"/>
      <c r="F115" s="181"/>
      <c r="G115" s="181"/>
      <c r="H115" s="181"/>
      <c r="I115" s="181"/>
    </row>
  </sheetData>
  <autoFilter ref="I12:I65"/>
  <mergeCells count="29">
    <mergeCell ref="A111:I111"/>
    <mergeCell ref="A112:I112"/>
    <mergeCell ref="A113:I113"/>
    <mergeCell ref="A114:I114"/>
    <mergeCell ref="A115:I115"/>
    <mergeCell ref="R70:U70"/>
    <mergeCell ref="C109:E109"/>
    <mergeCell ref="A87:I87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3:I83"/>
    <mergeCell ref="A3:I3"/>
    <mergeCell ref="A4:I4"/>
    <mergeCell ref="A5:I5"/>
    <mergeCell ref="A8:I8"/>
    <mergeCell ref="A10:I10"/>
    <mergeCell ref="A14:I14"/>
    <mergeCell ref="A15:I15"/>
    <mergeCell ref="A27:I27"/>
    <mergeCell ref="A44:I44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2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15"/>
  <sheetViews>
    <sheetView view="pageBreakPreview" topLeftCell="A85" zoomScale="60" workbookViewId="0">
      <selection activeCell="B16" sqref="B16:I26"/>
    </sheetView>
  </sheetViews>
  <sheetFormatPr defaultRowHeight="15"/>
  <cols>
    <col min="2" max="2" width="51.5703125" customWidth="1"/>
    <col min="3" max="3" width="18.28515625" customWidth="1"/>
    <col min="4" max="4" width="18.42578125" customWidth="1"/>
    <col min="5" max="6" width="0" hidden="1" customWidth="1"/>
    <col min="7" max="7" width="18.42578125" customWidth="1"/>
    <col min="8" max="8" width="0" hidden="1" customWidth="1"/>
    <col min="9" max="9" width="18" customWidth="1"/>
  </cols>
  <sheetData>
    <row r="1" spans="1:9" ht="15.75">
      <c r="A1" s="27" t="s">
        <v>168</v>
      </c>
      <c r="I1" s="26"/>
    </row>
    <row r="2" spans="1:9" ht="15.75">
      <c r="A2" s="28" t="s">
        <v>62</v>
      </c>
    </row>
    <row r="3" spans="1:9" ht="15.75">
      <c r="A3" s="197" t="s">
        <v>166</v>
      </c>
      <c r="B3" s="197"/>
      <c r="C3" s="197"/>
      <c r="D3" s="197"/>
      <c r="E3" s="197"/>
      <c r="F3" s="197"/>
      <c r="G3" s="197"/>
      <c r="H3" s="197"/>
      <c r="I3" s="197"/>
    </row>
    <row r="4" spans="1:9" ht="33.75" customHeight="1">
      <c r="A4" s="198" t="s">
        <v>117</v>
      </c>
      <c r="B4" s="198"/>
      <c r="C4" s="198"/>
      <c r="D4" s="198"/>
      <c r="E4" s="198"/>
      <c r="F4" s="198"/>
      <c r="G4" s="198"/>
      <c r="H4" s="198"/>
      <c r="I4" s="198"/>
    </row>
    <row r="5" spans="1:9" ht="15.75">
      <c r="A5" s="197" t="s">
        <v>189</v>
      </c>
      <c r="B5" s="199"/>
      <c r="C5" s="199"/>
      <c r="D5" s="199"/>
      <c r="E5" s="199"/>
      <c r="F5" s="199"/>
      <c r="G5" s="199"/>
      <c r="H5" s="199"/>
      <c r="I5" s="199"/>
    </row>
    <row r="6" spans="1:9" ht="15.75">
      <c r="A6" s="2"/>
      <c r="B6" s="158"/>
      <c r="C6" s="158"/>
      <c r="D6" s="158"/>
      <c r="E6" s="158"/>
      <c r="F6" s="158"/>
      <c r="G6" s="158"/>
      <c r="H6" s="158"/>
      <c r="I6" s="30">
        <v>43585</v>
      </c>
    </row>
    <row r="7" spans="1:9" ht="15.75">
      <c r="B7" s="154"/>
      <c r="C7" s="154"/>
      <c r="D7" s="154"/>
      <c r="E7" s="3"/>
      <c r="F7" s="3"/>
      <c r="G7" s="3"/>
      <c r="H7" s="3"/>
    </row>
    <row r="8" spans="1:9" ht="90" customHeight="1">
      <c r="A8" s="200" t="s">
        <v>169</v>
      </c>
      <c r="B8" s="200"/>
      <c r="C8" s="200"/>
      <c r="D8" s="200"/>
      <c r="E8" s="200"/>
      <c r="F8" s="200"/>
      <c r="G8" s="200"/>
      <c r="H8" s="200"/>
      <c r="I8" s="200"/>
    </row>
    <row r="9" spans="1:9" ht="15.75">
      <c r="A9" s="4"/>
    </row>
    <row r="10" spans="1:9" ht="15.75">
      <c r="A10" s="201" t="s">
        <v>158</v>
      </c>
      <c r="B10" s="201"/>
      <c r="C10" s="201"/>
      <c r="D10" s="201"/>
      <c r="E10" s="201"/>
      <c r="F10" s="201"/>
      <c r="G10" s="201"/>
      <c r="H10" s="201"/>
      <c r="I10" s="201"/>
    </row>
    <row r="11" spans="1:9" ht="15.75">
      <c r="A11" s="4"/>
    </row>
    <row r="12" spans="1:9" ht="53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2" t="s">
        <v>59</v>
      </c>
      <c r="B14" s="202"/>
      <c r="C14" s="202"/>
      <c r="D14" s="202"/>
      <c r="E14" s="202"/>
      <c r="F14" s="202"/>
      <c r="G14" s="202"/>
      <c r="H14" s="202"/>
      <c r="I14" s="202"/>
    </row>
    <row r="15" spans="1:9">
      <c r="A15" s="203" t="s">
        <v>4</v>
      </c>
      <c r="B15" s="203"/>
      <c r="C15" s="203"/>
      <c r="D15" s="203"/>
      <c r="E15" s="203"/>
      <c r="F15" s="203"/>
      <c r="G15" s="203"/>
      <c r="H15" s="203"/>
      <c r="I15" s="203"/>
    </row>
    <row r="16" spans="1:9">
      <c r="A16" s="29">
        <v>1</v>
      </c>
      <c r="B16" s="71" t="s">
        <v>84</v>
      </c>
      <c r="C16" s="72" t="s">
        <v>93</v>
      </c>
      <c r="D16" s="71" t="s">
        <v>199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</row>
    <row r="17" spans="1:9">
      <c r="A17" s="29">
        <v>2</v>
      </c>
      <c r="B17" s="71" t="s">
        <v>85</v>
      </c>
      <c r="C17" s="72" t="s">
        <v>93</v>
      </c>
      <c r="D17" s="71" t="s">
        <v>200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</row>
    <row r="18" spans="1:9">
      <c r="A18" s="29">
        <v>3</v>
      </c>
      <c r="B18" s="71" t="s">
        <v>86</v>
      </c>
      <c r="C18" s="72" t="s">
        <v>93</v>
      </c>
      <c r="D18" s="71" t="s">
        <v>201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</row>
    <row r="19" spans="1:9" hidden="1">
      <c r="A19" s="29">
        <v>4</v>
      </c>
      <c r="B19" s="71" t="s">
        <v>100</v>
      </c>
      <c r="C19" s="72" t="s">
        <v>101</v>
      </c>
      <c r="D19" s="71" t="s">
        <v>102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</row>
    <row r="20" spans="1:9" hidden="1">
      <c r="A20" s="29">
        <v>4</v>
      </c>
      <c r="B20" s="71" t="s">
        <v>92</v>
      </c>
      <c r="C20" s="72" t="s">
        <v>93</v>
      </c>
      <c r="D20" s="71" t="s">
        <v>142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</row>
    <row r="21" spans="1:9" hidden="1">
      <c r="A21" s="29">
        <v>5</v>
      </c>
      <c r="B21" s="71" t="s">
        <v>98</v>
      </c>
      <c r="C21" s="72" t="s">
        <v>93</v>
      </c>
      <c r="D21" s="71" t="s">
        <v>142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</row>
    <row r="22" spans="1:9" hidden="1">
      <c r="A22" s="29">
        <v>7</v>
      </c>
      <c r="B22" s="71" t="s">
        <v>94</v>
      </c>
      <c r="C22" s="72" t="s">
        <v>53</v>
      </c>
      <c r="D22" s="71" t="s">
        <v>102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</row>
    <row r="23" spans="1:9" hidden="1">
      <c r="A23" s="29">
        <v>6</v>
      </c>
      <c r="B23" s="71" t="s">
        <v>95</v>
      </c>
      <c r="C23" s="72" t="s">
        <v>53</v>
      </c>
      <c r="D23" s="71" t="s">
        <v>102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</row>
    <row r="24" spans="1:9" hidden="1">
      <c r="A24" s="29">
        <v>9</v>
      </c>
      <c r="B24" s="71" t="s">
        <v>96</v>
      </c>
      <c r="C24" s="72" t="s">
        <v>53</v>
      </c>
      <c r="D24" s="71" t="s">
        <v>102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</row>
    <row r="25" spans="1:9" ht="30" hidden="1">
      <c r="A25" s="94">
        <v>7</v>
      </c>
      <c r="B25" s="83" t="s">
        <v>99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</row>
    <row r="26" spans="1:9">
      <c r="A26" s="29">
        <v>4</v>
      </c>
      <c r="B26" s="34" t="s">
        <v>198</v>
      </c>
      <c r="C26" s="44" t="s">
        <v>25</v>
      </c>
      <c r="D26" s="34" t="s">
        <v>201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</row>
    <row r="27" spans="1:9">
      <c r="A27" s="203" t="s">
        <v>140</v>
      </c>
      <c r="B27" s="203"/>
      <c r="C27" s="203"/>
      <c r="D27" s="203"/>
      <c r="E27" s="203"/>
      <c r="F27" s="203"/>
      <c r="G27" s="203"/>
      <c r="H27" s="203"/>
      <c r="I27" s="203"/>
    </row>
    <row r="28" spans="1:9" hidden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</row>
    <row r="29" spans="1:9" hidden="1">
      <c r="A29" s="29">
        <v>6</v>
      </c>
      <c r="B29" s="71" t="s">
        <v>103</v>
      </c>
      <c r="C29" s="72" t="s">
        <v>104</v>
      </c>
      <c r="D29" s="71" t="s">
        <v>118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5" si="1">SUM(F29*G29/1000)</f>
        <v>3.3774305759999996</v>
      </c>
      <c r="I29" s="13">
        <f t="shared" ref="I29:I33" si="2">F29/6*G29</f>
        <v>562.90509599999996</v>
      </c>
    </row>
    <row r="30" spans="1:9" ht="45" hidden="1">
      <c r="A30" s="29">
        <v>7</v>
      </c>
      <c r="B30" s="71" t="s">
        <v>128</v>
      </c>
      <c r="C30" s="72" t="s">
        <v>104</v>
      </c>
      <c r="D30" s="71" t="s">
        <v>119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1"/>
        <v>3.8655693179999995</v>
      </c>
      <c r="I30" s="13">
        <f t="shared" si="2"/>
        <v>644.26155299999994</v>
      </c>
    </row>
    <row r="31" spans="1:9" hidden="1">
      <c r="A31" s="29">
        <v>11</v>
      </c>
      <c r="B31" s="71" t="s">
        <v>27</v>
      </c>
      <c r="C31" s="72" t="s">
        <v>104</v>
      </c>
      <c r="D31" s="71" t="s">
        <v>54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1"/>
        <v>1.2584827709999999</v>
      </c>
      <c r="I31" s="13">
        <f>F31*G31</f>
        <v>1258.482771</v>
      </c>
    </row>
    <row r="32" spans="1:9" hidden="1">
      <c r="A32" s="29">
        <v>8</v>
      </c>
      <c r="B32" s="71" t="s">
        <v>143</v>
      </c>
      <c r="C32" s="72" t="s">
        <v>40</v>
      </c>
      <c r="D32" s="71" t="s">
        <v>63</v>
      </c>
      <c r="E32" s="74">
        <v>5</v>
      </c>
      <c r="F32" s="74">
        <f>E32*155/100</f>
        <v>7.75</v>
      </c>
      <c r="G32" s="74">
        <v>1707.63</v>
      </c>
      <c r="H32" s="78">
        <f t="shared" si="1"/>
        <v>13.234132500000001</v>
      </c>
      <c r="I32" s="13">
        <f t="shared" si="2"/>
        <v>2205.6887500000003</v>
      </c>
    </row>
    <row r="33" spans="1:9" hidden="1">
      <c r="A33" s="29">
        <v>9</v>
      </c>
      <c r="B33" s="71" t="s">
        <v>105</v>
      </c>
      <c r="C33" s="72" t="s">
        <v>30</v>
      </c>
      <c r="D33" s="71" t="s">
        <v>63</v>
      </c>
      <c r="E33" s="80">
        <f>1/6</f>
        <v>0.16666666666666666</v>
      </c>
      <c r="F33" s="74">
        <f>155/6</f>
        <v>25.833333333333332</v>
      </c>
      <c r="G33" s="74">
        <v>74.349999999999994</v>
      </c>
      <c r="H33" s="78">
        <f t="shared" si="1"/>
        <v>1.920708333333333</v>
      </c>
      <c r="I33" s="13">
        <f t="shared" si="2"/>
        <v>320.11805555555554</v>
      </c>
    </row>
    <row r="34" spans="1:9" hidden="1">
      <c r="A34" s="29"/>
      <c r="B34" s="34" t="s">
        <v>64</v>
      </c>
      <c r="C34" s="44" t="s">
        <v>32</v>
      </c>
      <c r="D34" s="34" t="s">
        <v>66</v>
      </c>
      <c r="E34" s="121"/>
      <c r="F34" s="33">
        <v>2</v>
      </c>
      <c r="G34" s="33">
        <v>250.92</v>
      </c>
      <c r="H34" s="119">
        <f t="shared" si="1"/>
        <v>0.50183999999999995</v>
      </c>
      <c r="I34" s="13">
        <v>0</v>
      </c>
    </row>
    <row r="35" spans="1:9" hidden="1">
      <c r="A35" s="29"/>
      <c r="B35" s="34" t="s">
        <v>65</v>
      </c>
      <c r="C35" s="44" t="s">
        <v>31</v>
      </c>
      <c r="D35" s="34" t="s">
        <v>66</v>
      </c>
      <c r="E35" s="121"/>
      <c r="F35" s="33">
        <v>1</v>
      </c>
      <c r="G35" s="33">
        <v>1490.31</v>
      </c>
      <c r="H35" s="119">
        <f t="shared" si="1"/>
        <v>1.49031</v>
      </c>
      <c r="I35" s="13"/>
    </row>
    <row r="36" spans="1:9">
      <c r="A36" s="29"/>
      <c r="B36" s="93" t="s">
        <v>5</v>
      </c>
      <c r="C36" s="72"/>
      <c r="D36" s="71"/>
      <c r="E36" s="73"/>
      <c r="F36" s="74"/>
      <c r="G36" s="74"/>
      <c r="H36" s="78" t="s">
        <v>123</v>
      </c>
      <c r="I36" s="79"/>
    </row>
    <row r="37" spans="1:9" hidden="1">
      <c r="A37" s="29">
        <v>6</v>
      </c>
      <c r="B37" s="71" t="s">
        <v>26</v>
      </c>
      <c r="C37" s="72" t="s">
        <v>31</v>
      </c>
      <c r="D37" s="71"/>
      <c r="E37" s="73"/>
      <c r="F37" s="74">
        <v>3</v>
      </c>
      <c r="G37" s="74">
        <v>2003</v>
      </c>
      <c r="H37" s="78">
        <f t="shared" ref="H37:H43" si="3">SUM(F37*G37/1000)</f>
        <v>6.0090000000000003</v>
      </c>
      <c r="I37" s="13">
        <f t="shared" ref="I37:I41" si="4">F37/6*G37</f>
        <v>1001.5</v>
      </c>
    </row>
    <row r="38" spans="1:9">
      <c r="A38" s="29">
        <v>5</v>
      </c>
      <c r="B38" s="71" t="s">
        <v>67</v>
      </c>
      <c r="C38" s="72" t="s">
        <v>29</v>
      </c>
      <c r="D38" s="71" t="s">
        <v>202</v>
      </c>
      <c r="E38" s="74">
        <v>160.6</v>
      </c>
      <c r="F38" s="74">
        <f>SUM(E38*18/1000)</f>
        <v>2.8907999999999996</v>
      </c>
      <c r="G38" s="74">
        <v>2757.78</v>
      </c>
      <c r="H38" s="78">
        <f t="shared" si="3"/>
        <v>7.972190423999999</v>
      </c>
      <c r="I38" s="13">
        <f t="shared" si="4"/>
        <v>1328.698404</v>
      </c>
    </row>
    <row r="39" spans="1:9">
      <c r="A39" s="29">
        <v>6</v>
      </c>
      <c r="B39" s="71" t="s">
        <v>68</v>
      </c>
      <c r="C39" s="72" t="s">
        <v>29</v>
      </c>
      <c r="D39" s="71" t="s">
        <v>203</v>
      </c>
      <c r="E39" s="73">
        <v>89.1</v>
      </c>
      <c r="F39" s="74">
        <f>SUM(E39*155/1000)</f>
        <v>13.810499999999999</v>
      </c>
      <c r="G39" s="74">
        <v>460.02</v>
      </c>
      <c r="H39" s="78">
        <f t="shared" si="3"/>
        <v>6.3531062099999991</v>
      </c>
      <c r="I39" s="13">
        <f t="shared" si="4"/>
        <v>1058.8510349999999</v>
      </c>
    </row>
    <row r="40" spans="1:9" ht="21" customHeight="1">
      <c r="A40" s="29">
        <v>7</v>
      </c>
      <c r="B40" s="71" t="s">
        <v>145</v>
      </c>
      <c r="C40" s="72" t="s">
        <v>146</v>
      </c>
      <c r="D40" s="71" t="s">
        <v>66</v>
      </c>
      <c r="E40" s="73"/>
      <c r="F40" s="74">
        <v>39</v>
      </c>
      <c r="G40" s="74">
        <v>301.70999999999998</v>
      </c>
      <c r="H40" s="78">
        <f t="shared" si="3"/>
        <v>11.766689999999999</v>
      </c>
      <c r="I40" s="13">
        <f>G40*39</f>
        <v>11766.689999999999</v>
      </c>
    </row>
    <row r="41" spans="1:9" ht="60">
      <c r="A41" s="29">
        <v>8</v>
      </c>
      <c r="B41" s="71" t="s">
        <v>83</v>
      </c>
      <c r="C41" s="72" t="s">
        <v>104</v>
      </c>
      <c r="D41" s="71" t="s">
        <v>204</v>
      </c>
      <c r="E41" s="74">
        <v>46.5</v>
      </c>
      <c r="F41" s="74">
        <f>SUM(E41*35/1000)</f>
        <v>1.6274999999999999</v>
      </c>
      <c r="G41" s="74">
        <v>7611.16</v>
      </c>
      <c r="H41" s="78">
        <f t="shared" si="3"/>
        <v>12.3871629</v>
      </c>
      <c r="I41" s="13">
        <f t="shared" si="4"/>
        <v>2064.5271499999999</v>
      </c>
    </row>
    <row r="42" spans="1:9">
      <c r="A42" s="94">
        <v>9</v>
      </c>
      <c r="B42" s="83" t="s">
        <v>106</v>
      </c>
      <c r="C42" s="84" t="s">
        <v>104</v>
      </c>
      <c r="D42" s="83" t="s">
        <v>205</v>
      </c>
      <c r="E42" s="85">
        <v>89.1</v>
      </c>
      <c r="F42" s="85">
        <f>SUM(E42*45/1000)</f>
        <v>4.0094999999999992</v>
      </c>
      <c r="G42" s="85">
        <v>562.25</v>
      </c>
      <c r="H42" s="82">
        <f t="shared" si="3"/>
        <v>2.2543413749999996</v>
      </c>
      <c r="I42" s="95">
        <f>(F42/7.5*1.5)*G42</f>
        <v>450.86827499999993</v>
      </c>
    </row>
    <row r="43" spans="1:9">
      <c r="A43" s="29">
        <v>10</v>
      </c>
      <c r="B43" s="14" t="s">
        <v>70</v>
      </c>
      <c r="C43" s="16" t="s">
        <v>32</v>
      </c>
      <c r="D43" s="14"/>
      <c r="E43" s="18"/>
      <c r="F43" s="13">
        <v>0.9</v>
      </c>
      <c r="G43" s="13">
        <v>974.83</v>
      </c>
      <c r="H43" s="13">
        <f t="shared" si="3"/>
        <v>0.8773470000000001</v>
      </c>
      <c r="I43" s="95">
        <f>(F43/7.5*1.5)*G43</f>
        <v>175.46940000000004</v>
      </c>
    </row>
    <row r="44" spans="1:9" hidden="1">
      <c r="A44" s="194" t="s">
        <v>129</v>
      </c>
      <c r="B44" s="195"/>
      <c r="C44" s="195"/>
      <c r="D44" s="195"/>
      <c r="E44" s="195"/>
      <c r="F44" s="195"/>
      <c r="G44" s="195"/>
      <c r="H44" s="195"/>
      <c r="I44" s="196"/>
    </row>
    <row r="45" spans="1:9" hidden="1">
      <c r="A45" s="29">
        <v>12</v>
      </c>
      <c r="B45" s="39" t="s">
        <v>107</v>
      </c>
      <c r="C45" s="40" t="s">
        <v>104</v>
      </c>
      <c r="D45" s="39" t="s">
        <v>42</v>
      </c>
      <c r="E45" s="17">
        <v>1632.75</v>
      </c>
      <c r="F45" s="36">
        <f>SUM(E45*2/1000)</f>
        <v>3.2654999999999998</v>
      </c>
      <c r="G45" s="36">
        <v>1062</v>
      </c>
      <c r="H45" s="36">
        <f t="shared" ref="H45:H54" si="5">SUM(F45*G45/1000)</f>
        <v>3.4679609999999998</v>
      </c>
      <c r="I45" s="13">
        <f>F45/2*G45</f>
        <v>1733.9804999999999</v>
      </c>
    </row>
    <row r="46" spans="1:9" hidden="1">
      <c r="A46" s="29">
        <v>13</v>
      </c>
      <c r="B46" s="39" t="s">
        <v>35</v>
      </c>
      <c r="C46" s="40" t="s">
        <v>104</v>
      </c>
      <c r="D46" s="39" t="s">
        <v>42</v>
      </c>
      <c r="E46" s="17">
        <v>53.75</v>
      </c>
      <c r="F46" s="36">
        <f>SUM(E46*2/1000)</f>
        <v>0.1075</v>
      </c>
      <c r="G46" s="36">
        <v>759.98</v>
      </c>
      <c r="H46" s="36">
        <f t="shared" si="5"/>
        <v>8.1697850000000002E-2</v>
      </c>
      <c r="I46" s="13">
        <f t="shared" ref="I46:I53" si="6">F46/2*G46</f>
        <v>40.848925000000001</v>
      </c>
    </row>
    <row r="47" spans="1:9" hidden="1">
      <c r="A47" s="29">
        <v>14</v>
      </c>
      <c r="B47" s="39" t="s">
        <v>36</v>
      </c>
      <c r="C47" s="40" t="s">
        <v>104</v>
      </c>
      <c r="D47" s="39" t="s">
        <v>42</v>
      </c>
      <c r="E47" s="17">
        <v>2285.6</v>
      </c>
      <c r="F47" s="36">
        <f>SUM(E47*2/1000)</f>
        <v>4.5712000000000002</v>
      </c>
      <c r="G47" s="36">
        <v>759.98</v>
      </c>
      <c r="H47" s="36">
        <f t="shared" si="5"/>
        <v>3.4740205760000005</v>
      </c>
      <c r="I47" s="13">
        <f t="shared" si="6"/>
        <v>1737.0102880000002</v>
      </c>
    </row>
    <row r="48" spans="1:9" hidden="1">
      <c r="A48" s="29">
        <v>15</v>
      </c>
      <c r="B48" s="39" t="s">
        <v>37</v>
      </c>
      <c r="C48" s="40" t="s">
        <v>104</v>
      </c>
      <c r="D48" s="39" t="s">
        <v>42</v>
      </c>
      <c r="E48" s="17">
        <v>1860</v>
      </c>
      <c r="F48" s="36">
        <f>SUM(E48*2/1000)</f>
        <v>3.72</v>
      </c>
      <c r="G48" s="36">
        <v>795.82</v>
      </c>
      <c r="H48" s="36">
        <f t="shared" si="5"/>
        <v>2.9604504</v>
      </c>
      <c r="I48" s="13">
        <f t="shared" si="6"/>
        <v>1480.2252000000001</v>
      </c>
    </row>
    <row r="49" spans="1:9" hidden="1">
      <c r="A49" s="29">
        <v>16</v>
      </c>
      <c r="B49" s="39" t="s">
        <v>33</v>
      </c>
      <c r="C49" s="40" t="s">
        <v>34</v>
      </c>
      <c r="D49" s="39" t="s">
        <v>42</v>
      </c>
      <c r="E49" s="17">
        <v>120.5</v>
      </c>
      <c r="F49" s="36">
        <f>SUM(E49*2/100)</f>
        <v>2.41</v>
      </c>
      <c r="G49" s="36">
        <v>95.49</v>
      </c>
      <c r="H49" s="36">
        <f t="shared" si="5"/>
        <v>0.2301309</v>
      </c>
      <c r="I49" s="13">
        <f t="shared" si="6"/>
        <v>115.06545</v>
      </c>
    </row>
    <row r="50" spans="1:9" hidden="1">
      <c r="A50" s="29">
        <v>15</v>
      </c>
      <c r="B50" s="39" t="s">
        <v>56</v>
      </c>
      <c r="C50" s="40" t="s">
        <v>104</v>
      </c>
      <c r="D50" s="39" t="s">
        <v>132</v>
      </c>
      <c r="E50" s="17">
        <v>3053.4</v>
      </c>
      <c r="F50" s="36">
        <f>SUM(E50*5/1000)</f>
        <v>15.266999999999999</v>
      </c>
      <c r="G50" s="36">
        <v>1591.6</v>
      </c>
      <c r="H50" s="36">
        <f t="shared" si="5"/>
        <v>24.298957199999997</v>
      </c>
      <c r="I50" s="13">
        <f>F50/5*G50</f>
        <v>4859.79144</v>
      </c>
    </row>
    <row r="51" spans="1:9" ht="45" hidden="1">
      <c r="A51" s="29">
        <v>16</v>
      </c>
      <c r="B51" s="39" t="s">
        <v>108</v>
      </c>
      <c r="C51" s="40" t="s">
        <v>104</v>
      </c>
      <c r="D51" s="39" t="s">
        <v>42</v>
      </c>
      <c r="E51" s="17">
        <f>E50</f>
        <v>3053.4</v>
      </c>
      <c r="F51" s="36">
        <f>SUM(E51*2/1000)</f>
        <v>6.1067999999999998</v>
      </c>
      <c r="G51" s="36">
        <v>1591.6</v>
      </c>
      <c r="H51" s="36">
        <f t="shared" si="5"/>
        <v>9.7195828800000008</v>
      </c>
      <c r="I51" s="13">
        <f t="shared" si="6"/>
        <v>4859.79144</v>
      </c>
    </row>
    <row r="52" spans="1:9" ht="30" hidden="1">
      <c r="A52" s="29">
        <v>17</v>
      </c>
      <c r="B52" s="39" t="s">
        <v>124</v>
      </c>
      <c r="C52" s="40" t="s">
        <v>38</v>
      </c>
      <c r="D52" s="39" t="s">
        <v>42</v>
      </c>
      <c r="E52" s="17">
        <v>20</v>
      </c>
      <c r="F52" s="36">
        <f>SUM(E52*2/100)</f>
        <v>0.4</v>
      </c>
      <c r="G52" s="36">
        <v>3581.13</v>
      </c>
      <c r="H52" s="36">
        <f t="shared" si="5"/>
        <v>1.4324520000000003</v>
      </c>
      <c r="I52" s="13">
        <f t="shared" si="6"/>
        <v>716.22600000000011</v>
      </c>
    </row>
    <row r="53" spans="1:9" hidden="1">
      <c r="A53" s="29">
        <v>18</v>
      </c>
      <c r="B53" s="39" t="s">
        <v>39</v>
      </c>
      <c r="C53" s="40" t="s">
        <v>40</v>
      </c>
      <c r="D53" s="39" t="s">
        <v>42</v>
      </c>
      <c r="E53" s="17">
        <v>1</v>
      </c>
      <c r="F53" s="36">
        <v>0.02</v>
      </c>
      <c r="G53" s="36">
        <v>7412.92</v>
      </c>
      <c r="H53" s="36">
        <f t="shared" si="5"/>
        <v>0.14825839999999998</v>
      </c>
      <c r="I53" s="13">
        <f t="shared" si="6"/>
        <v>74.129199999999997</v>
      </c>
    </row>
    <row r="54" spans="1:9" hidden="1">
      <c r="A54" s="29">
        <v>16</v>
      </c>
      <c r="B54" s="39" t="s">
        <v>41</v>
      </c>
      <c r="C54" s="40" t="s">
        <v>89</v>
      </c>
      <c r="D54" s="39" t="s">
        <v>71</v>
      </c>
      <c r="E54" s="17">
        <v>128</v>
      </c>
      <c r="F54" s="36">
        <f>SUM(E54)*3</f>
        <v>384</v>
      </c>
      <c r="G54" s="37">
        <v>86.15</v>
      </c>
      <c r="H54" s="36">
        <f t="shared" si="5"/>
        <v>33.081600000000009</v>
      </c>
      <c r="I54" s="13">
        <f>E54*G54</f>
        <v>11027.2</v>
      </c>
    </row>
    <row r="55" spans="1:9">
      <c r="A55" s="194" t="s">
        <v>134</v>
      </c>
      <c r="B55" s="195"/>
      <c r="C55" s="195"/>
      <c r="D55" s="195"/>
      <c r="E55" s="195"/>
      <c r="F55" s="195"/>
      <c r="G55" s="195"/>
      <c r="H55" s="195"/>
      <c r="I55" s="196"/>
    </row>
    <row r="56" spans="1:9" hidden="1">
      <c r="A56" s="96"/>
      <c r="B56" s="104" t="s">
        <v>43</v>
      </c>
      <c r="C56" s="98"/>
      <c r="D56" s="97"/>
      <c r="E56" s="99"/>
      <c r="F56" s="100"/>
      <c r="G56" s="100"/>
      <c r="H56" s="105"/>
      <c r="I56" s="106"/>
    </row>
    <row r="57" spans="1:9" ht="30" hidden="1">
      <c r="A57" s="29">
        <v>12</v>
      </c>
      <c r="B57" s="71" t="s">
        <v>109</v>
      </c>
      <c r="C57" s="72" t="s">
        <v>93</v>
      </c>
      <c r="D57" s="71" t="s">
        <v>110</v>
      </c>
      <c r="E57" s="73">
        <v>92.7</v>
      </c>
      <c r="F57" s="74">
        <f>SUM(E57*6/100)</f>
        <v>5.5620000000000003</v>
      </c>
      <c r="G57" s="13">
        <v>2431.1799999999998</v>
      </c>
      <c r="H57" s="78">
        <f>SUM(F57*G57/1000)</f>
        <v>13.522223159999999</v>
      </c>
      <c r="I57" s="13">
        <f>G57*0.12</f>
        <v>291.74159999999995</v>
      </c>
    </row>
    <row r="58" spans="1:9" hidden="1">
      <c r="A58" s="29">
        <v>13</v>
      </c>
      <c r="B58" s="71" t="s">
        <v>125</v>
      </c>
      <c r="C58" s="72" t="s">
        <v>126</v>
      </c>
      <c r="D58" s="14" t="s">
        <v>66</v>
      </c>
      <c r="E58" s="73"/>
      <c r="F58" s="74">
        <v>2</v>
      </c>
      <c r="G58" s="67">
        <v>1582.05</v>
      </c>
      <c r="H58" s="78">
        <f>SUM(F58*G58/1000)</f>
        <v>3.1640999999999999</v>
      </c>
      <c r="I58" s="13">
        <f>G58*1</f>
        <v>1582.05</v>
      </c>
    </row>
    <row r="59" spans="1:9">
      <c r="A59" s="29"/>
      <c r="B59" s="93" t="s">
        <v>44</v>
      </c>
      <c r="C59" s="72"/>
      <c r="D59" s="71"/>
      <c r="E59" s="73"/>
      <c r="F59" s="74"/>
      <c r="G59" s="74"/>
      <c r="H59" s="75" t="s">
        <v>123</v>
      </c>
      <c r="I59" s="79"/>
    </row>
    <row r="60" spans="1:9" hidden="1">
      <c r="A60" s="29"/>
      <c r="B60" s="34" t="s">
        <v>45</v>
      </c>
      <c r="C60" s="44" t="s">
        <v>93</v>
      </c>
      <c r="D60" s="34" t="s">
        <v>54</v>
      </c>
      <c r="E60" s="123">
        <v>145</v>
      </c>
      <c r="F60" s="33">
        <f>SUM(E60/100)</f>
        <v>1.45</v>
      </c>
      <c r="G60" s="36">
        <v>1040.8399999999999</v>
      </c>
      <c r="H60" s="124">
        <v>9.1679999999999993</v>
      </c>
      <c r="I60" s="13">
        <v>0</v>
      </c>
    </row>
    <row r="61" spans="1:9">
      <c r="A61" s="29">
        <v>11</v>
      </c>
      <c r="B61" s="125" t="s">
        <v>90</v>
      </c>
      <c r="C61" s="126" t="s">
        <v>25</v>
      </c>
      <c r="D61" s="125" t="s">
        <v>201</v>
      </c>
      <c r="E61" s="123">
        <v>200</v>
      </c>
      <c r="F61" s="33">
        <f>SUM(E61*12)</f>
        <v>2400</v>
      </c>
      <c r="G61" s="127">
        <v>1.4</v>
      </c>
      <c r="H61" s="128">
        <f>G61*F61/1000</f>
        <v>3.36</v>
      </c>
      <c r="I61" s="13">
        <f>F61/12*G61</f>
        <v>280</v>
      </c>
    </row>
    <row r="62" spans="1:9" ht="19.5" customHeight="1">
      <c r="A62" s="29"/>
      <c r="B62" s="102" t="s">
        <v>46</v>
      </c>
      <c r="C62" s="84"/>
      <c r="D62" s="83"/>
      <c r="E62" s="81"/>
      <c r="F62" s="85"/>
      <c r="G62" s="85"/>
      <c r="H62" s="86" t="s">
        <v>123</v>
      </c>
      <c r="I62" s="79"/>
    </row>
    <row r="63" spans="1:9" ht="17.25" customHeight="1">
      <c r="A63" s="29">
        <v>12</v>
      </c>
      <c r="B63" s="56" t="s">
        <v>47</v>
      </c>
      <c r="C63" s="40" t="s">
        <v>89</v>
      </c>
      <c r="D63" s="39" t="s">
        <v>201</v>
      </c>
      <c r="E63" s="17">
        <v>6</v>
      </c>
      <c r="F63" s="33">
        <f>SUM(E63)</f>
        <v>6</v>
      </c>
      <c r="G63" s="36">
        <v>291.68</v>
      </c>
      <c r="H63" s="114">
        <f t="shared" ref="H63:H71" si="7">SUM(F63*G63/1000)</f>
        <v>1.7500799999999999</v>
      </c>
      <c r="I63" s="13">
        <f>G63</f>
        <v>291.68</v>
      </c>
    </row>
    <row r="64" spans="1:9" ht="25.5" hidden="1" customHeight="1">
      <c r="A64" s="29"/>
      <c r="B64" s="56" t="s">
        <v>48</v>
      </c>
      <c r="C64" s="40" t="s">
        <v>89</v>
      </c>
      <c r="D64" s="39" t="s">
        <v>66</v>
      </c>
      <c r="E64" s="17">
        <v>4</v>
      </c>
      <c r="F64" s="33">
        <f>SUM(E64)</f>
        <v>4</v>
      </c>
      <c r="G64" s="36">
        <v>100.01</v>
      </c>
      <c r="H64" s="114">
        <f t="shared" si="7"/>
        <v>0.40004000000000001</v>
      </c>
      <c r="I64" s="13">
        <v>0</v>
      </c>
    </row>
    <row r="65" spans="1:9" ht="18.75" hidden="1" customHeight="1">
      <c r="A65" s="29"/>
      <c r="B65" s="56" t="s">
        <v>49</v>
      </c>
      <c r="C65" s="42" t="s">
        <v>111</v>
      </c>
      <c r="D65" s="39" t="s">
        <v>54</v>
      </c>
      <c r="E65" s="121">
        <v>15552</v>
      </c>
      <c r="F65" s="37">
        <f>SUM(E65/100)</f>
        <v>155.52000000000001</v>
      </c>
      <c r="G65" s="36">
        <v>278.24</v>
      </c>
      <c r="H65" s="114">
        <f t="shared" si="7"/>
        <v>43.271884800000009</v>
      </c>
      <c r="I65" s="13">
        <v>0</v>
      </c>
    </row>
    <row r="66" spans="1:9" ht="19.5" hidden="1" customHeight="1">
      <c r="A66" s="29"/>
      <c r="B66" s="56" t="s">
        <v>50</v>
      </c>
      <c r="C66" s="40" t="s">
        <v>112</v>
      </c>
      <c r="D66" s="39"/>
      <c r="E66" s="121">
        <v>15552</v>
      </c>
      <c r="F66" s="36">
        <f>SUM(E66/1000)</f>
        <v>15.552</v>
      </c>
      <c r="G66" s="36">
        <v>216.68</v>
      </c>
      <c r="H66" s="114">
        <f t="shared" si="7"/>
        <v>3.3698073600000003</v>
      </c>
      <c r="I66" s="13">
        <v>0</v>
      </c>
    </row>
    <row r="67" spans="1:9" ht="22.5" hidden="1" customHeight="1">
      <c r="A67" s="29"/>
      <c r="B67" s="56" t="s">
        <v>51</v>
      </c>
      <c r="C67" s="40" t="s">
        <v>78</v>
      </c>
      <c r="D67" s="39" t="s">
        <v>54</v>
      </c>
      <c r="E67" s="121">
        <v>2432</v>
      </c>
      <c r="F67" s="36">
        <f>SUM(E67/100)</f>
        <v>24.32</v>
      </c>
      <c r="G67" s="36">
        <v>2720.94</v>
      </c>
      <c r="H67" s="114">
        <f t="shared" si="7"/>
        <v>66.173260800000008</v>
      </c>
      <c r="I67" s="13">
        <v>0</v>
      </c>
    </row>
    <row r="68" spans="1:9" ht="21.75" hidden="1" customHeight="1">
      <c r="A68" s="29"/>
      <c r="B68" s="53" t="s">
        <v>72</v>
      </c>
      <c r="C68" s="40" t="s">
        <v>32</v>
      </c>
      <c r="D68" s="39"/>
      <c r="E68" s="121">
        <v>14.8</v>
      </c>
      <c r="F68" s="36">
        <f>SUM(E68)</f>
        <v>14.8</v>
      </c>
      <c r="G68" s="36">
        <v>42.61</v>
      </c>
      <c r="H68" s="114">
        <f t="shared" si="7"/>
        <v>0.63062800000000008</v>
      </c>
      <c r="I68" s="13">
        <v>0</v>
      </c>
    </row>
    <row r="69" spans="1:9" ht="16.5" hidden="1" customHeight="1">
      <c r="A69" s="29"/>
      <c r="B69" s="53" t="s">
        <v>73</v>
      </c>
      <c r="C69" s="40" t="s">
        <v>32</v>
      </c>
      <c r="D69" s="39"/>
      <c r="E69" s="121">
        <f>E68</f>
        <v>14.8</v>
      </c>
      <c r="F69" s="36">
        <f>SUM(E69)</f>
        <v>14.8</v>
      </c>
      <c r="G69" s="36">
        <v>46.04</v>
      </c>
      <c r="H69" s="114">
        <f t="shared" si="7"/>
        <v>0.681392</v>
      </c>
      <c r="I69" s="13">
        <v>0</v>
      </c>
    </row>
    <row r="70" spans="1:9" ht="16.5" hidden="1" customHeight="1">
      <c r="A70" s="29">
        <v>22</v>
      </c>
      <c r="B70" s="39" t="s">
        <v>57</v>
      </c>
      <c r="C70" s="40" t="s">
        <v>58</v>
      </c>
      <c r="D70" s="39" t="s">
        <v>54</v>
      </c>
      <c r="E70" s="17">
        <v>5</v>
      </c>
      <c r="F70" s="33">
        <f>SUM(E70)</f>
        <v>5</v>
      </c>
      <c r="G70" s="36">
        <v>65.42</v>
      </c>
      <c r="H70" s="114">
        <f t="shared" si="7"/>
        <v>0.3271</v>
      </c>
      <c r="I70" s="13">
        <f>G70*4</f>
        <v>261.68</v>
      </c>
    </row>
    <row r="71" spans="1:9" ht="21" customHeight="1">
      <c r="A71" s="29">
        <v>13</v>
      </c>
      <c r="B71" s="39" t="s">
        <v>148</v>
      </c>
      <c r="C71" s="45" t="s">
        <v>149</v>
      </c>
      <c r="D71" s="39"/>
      <c r="E71" s="17">
        <f>E50</f>
        <v>3053.4</v>
      </c>
      <c r="F71" s="33">
        <f>SUM(E71*12)</f>
        <v>36640.800000000003</v>
      </c>
      <c r="G71" s="36">
        <v>2.2799999999999998</v>
      </c>
      <c r="H71" s="114">
        <f t="shared" si="7"/>
        <v>83.541024000000007</v>
      </c>
      <c r="I71" s="13">
        <f>F71/12*G71</f>
        <v>6961.7519999999995</v>
      </c>
    </row>
    <row r="72" spans="1:9">
      <c r="A72" s="29"/>
      <c r="B72" s="159" t="s">
        <v>74</v>
      </c>
      <c r="C72" s="16"/>
      <c r="D72" s="14"/>
      <c r="E72" s="18"/>
      <c r="F72" s="13"/>
      <c r="G72" s="13"/>
      <c r="H72" s="87" t="s">
        <v>123</v>
      </c>
      <c r="I72" s="79"/>
    </row>
    <row r="73" spans="1:9" hidden="1">
      <c r="A73" s="29">
        <v>19</v>
      </c>
      <c r="B73" s="39" t="s">
        <v>150</v>
      </c>
      <c r="C73" s="40" t="s">
        <v>151</v>
      </c>
      <c r="D73" s="39" t="s">
        <v>66</v>
      </c>
      <c r="E73" s="17">
        <v>1</v>
      </c>
      <c r="F73" s="36">
        <f>E73</f>
        <v>1</v>
      </c>
      <c r="G73" s="36">
        <v>1029.1199999999999</v>
      </c>
      <c r="H73" s="114">
        <f t="shared" ref="H73:H74" si="8">SUM(F73*G73/1000)</f>
        <v>1.0291199999999998</v>
      </c>
      <c r="I73" s="13">
        <v>0</v>
      </c>
    </row>
    <row r="74" spans="1:9" ht="13.5" hidden="1" customHeight="1">
      <c r="A74" s="29"/>
      <c r="B74" s="39" t="s">
        <v>152</v>
      </c>
      <c r="C74" s="40" t="s">
        <v>153</v>
      </c>
      <c r="D74" s="129"/>
      <c r="E74" s="17">
        <v>1</v>
      </c>
      <c r="F74" s="36">
        <v>1</v>
      </c>
      <c r="G74" s="36">
        <v>735</v>
      </c>
      <c r="H74" s="114">
        <f t="shared" si="8"/>
        <v>0.73499999999999999</v>
      </c>
      <c r="I74" s="13">
        <v>0</v>
      </c>
    </row>
    <row r="75" spans="1:9" hidden="1">
      <c r="A75" s="29">
        <v>19</v>
      </c>
      <c r="B75" s="39" t="s">
        <v>75</v>
      </c>
      <c r="C75" s="40" t="s">
        <v>76</v>
      </c>
      <c r="D75" s="39" t="s">
        <v>66</v>
      </c>
      <c r="E75" s="17">
        <v>5</v>
      </c>
      <c r="F75" s="33">
        <f>SUM(E75/10)</f>
        <v>0.5</v>
      </c>
      <c r="G75" s="36">
        <v>657.87</v>
      </c>
      <c r="H75" s="114">
        <f>SUM(F75*G75/1000)</f>
        <v>0.32893499999999998</v>
      </c>
      <c r="I75" s="13">
        <f>G75*0.4</f>
        <v>263.14800000000002</v>
      </c>
    </row>
    <row r="76" spans="1:9" hidden="1">
      <c r="A76" s="29"/>
      <c r="B76" s="39" t="s">
        <v>121</v>
      </c>
      <c r="C76" s="40" t="s">
        <v>89</v>
      </c>
      <c r="D76" s="39" t="s">
        <v>66</v>
      </c>
      <c r="E76" s="17">
        <v>1</v>
      </c>
      <c r="F76" s="36">
        <f>E76</f>
        <v>1</v>
      </c>
      <c r="G76" s="36">
        <v>1118.72</v>
      </c>
      <c r="H76" s="114">
        <f>SUM(F76*G76/1000)</f>
        <v>1.1187199999999999</v>
      </c>
      <c r="I76" s="13">
        <v>0</v>
      </c>
    </row>
    <row r="77" spans="1:9" ht="30">
      <c r="A77" s="29">
        <v>14</v>
      </c>
      <c r="B77" s="115" t="s">
        <v>154</v>
      </c>
      <c r="C77" s="116" t="s">
        <v>89</v>
      </c>
      <c r="D77" s="39" t="s">
        <v>201</v>
      </c>
      <c r="E77" s="17">
        <v>2</v>
      </c>
      <c r="F77" s="33">
        <f>E77*12</f>
        <v>24</v>
      </c>
      <c r="G77" s="36">
        <v>53.42</v>
      </c>
      <c r="H77" s="114">
        <f t="shared" ref="H77:H78" si="9">SUM(F77*G77/1000)</f>
        <v>1.2820799999999999</v>
      </c>
      <c r="I77" s="13">
        <f>G77*2</f>
        <v>106.84</v>
      </c>
    </row>
    <row r="78" spans="1:9" ht="30">
      <c r="A78" s="29">
        <v>15</v>
      </c>
      <c r="B78" s="115" t="s">
        <v>155</v>
      </c>
      <c r="C78" s="116" t="s">
        <v>89</v>
      </c>
      <c r="D78" s="39" t="s">
        <v>201</v>
      </c>
      <c r="E78" s="17">
        <v>1</v>
      </c>
      <c r="F78" s="33">
        <f>E78*12</f>
        <v>12</v>
      </c>
      <c r="G78" s="36">
        <v>1194</v>
      </c>
      <c r="H78" s="114">
        <f t="shared" si="9"/>
        <v>14.327999999999999</v>
      </c>
      <c r="I78" s="13">
        <f>G78</f>
        <v>1194</v>
      </c>
    </row>
    <row r="79" spans="1:9" hidden="1">
      <c r="A79" s="29"/>
      <c r="B79" s="90" t="s">
        <v>77</v>
      </c>
      <c r="C79" s="16"/>
      <c r="D79" s="14"/>
      <c r="E79" s="18"/>
      <c r="F79" s="18"/>
      <c r="G79" s="18"/>
      <c r="H79" s="18"/>
      <c r="I79" s="79"/>
    </row>
    <row r="80" spans="1:9" hidden="1">
      <c r="A80" s="29"/>
      <c r="B80" s="41" t="s">
        <v>115</v>
      </c>
      <c r="C80" s="42" t="s">
        <v>78</v>
      </c>
      <c r="D80" s="56"/>
      <c r="E80" s="59"/>
      <c r="F80" s="37">
        <v>0.3</v>
      </c>
      <c r="G80" s="37">
        <v>3619.09</v>
      </c>
      <c r="H80" s="114">
        <f t="shared" ref="H80" si="10">SUM(F80*G80/1000)</f>
        <v>1.0857270000000001</v>
      </c>
      <c r="I80" s="13">
        <v>0</v>
      </c>
    </row>
    <row r="81" spans="1:9" ht="28.5" hidden="1">
      <c r="A81" s="29"/>
      <c r="B81" s="159" t="s">
        <v>113</v>
      </c>
      <c r="C81" s="90"/>
      <c r="D81" s="31"/>
      <c r="E81" s="32"/>
      <c r="F81" s="91"/>
      <c r="G81" s="91"/>
      <c r="H81" s="92">
        <f>SUM(H57:H80)</f>
        <v>249.26712212000004</v>
      </c>
      <c r="I81" s="77"/>
    </row>
    <row r="82" spans="1:9">
      <c r="A82" s="194" t="s">
        <v>135</v>
      </c>
      <c r="B82" s="195"/>
      <c r="C82" s="195"/>
      <c r="D82" s="195"/>
      <c r="E82" s="195"/>
      <c r="F82" s="195"/>
      <c r="G82" s="195"/>
      <c r="H82" s="195"/>
      <c r="I82" s="196"/>
    </row>
    <row r="83" spans="1:9">
      <c r="A83" s="96">
        <v>16</v>
      </c>
      <c r="B83" s="34" t="s">
        <v>116</v>
      </c>
      <c r="C83" s="40" t="s">
        <v>55</v>
      </c>
      <c r="D83" s="103"/>
      <c r="E83" s="36">
        <v>3053.4</v>
      </c>
      <c r="F83" s="36">
        <f>SUM(E83*12)</f>
        <v>36640.800000000003</v>
      </c>
      <c r="G83" s="36">
        <v>3.1</v>
      </c>
      <c r="H83" s="114">
        <f>SUM(F83*G83/1000)</f>
        <v>113.58648000000001</v>
      </c>
      <c r="I83" s="101">
        <f>F83/12*G83</f>
        <v>9465.5400000000009</v>
      </c>
    </row>
    <row r="84" spans="1:9" ht="30">
      <c r="A84" s="29">
        <v>17</v>
      </c>
      <c r="B84" s="39" t="s">
        <v>79</v>
      </c>
      <c r="C84" s="40"/>
      <c r="D84" s="103"/>
      <c r="E84" s="121">
        <v>3053.4</v>
      </c>
      <c r="F84" s="36">
        <f>E84*12</f>
        <v>36640.800000000003</v>
      </c>
      <c r="G84" s="36">
        <v>3.5</v>
      </c>
      <c r="H84" s="114">
        <f>F84*G84/1000</f>
        <v>128.24280000000002</v>
      </c>
      <c r="I84" s="13">
        <f>F84/12*G84</f>
        <v>10686.9</v>
      </c>
    </row>
    <row r="85" spans="1:9">
      <c r="A85" s="29"/>
      <c r="B85" s="43" t="s">
        <v>81</v>
      </c>
      <c r="C85" s="90"/>
      <c r="D85" s="88"/>
      <c r="E85" s="91"/>
      <c r="F85" s="91"/>
      <c r="G85" s="91"/>
      <c r="H85" s="92">
        <f>SUM(H84)</f>
        <v>128.24280000000002</v>
      </c>
      <c r="I85" s="91">
        <f>I84+I83+I78+I77+I71+I63+I61+I43+I42+I41+I40+I39+I38+I26+I18+I17+I16</f>
        <v>58599.558990666665</v>
      </c>
    </row>
    <row r="86" spans="1:9">
      <c r="A86" s="183" t="s">
        <v>60</v>
      </c>
      <c r="B86" s="184"/>
      <c r="C86" s="184"/>
      <c r="D86" s="184"/>
      <c r="E86" s="184"/>
      <c r="F86" s="184"/>
      <c r="G86" s="184"/>
      <c r="H86" s="184"/>
      <c r="I86" s="185"/>
    </row>
    <row r="87" spans="1:9" ht="30">
      <c r="A87" s="29">
        <v>18</v>
      </c>
      <c r="B87" s="115" t="s">
        <v>164</v>
      </c>
      <c r="C87" s="116" t="s">
        <v>165</v>
      </c>
      <c r="D87" s="52"/>
      <c r="E87" s="13"/>
      <c r="F87" s="13">
        <v>128</v>
      </c>
      <c r="G87" s="13">
        <v>26095.37</v>
      </c>
      <c r="H87" s="89">
        <f t="shared" ref="H87" si="11">G87*F87/1000</f>
        <v>3340.2073599999999</v>
      </c>
      <c r="I87" s="13">
        <f>G87*0.02</f>
        <v>521.90739999999994</v>
      </c>
    </row>
    <row r="88" spans="1:9">
      <c r="A88" s="29">
        <v>19</v>
      </c>
      <c r="B88" s="115" t="s">
        <v>159</v>
      </c>
      <c r="C88" s="116" t="s">
        <v>127</v>
      </c>
      <c r="D88" s="117"/>
      <c r="E88" s="36"/>
      <c r="F88" s="36">
        <v>4</v>
      </c>
      <c r="G88" s="13">
        <v>273</v>
      </c>
      <c r="H88" s="114">
        <f>F88*G88/1000</f>
        <v>1.0920000000000001</v>
      </c>
      <c r="I88" s="13">
        <f>G88*10</f>
        <v>2730</v>
      </c>
    </row>
    <row r="89" spans="1:9" ht="30">
      <c r="A89" s="29">
        <v>20</v>
      </c>
      <c r="B89" s="115" t="s">
        <v>190</v>
      </c>
      <c r="C89" s="116" t="s">
        <v>29</v>
      </c>
      <c r="D89" s="117"/>
      <c r="E89" s="36"/>
      <c r="F89" s="36"/>
      <c r="G89" s="13">
        <v>830.69</v>
      </c>
      <c r="H89" s="114"/>
      <c r="I89" s="13">
        <f>G89*0.02</f>
        <v>16.613800000000001</v>
      </c>
    </row>
    <row r="90" spans="1:9" ht="30">
      <c r="A90" s="29">
        <v>21</v>
      </c>
      <c r="B90" s="115" t="s">
        <v>87</v>
      </c>
      <c r="C90" s="116" t="s">
        <v>97</v>
      </c>
      <c r="D90" s="117"/>
      <c r="E90" s="36"/>
      <c r="F90" s="36"/>
      <c r="G90" s="13">
        <v>644.72</v>
      </c>
      <c r="H90" s="114"/>
      <c r="I90" s="13">
        <f>G90*6</f>
        <v>3868.32</v>
      </c>
    </row>
    <row r="91" spans="1:9" ht="30">
      <c r="A91" s="29">
        <v>22</v>
      </c>
      <c r="B91" s="115" t="s">
        <v>161</v>
      </c>
      <c r="C91" s="116" t="s">
        <v>97</v>
      </c>
      <c r="D91" s="117"/>
      <c r="E91" s="36"/>
      <c r="F91" s="36">
        <v>1</v>
      </c>
      <c r="G91" s="13">
        <v>878.3</v>
      </c>
      <c r="H91" s="114">
        <f>F91*G91/1000</f>
        <v>0.87829999999999997</v>
      </c>
      <c r="I91" s="13">
        <f>G91*1</f>
        <v>878.3</v>
      </c>
    </row>
    <row r="92" spans="1:9">
      <c r="A92" s="29"/>
      <c r="B92" s="50" t="s">
        <v>52</v>
      </c>
      <c r="C92" s="46"/>
      <c r="D92" s="54"/>
      <c r="E92" s="46">
        <v>1</v>
      </c>
      <c r="F92" s="46"/>
      <c r="G92" s="46"/>
      <c r="H92" s="46"/>
      <c r="I92" s="32">
        <f>SUM(I87:I91)</f>
        <v>8015.1412000000009</v>
      </c>
    </row>
    <row r="93" spans="1:9">
      <c r="A93" s="29"/>
      <c r="B93" s="52" t="s">
        <v>80</v>
      </c>
      <c r="C93" s="15"/>
      <c r="D93" s="15"/>
      <c r="E93" s="47"/>
      <c r="F93" s="47"/>
      <c r="G93" s="48"/>
      <c r="H93" s="48"/>
      <c r="I93" s="17">
        <v>0</v>
      </c>
    </row>
    <row r="94" spans="1:9">
      <c r="A94" s="55"/>
      <c r="B94" s="51" t="s">
        <v>141</v>
      </c>
      <c r="C94" s="35"/>
      <c r="D94" s="35"/>
      <c r="E94" s="35"/>
      <c r="F94" s="35"/>
      <c r="G94" s="35"/>
      <c r="H94" s="35"/>
      <c r="I94" s="49">
        <f>I85+I92</f>
        <v>66614.70019066667</v>
      </c>
    </row>
    <row r="95" spans="1:9" ht="15.75">
      <c r="A95" s="186" t="s">
        <v>212</v>
      </c>
      <c r="B95" s="186"/>
      <c r="C95" s="186"/>
      <c r="D95" s="186"/>
      <c r="E95" s="186"/>
      <c r="F95" s="186"/>
      <c r="G95" s="186"/>
      <c r="H95" s="186"/>
      <c r="I95" s="186"/>
    </row>
    <row r="96" spans="1:9" ht="15.75">
      <c r="A96" s="62"/>
      <c r="B96" s="187" t="s">
        <v>213</v>
      </c>
      <c r="C96" s="187"/>
      <c r="D96" s="187"/>
      <c r="E96" s="187"/>
      <c r="F96" s="187"/>
      <c r="G96" s="187"/>
      <c r="H96" s="70"/>
      <c r="I96" s="3"/>
    </row>
    <row r="97" spans="1:9">
      <c r="A97" s="157"/>
      <c r="B97" s="188" t="s">
        <v>6</v>
      </c>
      <c r="C97" s="188"/>
      <c r="D97" s="188"/>
      <c r="E97" s="188"/>
      <c r="F97" s="188"/>
      <c r="G97" s="188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89" t="s">
        <v>7</v>
      </c>
      <c r="B99" s="189"/>
      <c r="C99" s="189"/>
      <c r="D99" s="189"/>
      <c r="E99" s="189"/>
      <c r="F99" s="189"/>
      <c r="G99" s="189"/>
      <c r="H99" s="189"/>
      <c r="I99" s="189"/>
    </row>
    <row r="100" spans="1:9" ht="15.75">
      <c r="A100" s="189" t="s">
        <v>8</v>
      </c>
      <c r="B100" s="189"/>
      <c r="C100" s="189"/>
      <c r="D100" s="189"/>
      <c r="E100" s="189"/>
      <c r="F100" s="189"/>
      <c r="G100" s="189"/>
      <c r="H100" s="189"/>
      <c r="I100" s="189"/>
    </row>
    <row r="101" spans="1:9" ht="15.75">
      <c r="A101" s="190" t="s">
        <v>61</v>
      </c>
      <c r="B101" s="190"/>
      <c r="C101" s="190"/>
      <c r="D101" s="190"/>
      <c r="E101" s="190"/>
      <c r="F101" s="190"/>
      <c r="G101" s="190"/>
      <c r="H101" s="190"/>
      <c r="I101" s="190"/>
    </row>
    <row r="102" spans="1:9" ht="15.75">
      <c r="A102" s="11"/>
    </row>
    <row r="103" spans="1:9" ht="15.75">
      <c r="A103" s="191" t="s">
        <v>9</v>
      </c>
      <c r="B103" s="191"/>
      <c r="C103" s="191"/>
      <c r="D103" s="191"/>
      <c r="E103" s="191"/>
      <c r="F103" s="191"/>
      <c r="G103" s="191"/>
      <c r="H103" s="191"/>
      <c r="I103" s="191"/>
    </row>
    <row r="104" spans="1:9" ht="15.75">
      <c r="A104" s="4"/>
    </row>
    <row r="105" spans="1:9" ht="15.75">
      <c r="B105" s="154" t="s">
        <v>10</v>
      </c>
      <c r="C105" s="192" t="s">
        <v>88</v>
      </c>
      <c r="D105" s="192"/>
      <c r="E105" s="192"/>
      <c r="F105" s="68"/>
      <c r="I105" s="156"/>
    </row>
    <row r="106" spans="1:9">
      <c r="A106" s="157"/>
      <c r="C106" s="188" t="s">
        <v>11</v>
      </c>
      <c r="D106" s="188"/>
      <c r="E106" s="188"/>
      <c r="F106" s="24"/>
      <c r="I106" s="155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154" t="s">
        <v>13</v>
      </c>
      <c r="C108" s="193"/>
      <c r="D108" s="193"/>
      <c r="E108" s="193"/>
      <c r="F108" s="69"/>
      <c r="I108" s="156"/>
    </row>
    <row r="109" spans="1:9">
      <c r="A109" s="157"/>
      <c r="C109" s="182" t="s">
        <v>11</v>
      </c>
      <c r="D109" s="182"/>
      <c r="E109" s="182"/>
      <c r="F109" s="157"/>
      <c r="I109" s="155" t="s">
        <v>12</v>
      </c>
    </row>
    <row r="110" spans="1:9" ht="15.75">
      <c r="A110" s="4" t="s">
        <v>14</v>
      </c>
    </row>
    <row r="111" spans="1:9">
      <c r="A111" s="180" t="s">
        <v>15</v>
      </c>
      <c r="B111" s="180"/>
      <c r="C111" s="180"/>
      <c r="D111" s="180"/>
      <c r="E111" s="180"/>
      <c r="F111" s="180"/>
      <c r="G111" s="180"/>
      <c r="H111" s="180"/>
      <c r="I111" s="180"/>
    </row>
    <row r="112" spans="1:9" ht="34.5" customHeight="1">
      <c r="A112" s="181" t="s">
        <v>16</v>
      </c>
      <c r="B112" s="181"/>
      <c r="C112" s="181"/>
      <c r="D112" s="181"/>
      <c r="E112" s="181"/>
      <c r="F112" s="181"/>
      <c r="G112" s="181"/>
      <c r="H112" s="181"/>
      <c r="I112" s="181"/>
    </row>
    <row r="113" spans="1:9" ht="35.25" customHeight="1">
      <c r="A113" s="181" t="s">
        <v>17</v>
      </c>
      <c r="B113" s="181"/>
      <c r="C113" s="181"/>
      <c r="D113" s="181"/>
      <c r="E113" s="181"/>
      <c r="F113" s="181"/>
      <c r="G113" s="181"/>
      <c r="H113" s="181"/>
      <c r="I113" s="181"/>
    </row>
    <row r="114" spans="1:9" ht="42" customHeight="1">
      <c r="A114" s="181" t="s">
        <v>21</v>
      </c>
      <c r="B114" s="181"/>
      <c r="C114" s="181"/>
      <c r="D114" s="181"/>
      <c r="E114" s="181"/>
      <c r="F114" s="181"/>
      <c r="G114" s="181"/>
      <c r="H114" s="181"/>
      <c r="I114" s="181"/>
    </row>
    <row r="115" spans="1:9" ht="15.75">
      <c r="A115" s="181" t="s">
        <v>20</v>
      </c>
      <c r="B115" s="181"/>
      <c r="C115" s="181"/>
      <c r="D115" s="181"/>
      <c r="E115" s="181"/>
      <c r="F115" s="181"/>
      <c r="G115" s="181"/>
      <c r="H115" s="181"/>
      <c r="I115" s="181"/>
    </row>
  </sheetData>
  <mergeCells count="28">
    <mergeCell ref="A115:I115"/>
    <mergeCell ref="A86:I86"/>
    <mergeCell ref="A95:I95"/>
    <mergeCell ref="B96:G96"/>
    <mergeCell ref="B97:G97"/>
    <mergeCell ref="A100:I100"/>
    <mergeCell ref="A103:I103"/>
    <mergeCell ref="A111:I111"/>
    <mergeCell ref="A112:I112"/>
    <mergeCell ref="A113:I113"/>
    <mergeCell ref="C109:E109"/>
    <mergeCell ref="C108:E108"/>
    <mergeCell ref="C105:E105"/>
    <mergeCell ref="A99:I99"/>
    <mergeCell ref="A101:I101"/>
    <mergeCell ref="C106:E106"/>
    <mergeCell ref="A3:I3"/>
    <mergeCell ref="A8:I8"/>
    <mergeCell ref="A27:I27"/>
    <mergeCell ref="A114:I114"/>
    <mergeCell ref="A4:I4"/>
    <mergeCell ref="A5:I5"/>
    <mergeCell ref="A10:I10"/>
    <mergeCell ref="A14:I14"/>
    <mergeCell ref="A15:I15"/>
    <mergeCell ref="A44:I44"/>
    <mergeCell ref="A55:I55"/>
    <mergeCell ref="A82:I82"/>
  </mergeCells>
  <pageMargins left="0.70866141732283472" right="0.31496062992125984" top="0.74803149606299213" bottom="0.74803149606299213" header="0.31496062992125984" footer="0.31496062992125984"/>
  <pageSetup paperSize="9" scale="58" orientation="portrait" horizontalDpi="0" verticalDpi="0" r:id="rId1"/>
  <rowBreaks count="1" manualBreakCount="1">
    <brk id="11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119"/>
  <sheetViews>
    <sheetView workbookViewId="0">
      <selection activeCell="D29" sqref="D29:D31"/>
    </sheetView>
  </sheetViews>
  <sheetFormatPr defaultRowHeight="15"/>
  <cols>
    <col min="2" max="2" width="51.42578125" customWidth="1"/>
    <col min="3" max="4" width="18.28515625" customWidth="1"/>
    <col min="5" max="6" width="0" hidden="1" customWidth="1"/>
    <col min="7" max="7" width="22.42578125" customWidth="1"/>
    <col min="8" max="8" width="0" hidden="1" customWidth="1"/>
    <col min="9" max="9" width="18" customWidth="1"/>
  </cols>
  <sheetData>
    <row r="1" spans="1:9" ht="15.75">
      <c r="A1" s="27" t="s">
        <v>168</v>
      </c>
      <c r="I1" s="26"/>
    </row>
    <row r="2" spans="1:9" ht="15.75">
      <c r="A2" s="28" t="s">
        <v>62</v>
      </c>
    </row>
    <row r="3" spans="1:9" ht="15.75">
      <c r="A3" s="197" t="s">
        <v>163</v>
      </c>
      <c r="B3" s="197"/>
      <c r="C3" s="197"/>
      <c r="D3" s="197"/>
      <c r="E3" s="197"/>
      <c r="F3" s="197"/>
      <c r="G3" s="197"/>
      <c r="H3" s="197"/>
      <c r="I3" s="197"/>
    </row>
    <row r="4" spans="1:9" ht="28.5" customHeight="1">
      <c r="A4" s="198" t="s">
        <v>117</v>
      </c>
      <c r="B4" s="198"/>
      <c r="C4" s="198"/>
      <c r="D4" s="198"/>
      <c r="E4" s="198"/>
      <c r="F4" s="198"/>
      <c r="G4" s="198"/>
      <c r="H4" s="198"/>
      <c r="I4" s="198"/>
    </row>
    <row r="5" spans="1:9" ht="15.75">
      <c r="A5" s="197" t="s">
        <v>191</v>
      </c>
      <c r="B5" s="199"/>
      <c r="C5" s="199"/>
      <c r="D5" s="199"/>
      <c r="E5" s="199"/>
      <c r="F5" s="199"/>
      <c r="G5" s="199"/>
      <c r="H5" s="199"/>
      <c r="I5" s="199"/>
    </row>
    <row r="6" spans="1:9" ht="15.75">
      <c r="A6" s="2"/>
      <c r="B6" s="160"/>
      <c r="C6" s="160"/>
      <c r="D6" s="160"/>
      <c r="E6" s="160"/>
      <c r="F6" s="160"/>
      <c r="G6" s="160"/>
      <c r="H6" s="160"/>
      <c r="I6" s="30">
        <v>43616</v>
      </c>
    </row>
    <row r="7" spans="1:9" ht="15.75">
      <c r="B7" s="163"/>
      <c r="C7" s="163"/>
      <c r="D7" s="163"/>
      <c r="E7" s="3"/>
      <c r="F7" s="3"/>
      <c r="G7" s="3"/>
      <c r="H7" s="3"/>
    </row>
    <row r="8" spans="1:9" ht="94.5" customHeight="1">
      <c r="A8" s="200" t="s">
        <v>169</v>
      </c>
      <c r="B8" s="200"/>
      <c r="C8" s="200"/>
      <c r="D8" s="200"/>
      <c r="E8" s="200"/>
      <c r="F8" s="200"/>
      <c r="G8" s="200"/>
      <c r="H8" s="200"/>
      <c r="I8" s="200"/>
    </row>
    <row r="9" spans="1:9" ht="15.75">
      <c r="A9" s="4"/>
    </row>
    <row r="10" spans="1:9" ht="65.25" customHeight="1">
      <c r="A10" s="201" t="s">
        <v>158</v>
      </c>
      <c r="B10" s="201"/>
      <c r="C10" s="201"/>
      <c r="D10" s="201"/>
      <c r="E10" s="201"/>
      <c r="F10" s="201"/>
      <c r="G10" s="201"/>
      <c r="H10" s="201"/>
      <c r="I10" s="201"/>
    </row>
    <row r="11" spans="1:9" ht="15.75">
      <c r="A11" s="4"/>
    </row>
    <row r="12" spans="1:9" ht="75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2" t="s">
        <v>59</v>
      </c>
      <c r="B14" s="202"/>
      <c r="C14" s="202"/>
      <c r="D14" s="202"/>
      <c r="E14" s="202"/>
      <c r="F14" s="202"/>
      <c r="G14" s="202"/>
      <c r="H14" s="202"/>
      <c r="I14" s="202"/>
    </row>
    <row r="15" spans="1:9">
      <c r="A15" s="203" t="s">
        <v>4</v>
      </c>
      <c r="B15" s="203"/>
      <c r="C15" s="203"/>
      <c r="D15" s="203"/>
      <c r="E15" s="203"/>
      <c r="F15" s="203"/>
      <c r="G15" s="203"/>
      <c r="H15" s="203"/>
      <c r="I15" s="203"/>
    </row>
    <row r="16" spans="1:9">
      <c r="A16" s="29">
        <v>1</v>
      </c>
      <c r="B16" s="71" t="s">
        <v>84</v>
      </c>
      <c r="C16" s="72" t="s">
        <v>93</v>
      </c>
      <c r="D16" s="71" t="s">
        <v>199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18" si="0">SUM(F16*G16/1000)</f>
        <v>33.189</v>
      </c>
      <c r="I16" s="13">
        <f>F16/12*G16</f>
        <v>2765.75</v>
      </c>
    </row>
    <row r="17" spans="1:9">
      <c r="A17" s="29">
        <v>2</v>
      </c>
      <c r="B17" s="71" t="s">
        <v>85</v>
      </c>
      <c r="C17" s="72" t="s">
        <v>93</v>
      </c>
      <c r="D17" s="71" t="s">
        <v>200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</row>
    <row r="18" spans="1:9">
      <c r="A18" s="29">
        <v>3</v>
      </c>
      <c r="B18" s="71" t="s">
        <v>86</v>
      </c>
      <c r="C18" s="72" t="s">
        <v>93</v>
      </c>
      <c r="D18" s="71" t="s">
        <v>201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</row>
    <row r="19" spans="1:9">
      <c r="A19" s="29">
        <v>4</v>
      </c>
      <c r="B19" s="71" t="s">
        <v>100</v>
      </c>
      <c r="C19" s="72" t="s">
        <v>101</v>
      </c>
      <c r="D19" s="71" t="s">
        <v>201</v>
      </c>
      <c r="E19" s="73">
        <v>19.2</v>
      </c>
      <c r="F19" s="74">
        <f>SUM(E19/10)</f>
        <v>1.92</v>
      </c>
      <c r="G19" s="74">
        <v>223.17</v>
      </c>
      <c r="H19" s="78">
        <f t="shared" ref="H19:H26" si="1">SUM(F19*G19/1000)</f>
        <v>0.42848639999999993</v>
      </c>
      <c r="I19" s="13">
        <f>G19*1.92</f>
        <v>428.48639999999995</v>
      </c>
    </row>
    <row r="20" spans="1:9">
      <c r="A20" s="29">
        <v>5</v>
      </c>
      <c r="B20" s="71" t="s">
        <v>92</v>
      </c>
      <c r="C20" s="72" t="s">
        <v>93</v>
      </c>
      <c r="D20" s="71" t="s">
        <v>201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1"/>
        <v>0.15602495999999999</v>
      </c>
      <c r="I20" s="13">
        <f>F20/2*G20</f>
        <v>78.012479999999996</v>
      </c>
    </row>
    <row r="21" spans="1:9">
      <c r="A21" s="29">
        <v>6</v>
      </c>
      <c r="B21" s="71" t="s">
        <v>98</v>
      </c>
      <c r="C21" s="72" t="s">
        <v>93</v>
      </c>
      <c r="D21" s="71" t="s">
        <v>201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G21*0.0908</f>
        <v>25.736352</v>
      </c>
    </row>
    <row r="22" spans="1:9">
      <c r="A22" s="29">
        <v>7</v>
      </c>
      <c r="B22" s="71" t="s">
        <v>94</v>
      </c>
      <c r="C22" s="72" t="s">
        <v>53</v>
      </c>
      <c r="D22" s="71" t="s">
        <v>201</v>
      </c>
      <c r="E22" s="76">
        <v>30</v>
      </c>
      <c r="F22" s="74">
        <f>SUM(E22/100)</f>
        <v>0.3</v>
      </c>
      <c r="G22" s="74">
        <v>58.08</v>
      </c>
      <c r="H22" s="78">
        <f t="shared" si="1"/>
        <v>1.7423999999999999E-2</v>
      </c>
      <c r="I22" s="13">
        <f>G22*0.3</f>
        <v>17.423999999999999</v>
      </c>
    </row>
    <row r="23" spans="1:9">
      <c r="A23" s="29">
        <v>8</v>
      </c>
      <c r="B23" s="71" t="s">
        <v>95</v>
      </c>
      <c r="C23" s="72" t="s">
        <v>53</v>
      </c>
      <c r="D23" s="71" t="s">
        <v>201</v>
      </c>
      <c r="E23" s="73">
        <v>20</v>
      </c>
      <c r="F23" s="74">
        <f>SUM(E23/100)</f>
        <v>0.2</v>
      </c>
      <c r="G23" s="74">
        <v>511.12</v>
      </c>
      <c r="H23" s="78">
        <f t="shared" si="1"/>
        <v>0.10222400000000001</v>
      </c>
      <c r="I23" s="13">
        <f>G23*0.2</f>
        <v>102.224</v>
      </c>
    </row>
    <row r="24" spans="1:9">
      <c r="A24" s="29">
        <v>9</v>
      </c>
      <c r="B24" s="71" t="s">
        <v>96</v>
      </c>
      <c r="C24" s="72" t="s">
        <v>53</v>
      </c>
      <c r="D24" s="71" t="s">
        <v>201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1"/>
        <v>5.805925E-2</v>
      </c>
      <c r="I24" s="13">
        <f>G24*0.085</f>
        <v>58.059249999999999</v>
      </c>
    </row>
    <row r="25" spans="1:9" ht="30">
      <c r="A25" s="94">
        <v>10</v>
      </c>
      <c r="B25" s="83" t="s">
        <v>99</v>
      </c>
      <c r="C25" s="84" t="s">
        <v>53</v>
      </c>
      <c r="D25" s="83" t="s">
        <v>201</v>
      </c>
      <c r="E25" s="81">
        <v>20</v>
      </c>
      <c r="F25" s="85">
        <f>SUM(E25/100)</f>
        <v>0.2</v>
      </c>
      <c r="G25" s="85">
        <v>283.44</v>
      </c>
      <c r="H25" s="82">
        <f t="shared" si="1"/>
        <v>5.6688000000000002E-2</v>
      </c>
      <c r="I25" s="13">
        <f>G25*0.2</f>
        <v>56.688000000000002</v>
      </c>
    </row>
    <row r="26" spans="1:9">
      <c r="A26" s="29">
        <v>11</v>
      </c>
      <c r="B26" s="34" t="s">
        <v>198</v>
      </c>
      <c r="C26" s="44" t="s">
        <v>25</v>
      </c>
      <c r="D26" s="34" t="s">
        <v>201</v>
      </c>
      <c r="E26" s="118">
        <v>7.71</v>
      </c>
      <c r="F26" s="33">
        <f>E26*258</f>
        <v>1989.18</v>
      </c>
      <c r="G26" s="33">
        <v>10.39</v>
      </c>
      <c r="H26" s="119">
        <f t="shared" si="1"/>
        <v>20.6675802</v>
      </c>
      <c r="I26" s="13">
        <f>F26/12*G26</f>
        <v>1722.2983500000003</v>
      </c>
    </row>
    <row r="27" spans="1:9">
      <c r="A27" s="203" t="s">
        <v>140</v>
      </c>
      <c r="B27" s="203"/>
      <c r="C27" s="203"/>
      <c r="D27" s="203"/>
      <c r="E27" s="203"/>
      <c r="F27" s="203"/>
      <c r="G27" s="203"/>
      <c r="H27" s="203"/>
      <c r="I27" s="203"/>
    </row>
    <row r="28" spans="1:9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</row>
    <row r="29" spans="1:9">
      <c r="A29" s="29">
        <v>12</v>
      </c>
      <c r="B29" s="71" t="s">
        <v>103</v>
      </c>
      <c r="C29" s="72" t="s">
        <v>104</v>
      </c>
      <c r="D29" s="71" t="s">
        <v>200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4" si="2">SUM(F29*G29/1000)</f>
        <v>3.3774305759999996</v>
      </c>
      <c r="I29" s="13">
        <f t="shared" ref="I29:I32" si="3">F29/6*G29</f>
        <v>562.90509599999996</v>
      </c>
    </row>
    <row r="30" spans="1:9" ht="45">
      <c r="A30" s="29">
        <v>13</v>
      </c>
      <c r="B30" s="71" t="s">
        <v>128</v>
      </c>
      <c r="C30" s="72" t="s">
        <v>104</v>
      </c>
      <c r="D30" s="71" t="s">
        <v>199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2"/>
        <v>3.8655693179999995</v>
      </c>
      <c r="I30" s="13">
        <f t="shared" si="3"/>
        <v>644.26155299999994</v>
      </c>
    </row>
    <row r="31" spans="1:9">
      <c r="A31" s="29">
        <v>14</v>
      </c>
      <c r="B31" s="71" t="s">
        <v>27</v>
      </c>
      <c r="C31" s="72" t="s">
        <v>104</v>
      </c>
      <c r="D31" s="71" t="s">
        <v>206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2"/>
        <v>1.2584827709999999</v>
      </c>
      <c r="I31" s="13">
        <f>F31*G31</f>
        <v>1258.482771</v>
      </c>
    </row>
    <row r="32" spans="1:9">
      <c r="A32" s="29">
        <v>15</v>
      </c>
      <c r="B32" s="71" t="s">
        <v>143</v>
      </c>
      <c r="C32" s="72" t="s">
        <v>40</v>
      </c>
      <c r="D32" s="71" t="s">
        <v>203</v>
      </c>
      <c r="E32" s="74">
        <v>5</v>
      </c>
      <c r="F32" s="74">
        <f>E32*155/100</f>
        <v>7.75</v>
      </c>
      <c r="G32" s="74">
        <v>1707.63</v>
      </c>
      <c r="H32" s="78">
        <f t="shared" si="2"/>
        <v>13.234132500000001</v>
      </c>
      <c r="I32" s="13">
        <f t="shared" si="3"/>
        <v>2205.6887500000003</v>
      </c>
    </row>
    <row r="33" spans="1:9" hidden="1">
      <c r="A33" s="29"/>
      <c r="B33" s="34" t="s">
        <v>64</v>
      </c>
      <c r="C33" s="44" t="s">
        <v>32</v>
      </c>
      <c r="D33" s="34" t="s">
        <v>66</v>
      </c>
      <c r="E33" s="121"/>
      <c r="F33" s="33">
        <v>2</v>
      </c>
      <c r="G33" s="33">
        <v>250.92</v>
      </c>
      <c r="H33" s="119">
        <f t="shared" si="2"/>
        <v>0.50183999999999995</v>
      </c>
      <c r="I33" s="13">
        <v>0</v>
      </c>
    </row>
    <row r="34" spans="1:9" hidden="1">
      <c r="A34" s="29"/>
      <c r="B34" s="34" t="s">
        <v>65</v>
      </c>
      <c r="C34" s="44" t="s">
        <v>31</v>
      </c>
      <c r="D34" s="34" t="s">
        <v>66</v>
      </c>
      <c r="E34" s="121"/>
      <c r="F34" s="33">
        <v>1</v>
      </c>
      <c r="G34" s="33">
        <v>1490.31</v>
      </c>
      <c r="H34" s="119">
        <f t="shared" si="2"/>
        <v>1.49031</v>
      </c>
      <c r="I34" s="13"/>
    </row>
    <row r="35" spans="1:9" hidden="1">
      <c r="A35" s="29"/>
      <c r="B35" s="93" t="s">
        <v>5</v>
      </c>
      <c r="C35" s="72"/>
      <c r="D35" s="71"/>
      <c r="E35" s="73"/>
      <c r="F35" s="74"/>
      <c r="G35" s="74"/>
      <c r="H35" s="78" t="s">
        <v>123</v>
      </c>
      <c r="I35" s="79"/>
    </row>
    <row r="36" spans="1:9" hidden="1">
      <c r="A36" s="29">
        <v>6</v>
      </c>
      <c r="B36" s="71" t="s">
        <v>26</v>
      </c>
      <c r="C36" s="72" t="s">
        <v>31</v>
      </c>
      <c r="D36" s="71"/>
      <c r="E36" s="73"/>
      <c r="F36" s="74">
        <v>3</v>
      </c>
      <c r="G36" s="74">
        <v>2003</v>
      </c>
      <c r="H36" s="78">
        <f t="shared" ref="H36:H42" si="4">SUM(F36*G36/1000)</f>
        <v>6.0090000000000003</v>
      </c>
      <c r="I36" s="13">
        <f t="shared" ref="I36:I40" si="5">F36/6*G36</f>
        <v>1001.5</v>
      </c>
    </row>
    <row r="37" spans="1:9" hidden="1">
      <c r="A37" s="29">
        <v>7</v>
      </c>
      <c r="B37" s="71" t="s">
        <v>67</v>
      </c>
      <c r="C37" s="72" t="s">
        <v>29</v>
      </c>
      <c r="D37" s="71" t="s">
        <v>144</v>
      </c>
      <c r="E37" s="74">
        <v>160.6</v>
      </c>
      <c r="F37" s="74">
        <f>SUM(E37*18/1000)</f>
        <v>2.8907999999999996</v>
      </c>
      <c r="G37" s="74">
        <v>2757.78</v>
      </c>
      <c r="H37" s="78">
        <f t="shared" si="4"/>
        <v>7.972190423999999</v>
      </c>
      <c r="I37" s="13">
        <f t="shared" si="5"/>
        <v>1328.698404</v>
      </c>
    </row>
    <row r="38" spans="1:9" hidden="1">
      <c r="A38" s="29">
        <v>8</v>
      </c>
      <c r="B38" s="71" t="s">
        <v>68</v>
      </c>
      <c r="C38" s="72" t="s">
        <v>29</v>
      </c>
      <c r="D38" s="71" t="s">
        <v>120</v>
      </c>
      <c r="E38" s="73">
        <v>89.1</v>
      </c>
      <c r="F38" s="74">
        <f>SUM(E38*155/1000)</f>
        <v>13.810499999999999</v>
      </c>
      <c r="G38" s="74">
        <v>460.02</v>
      </c>
      <c r="H38" s="78">
        <f t="shared" si="4"/>
        <v>6.3531062099999991</v>
      </c>
      <c r="I38" s="13">
        <f t="shared" si="5"/>
        <v>1058.8510349999999</v>
      </c>
    </row>
    <row r="39" spans="1:9" hidden="1">
      <c r="A39" s="29">
        <v>12</v>
      </c>
      <c r="B39" s="71" t="s">
        <v>145</v>
      </c>
      <c r="C39" s="72" t="s">
        <v>146</v>
      </c>
      <c r="D39" s="71" t="s">
        <v>66</v>
      </c>
      <c r="E39" s="73"/>
      <c r="F39" s="74">
        <v>39</v>
      </c>
      <c r="G39" s="74">
        <v>301.70999999999998</v>
      </c>
      <c r="H39" s="78">
        <f t="shared" si="4"/>
        <v>11.766689999999999</v>
      </c>
      <c r="I39" s="13">
        <v>0</v>
      </c>
    </row>
    <row r="40" spans="1:9" ht="60" hidden="1">
      <c r="A40" s="29">
        <v>9</v>
      </c>
      <c r="B40" s="71" t="s">
        <v>83</v>
      </c>
      <c r="C40" s="72" t="s">
        <v>104</v>
      </c>
      <c r="D40" s="71" t="s">
        <v>147</v>
      </c>
      <c r="E40" s="74">
        <v>46.5</v>
      </c>
      <c r="F40" s="74">
        <f>SUM(E40*35/1000)</f>
        <v>1.6274999999999999</v>
      </c>
      <c r="G40" s="74">
        <v>7611.16</v>
      </c>
      <c r="H40" s="78">
        <f t="shared" si="4"/>
        <v>12.3871629</v>
      </c>
      <c r="I40" s="13">
        <f t="shared" si="5"/>
        <v>2064.5271499999999</v>
      </c>
    </row>
    <row r="41" spans="1:9" hidden="1">
      <c r="A41" s="94">
        <v>10</v>
      </c>
      <c r="B41" s="83" t="s">
        <v>106</v>
      </c>
      <c r="C41" s="84" t="s">
        <v>104</v>
      </c>
      <c r="D41" s="83" t="s">
        <v>69</v>
      </c>
      <c r="E41" s="85">
        <v>89.1</v>
      </c>
      <c r="F41" s="85">
        <f>SUM(E41*45/1000)</f>
        <v>4.0094999999999992</v>
      </c>
      <c r="G41" s="85">
        <v>562.25</v>
      </c>
      <c r="H41" s="82">
        <f t="shared" si="4"/>
        <v>2.2543413749999996</v>
      </c>
      <c r="I41" s="95">
        <f>(F41/7.5*1.5)*G41</f>
        <v>450.86827499999993</v>
      </c>
    </row>
    <row r="42" spans="1:9" hidden="1">
      <c r="A42" s="29">
        <v>11</v>
      </c>
      <c r="B42" s="14" t="s">
        <v>70</v>
      </c>
      <c r="C42" s="16" t="s">
        <v>32</v>
      </c>
      <c r="D42" s="14"/>
      <c r="E42" s="18"/>
      <c r="F42" s="13">
        <v>0.9</v>
      </c>
      <c r="G42" s="13">
        <v>974.83</v>
      </c>
      <c r="H42" s="13">
        <f t="shared" si="4"/>
        <v>0.8773470000000001</v>
      </c>
      <c r="I42" s="95">
        <f>(F42/7.5*1.5)*G42</f>
        <v>175.46940000000004</v>
      </c>
    </row>
    <row r="43" spans="1:9">
      <c r="A43" s="194" t="s">
        <v>129</v>
      </c>
      <c r="B43" s="195"/>
      <c r="C43" s="195"/>
      <c r="D43" s="195"/>
      <c r="E43" s="195"/>
      <c r="F43" s="195"/>
      <c r="G43" s="195"/>
      <c r="H43" s="195"/>
      <c r="I43" s="196"/>
    </row>
    <row r="44" spans="1:9">
      <c r="A44" s="29">
        <v>16</v>
      </c>
      <c r="B44" s="39" t="s">
        <v>107</v>
      </c>
      <c r="C44" s="40" t="s">
        <v>104</v>
      </c>
      <c r="D44" s="39" t="s">
        <v>201</v>
      </c>
      <c r="E44" s="17">
        <v>1632.75</v>
      </c>
      <c r="F44" s="36">
        <f>SUM(E44*2/1000)</f>
        <v>3.2654999999999998</v>
      </c>
      <c r="G44" s="36">
        <v>1062</v>
      </c>
      <c r="H44" s="36">
        <f t="shared" ref="H44:H53" si="6">SUM(F44*G44/1000)</f>
        <v>3.4679609999999998</v>
      </c>
      <c r="I44" s="13">
        <f>F44/2*G44</f>
        <v>1733.9804999999999</v>
      </c>
    </row>
    <row r="45" spans="1:9">
      <c r="A45" s="29">
        <v>17</v>
      </c>
      <c r="B45" s="39" t="s">
        <v>35</v>
      </c>
      <c r="C45" s="40" t="s">
        <v>104</v>
      </c>
      <c r="D45" s="39" t="s">
        <v>201</v>
      </c>
      <c r="E45" s="17">
        <v>53.75</v>
      </c>
      <c r="F45" s="36">
        <f>SUM(E45*2/1000)</f>
        <v>0.1075</v>
      </c>
      <c r="G45" s="36">
        <v>759.98</v>
      </c>
      <c r="H45" s="36">
        <f t="shared" si="6"/>
        <v>8.1697850000000002E-2</v>
      </c>
      <c r="I45" s="13">
        <f t="shared" ref="I45:I52" si="7">F45/2*G45</f>
        <v>40.848925000000001</v>
      </c>
    </row>
    <row r="46" spans="1:9">
      <c r="A46" s="29">
        <v>18</v>
      </c>
      <c r="B46" s="39" t="s">
        <v>36</v>
      </c>
      <c r="C46" s="40" t="s">
        <v>104</v>
      </c>
      <c r="D46" s="39" t="s">
        <v>201</v>
      </c>
      <c r="E46" s="17">
        <v>2285.6</v>
      </c>
      <c r="F46" s="36">
        <f>SUM(E46*2/1000)</f>
        <v>4.5712000000000002</v>
      </c>
      <c r="G46" s="36">
        <v>759.98</v>
      </c>
      <c r="H46" s="36">
        <f t="shared" si="6"/>
        <v>3.4740205760000005</v>
      </c>
      <c r="I46" s="13">
        <f t="shared" si="7"/>
        <v>1737.0102880000002</v>
      </c>
    </row>
    <row r="47" spans="1:9">
      <c r="A47" s="29">
        <v>19</v>
      </c>
      <c r="B47" s="39" t="s">
        <v>37</v>
      </c>
      <c r="C47" s="40" t="s">
        <v>104</v>
      </c>
      <c r="D47" s="39" t="s">
        <v>201</v>
      </c>
      <c r="E47" s="17">
        <v>1860</v>
      </c>
      <c r="F47" s="36">
        <f>SUM(E47*2/1000)</f>
        <v>3.72</v>
      </c>
      <c r="G47" s="36">
        <v>795.82</v>
      </c>
      <c r="H47" s="36">
        <f t="shared" si="6"/>
        <v>2.9604504</v>
      </c>
      <c r="I47" s="13">
        <f t="shared" si="7"/>
        <v>1480.2252000000001</v>
      </c>
    </row>
    <row r="48" spans="1:9">
      <c r="A48" s="29">
        <v>20</v>
      </c>
      <c r="B48" s="39" t="s">
        <v>33</v>
      </c>
      <c r="C48" s="40" t="s">
        <v>34</v>
      </c>
      <c r="D48" s="39" t="s">
        <v>201</v>
      </c>
      <c r="E48" s="17">
        <v>120.5</v>
      </c>
      <c r="F48" s="36">
        <f>SUM(E48*2/100)</f>
        <v>2.41</v>
      </c>
      <c r="G48" s="36">
        <v>95.49</v>
      </c>
      <c r="H48" s="36">
        <f t="shared" si="6"/>
        <v>0.2301309</v>
      </c>
      <c r="I48" s="13">
        <f t="shared" si="7"/>
        <v>115.06545</v>
      </c>
    </row>
    <row r="49" spans="1:9">
      <c r="A49" s="29">
        <v>21</v>
      </c>
      <c r="B49" s="39" t="s">
        <v>56</v>
      </c>
      <c r="C49" s="40" t="s">
        <v>104</v>
      </c>
      <c r="D49" s="39" t="s">
        <v>201</v>
      </c>
      <c r="E49" s="17">
        <v>3053.4</v>
      </c>
      <c r="F49" s="36">
        <f>SUM(E49*5/1000)</f>
        <v>15.266999999999999</v>
      </c>
      <c r="G49" s="36">
        <v>1591.6</v>
      </c>
      <c r="H49" s="36">
        <f t="shared" si="6"/>
        <v>24.298957199999997</v>
      </c>
      <c r="I49" s="13">
        <f>F49/5*G49</f>
        <v>4859.79144</v>
      </c>
    </row>
    <row r="50" spans="1:9" ht="45">
      <c r="A50" s="29">
        <v>22</v>
      </c>
      <c r="B50" s="39" t="s">
        <v>108</v>
      </c>
      <c r="C50" s="40" t="s">
        <v>104</v>
      </c>
      <c r="D50" s="39" t="s">
        <v>201</v>
      </c>
      <c r="E50" s="17">
        <f>E49</f>
        <v>3053.4</v>
      </c>
      <c r="F50" s="36">
        <f>SUM(E50*2/1000)</f>
        <v>6.1067999999999998</v>
      </c>
      <c r="G50" s="36">
        <v>1591.6</v>
      </c>
      <c r="H50" s="36">
        <f t="shared" si="6"/>
        <v>9.7195828800000008</v>
      </c>
      <c r="I50" s="13">
        <f t="shared" si="7"/>
        <v>4859.79144</v>
      </c>
    </row>
    <row r="51" spans="1:9" ht="30">
      <c r="A51" s="29">
        <v>23</v>
      </c>
      <c r="B51" s="39" t="s">
        <v>124</v>
      </c>
      <c r="C51" s="40" t="s">
        <v>38</v>
      </c>
      <c r="D51" s="39" t="s">
        <v>201</v>
      </c>
      <c r="E51" s="17">
        <v>20</v>
      </c>
      <c r="F51" s="36">
        <f>SUM(E51*2/100)</f>
        <v>0.4</v>
      </c>
      <c r="G51" s="36">
        <v>3581.13</v>
      </c>
      <c r="H51" s="36">
        <f t="shared" si="6"/>
        <v>1.4324520000000003</v>
      </c>
      <c r="I51" s="13">
        <f t="shared" si="7"/>
        <v>716.22600000000011</v>
      </c>
    </row>
    <row r="52" spans="1:9">
      <c r="A52" s="29">
        <v>24</v>
      </c>
      <c r="B52" s="39" t="s">
        <v>39</v>
      </c>
      <c r="C52" s="40" t="s">
        <v>40</v>
      </c>
      <c r="D52" s="39" t="s">
        <v>201</v>
      </c>
      <c r="E52" s="17">
        <v>1</v>
      </c>
      <c r="F52" s="36">
        <v>0.02</v>
      </c>
      <c r="G52" s="36">
        <v>7412.92</v>
      </c>
      <c r="H52" s="36">
        <f t="shared" si="6"/>
        <v>0.14825839999999998</v>
      </c>
      <c r="I52" s="13">
        <f t="shared" si="7"/>
        <v>74.129199999999997</v>
      </c>
    </row>
    <row r="53" spans="1:9">
      <c r="A53" s="29">
        <v>25</v>
      </c>
      <c r="B53" s="39" t="s">
        <v>41</v>
      </c>
      <c r="C53" s="40" t="s">
        <v>89</v>
      </c>
      <c r="D53" s="176">
        <v>43600</v>
      </c>
      <c r="E53" s="17">
        <v>128</v>
      </c>
      <c r="F53" s="36">
        <f>SUM(E53)*3</f>
        <v>384</v>
      </c>
      <c r="G53" s="37">
        <v>86.15</v>
      </c>
      <c r="H53" s="36">
        <f t="shared" si="6"/>
        <v>33.081600000000009</v>
      </c>
      <c r="I53" s="13">
        <f>E53*G53</f>
        <v>11027.2</v>
      </c>
    </row>
    <row r="54" spans="1:9">
      <c r="A54" s="194" t="s">
        <v>130</v>
      </c>
      <c r="B54" s="195"/>
      <c r="C54" s="195"/>
      <c r="D54" s="195"/>
      <c r="E54" s="195"/>
      <c r="F54" s="195"/>
      <c r="G54" s="195"/>
      <c r="H54" s="195"/>
      <c r="I54" s="196"/>
    </row>
    <row r="55" spans="1:9" hidden="1">
      <c r="A55" s="96"/>
      <c r="B55" s="104" t="s">
        <v>43</v>
      </c>
      <c r="C55" s="98"/>
      <c r="D55" s="97"/>
      <c r="E55" s="99"/>
      <c r="F55" s="100"/>
      <c r="G55" s="100"/>
      <c r="H55" s="105"/>
      <c r="I55" s="106"/>
    </row>
    <row r="56" spans="1:9" ht="30" hidden="1">
      <c r="A56" s="29">
        <v>12</v>
      </c>
      <c r="B56" s="71" t="s">
        <v>109</v>
      </c>
      <c r="C56" s="72" t="s">
        <v>93</v>
      </c>
      <c r="D56" s="71" t="s">
        <v>110</v>
      </c>
      <c r="E56" s="73">
        <v>92.7</v>
      </c>
      <c r="F56" s="74">
        <f>SUM(E56*6/100)</f>
        <v>5.5620000000000003</v>
      </c>
      <c r="G56" s="13">
        <v>2431.1799999999998</v>
      </c>
      <c r="H56" s="78">
        <f>SUM(F56*G56/1000)</f>
        <v>13.522223159999999</v>
      </c>
      <c r="I56" s="13">
        <f>G56*0.12</f>
        <v>291.74159999999995</v>
      </c>
    </row>
    <row r="57" spans="1:9" hidden="1">
      <c r="A57" s="29">
        <v>13</v>
      </c>
      <c r="B57" s="71" t="s">
        <v>125</v>
      </c>
      <c r="C57" s="72" t="s">
        <v>126</v>
      </c>
      <c r="D57" s="14" t="s">
        <v>66</v>
      </c>
      <c r="E57" s="73"/>
      <c r="F57" s="74">
        <v>2</v>
      </c>
      <c r="G57" s="67">
        <v>1582.05</v>
      </c>
      <c r="H57" s="78">
        <f>SUM(F57*G57/1000)</f>
        <v>3.1640999999999999</v>
      </c>
      <c r="I57" s="13">
        <f>G57*1</f>
        <v>1582.05</v>
      </c>
    </row>
    <row r="58" spans="1:9">
      <c r="A58" s="29"/>
      <c r="B58" s="93" t="s">
        <v>44</v>
      </c>
      <c r="C58" s="72"/>
      <c r="D58" s="71"/>
      <c r="E58" s="73"/>
      <c r="F58" s="74"/>
      <c r="G58" s="74"/>
      <c r="H58" s="75" t="s">
        <v>123</v>
      </c>
      <c r="I58" s="79"/>
    </row>
    <row r="59" spans="1:9" hidden="1">
      <c r="A59" s="29"/>
      <c r="B59" s="34" t="s">
        <v>45</v>
      </c>
      <c r="C59" s="44" t="s">
        <v>93</v>
      </c>
      <c r="D59" s="34" t="s">
        <v>54</v>
      </c>
      <c r="E59" s="123">
        <v>145</v>
      </c>
      <c r="F59" s="33">
        <f>SUM(E59/100)</f>
        <v>1.45</v>
      </c>
      <c r="G59" s="36">
        <v>1040.8399999999999</v>
      </c>
      <c r="H59" s="124">
        <v>9.1679999999999993</v>
      </c>
      <c r="I59" s="13">
        <v>0</v>
      </c>
    </row>
    <row r="60" spans="1:9">
      <c r="A60" s="29">
        <v>26</v>
      </c>
      <c r="B60" s="125" t="s">
        <v>90</v>
      </c>
      <c r="C60" s="126" t="s">
        <v>25</v>
      </c>
      <c r="D60" s="125" t="s">
        <v>206</v>
      </c>
      <c r="E60" s="123">
        <v>200</v>
      </c>
      <c r="F60" s="33">
        <f>SUM(E60*12)</f>
        <v>2400</v>
      </c>
      <c r="G60" s="127">
        <v>1.4</v>
      </c>
      <c r="H60" s="128">
        <f>G60*F60/1000</f>
        <v>3.36</v>
      </c>
      <c r="I60" s="13">
        <f>F60/12*G60</f>
        <v>280</v>
      </c>
    </row>
    <row r="61" spans="1:9">
      <c r="A61" s="29"/>
      <c r="B61" s="102" t="s">
        <v>46</v>
      </c>
      <c r="C61" s="84"/>
      <c r="D61" s="83"/>
      <c r="E61" s="81"/>
      <c r="F61" s="85"/>
      <c r="G61" s="85"/>
      <c r="H61" s="86" t="s">
        <v>123</v>
      </c>
      <c r="I61" s="79"/>
    </row>
    <row r="62" spans="1:9" ht="19.5" customHeight="1">
      <c r="A62" s="29">
        <v>27</v>
      </c>
      <c r="B62" s="56" t="s">
        <v>47</v>
      </c>
      <c r="C62" s="40" t="s">
        <v>89</v>
      </c>
      <c r="D62" s="39" t="s">
        <v>202</v>
      </c>
      <c r="E62" s="17">
        <v>6</v>
      </c>
      <c r="F62" s="33">
        <f>SUM(E62)</f>
        <v>6</v>
      </c>
      <c r="G62" s="36">
        <v>291.68</v>
      </c>
      <c r="H62" s="114">
        <f t="shared" ref="H62:H70" si="8">SUM(F62*G62/1000)</f>
        <v>1.7500799999999999</v>
      </c>
      <c r="I62" s="13">
        <f>G62*2</f>
        <v>583.36</v>
      </c>
    </row>
    <row r="63" spans="1:9" ht="15.75" hidden="1" customHeight="1">
      <c r="A63" s="29"/>
      <c r="B63" s="56" t="s">
        <v>48</v>
      </c>
      <c r="C63" s="40" t="s">
        <v>89</v>
      </c>
      <c r="D63" s="39" t="s">
        <v>66</v>
      </c>
      <c r="E63" s="17">
        <v>4</v>
      </c>
      <c r="F63" s="33">
        <f>SUM(E63)</f>
        <v>4</v>
      </c>
      <c r="G63" s="36">
        <v>100.01</v>
      </c>
      <c r="H63" s="114">
        <f t="shared" si="8"/>
        <v>0.40004000000000001</v>
      </c>
      <c r="I63" s="13">
        <v>0</v>
      </c>
    </row>
    <row r="64" spans="1:9" hidden="1">
      <c r="A64" s="29">
        <v>28</v>
      </c>
      <c r="B64" s="56" t="s">
        <v>49</v>
      </c>
      <c r="C64" s="42" t="s">
        <v>111</v>
      </c>
      <c r="D64" s="39" t="s">
        <v>54</v>
      </c>
      <c r="E64" s="121">
        <v>15552</v>
      </c>
      <c r="F64" s="37">
        <f>SUM(E64/100)</f>
        <v>155.52000000000001</v>
      </c>
      <c r="G64" s="36">
        <v>278.24</v>
      </c>
      <c r="H64" s="114">
        <f t="shared" si="8"/>
        <v>43.271884800000009</v>
      </c>
      <c r="I64" s="13">
        <f>G64*155.52</f>
        <v>43271.884800000007</v>
      </c>
    </row>
    <row r="65" spans="1:9" hidden="1">
      <c r="A65" s="29">
        <v>29</v>
      </c>
      <c r="B65" s="56" t="s">
        <v>50</v>
      </c>
      <c r="C65" s="40" t="s">
        <v>112</v>
      </c>
      <c r="D65" s="39"/>
      <c r="E65" s="121">
        <v>15552</v>
      </c>
      <c r="F65" s="36">
        <f>SUM(E65/1000)</f>
        <v>15.552</v>
      </c>
      <c r="G65" s="36">
        <v>216.68</v>
      </c>
      <c r="H65" s="114">
        <f t="shared" si="8"/>
        <v>3.3698073600000003</v>
      </c>
      <c r="I65" s="13">
        <f>G65*15.552</f>
        <v>3369.8073600000002</v>
      </c>
    </row>
    <row r="66" spans="1:9" hidden="1">
      <c r="A66" s="29">
        <v>30</v>
      </c>
      <c r="B66" s="56" t="s">
        <v>51</v>
      </c>
      <c r="C66" s="40" t="s">
        <v>78</v>
      </c>
      <c r="D66" s="39" t="s">
        <v>54</v>
      </c>
      <c r="E66" s="121">
        <v>2432</v>
      </c>
      <c r="F66" s="36">
        <f>SUM(E66/100)</f>
        <v>24.32</v>
      </c>
      <c r="G66" s="36">
        <v>2720.94</v>
      </c>
      <c r="H66" s="114">
        <f t="shared" si="8"/>
        <v>66.173260800000008</v>
      </c>
      <c r="I66" s="13">
        <f>24.32*G66</f>
        <v>66173.260800000004</v>
      </c>
    </row>
    <row r="67" spans="1:9" hidden="1">
      <c r="A67" s="29">
        <v>31</v>
      </c>
      <c r="B67" s="53" t="s">
        <v>72</v>
      </c>
      <c r="C67" s="40" t="s">
        <v>32</v>
      </c>
      <c r="D67" s="39"/>
      <c r="E67" s="121">
        <v>14.8</v>
      </c>
      <c r="F67" s="36">
        <f>SUM(E67)</f>
        <v>14.8</v>
      </c>
      <c r="G67" s="36">
        <v>42.61</v>
      </c>
      <c r="H67" s="114">
        <f t="shared" si="8"/>
        <v>0.63062800000000008</v>
      </c>
      <c r="I67" s="13">
        <f>14.8*G67</f>
        <v>630.62800000000004</v>
      </c>
    </row>
    <row r="68" spans="1:9" ht="30" hidden="1">
      <c r="A68" s="29">
        <v>32</v>
      </c>
      <c r="B68" s="53" t="s">
        <v>73</v>
      </c>
      <c r="C68" s="40" t="s">
        <v>32</v>
      </c>
      <c r="D68" s="39"/>
      <c r="E68" s="121">
        <f>E67</f>
        <v>14.8</v>
      </c>
      <c r="F68" s="36">
        <f>SUM(E68)</f>
        <v>14.8</v>
      </c>
      <c r="G68" s="36">
        <v>46.04</v>
      </c>
      <c r="H68" s="114">
        <f t="shared" si="8"/>
        <v>0.681392</v>
      </c>
      <c r="I68" s="13">
        <f>G68*14.8</f>
        <v>681.39200000000005</v>
      </c>
    </row>
    <row r="69" spans="1:9" hidden="1">
      <c r="A69" s="29">
        <v>22</v>
      </c>
      <c r="B69" s="39" t="s">
        <v>57</v>
      </c>
      <c r="C69" s="40" t="s">
        <v>58</v>
      </c>
      <c r="D69" s="39" t="s">
        <v>54</v>
      </c>
      <c r="E69" s="17">
        <v>5</v>
      </c>
      <c r="F69" s="33">
        <f>SUM(E69)</f>
        <v>5</v>
      </c>
      <c r="G69" s="36">
        <v>65.42</v>
      </c>
      <c r="H69" s="114">
        <f t="shared" si="8"/>
        <v>0.3271</v>
      </c>
      <c r="I69" s="13">
        <f>G69*4</f>
        <v>261.68</v>
      </c>
    </row>
    <row r="70" spans="1:9">
      <c r="A70" s="29">
        <v>28</v>
      </c>
      <c r="B70" s="39" t="s">
        <v>148</v>
      </c>
      <c r="C70" s="45" t="s">
        <v>149</v>
      </c>
      <c r="D70" s="39"/>
      <c r="E70" s="17">
        <f>E49</f>
        <v>3053.4</v>
      </c>
      <c r="F70" s="33">
        <f>SUM(E70*12)</f>
        <v>36640.800000000003</v>
      </c>
      <c r="G70" s="36">
        <v>2.2799999999999998</v>
      </c>
      <c r="H70" s="114">
        <f t="shared" si="8"/>
        <v>83.541024000000007</v>
      </c>
      <c r="I70" s="13">
        <f>F70/12*G70</f>
        <v>6961.7519999999995</v>
      </c>
    </row>
    <row r="71" spans="1:9" hidden="1">
      <c r="A71" s="29">
        <v>15</v>
      </c>
      <c r="B71" s="165" t="s">
        <v>46</v>
      </c>
      <c r="C71" s="45"/>
      <c r="D71" s="39"/>
      <c r="E71" s="17"/>
      <c r="F71" s="127"/>
      <c r="G71" s="36"/>
      <c r="H71" s="114"/>
      <c r="I71" s="13"/>
    </row>
    <row r="72" spans="1:9" ht="30" hidden="1">
      <c r="A72" s="29">
        <v>16</v>
      </c>
      <c r="B72" s="39" t="s">
        <v>148</v>
      </c>
      <c r="C72" s="45" t="s">
        <v>149</v>
      </c>
      <c r="D72" s="39" t="s">
        <v>162</v>
      </c>
      <c r="E72" s="17"/>
      <c r="F72" s="127"/>
      <c r="G72" s="36">
        <v>2.2799999999999998</v>
      </c>
      <c r="H72" s="114"/>
      <c r="I72" s="13">
        <f>36640.8/12*G72</f>
        <v>6961.7519999999995</v>
      </c>
    </row>
    <row r="73" spans="1:9">
      <c r="A73" s="29"/>
      <c r="B73" s="159" t="s">
        <v>74</v>
      </c>
      <c r="C73" s="16"/>
      <c r="D73" s="14"/>
      <c r="E73" s="18"/>
      <c r="F73" s="13"/>
      <c r="G73" s="13"/>
      <c r="H73" s="87" t="s">
        <v>123</v>
      </c>
      <c r="I73" s="79"/>
    </row>
    <row r="74" spans="1:9" hidden="1">
      <c r="A74" s="29">
        <v>19</v>
      </c>
      <c r="B74" s="39" t="s">
        <v>150</v>
      </c>
      <c r="C74" s="40" t="s">
        <v>151</v>
      </c>
      <c r="D74" s="39" t="s">
        <v>66</v>
      </c>
      <c r="E74" s="17">
        <v>1</v>
      </c>
      <c r="F74" s="36">
        <f>E74</f>
        <v>1</v>
      </c>
      <c r="G74" s="36">
        <v>1029.1199999999999</v>
      </c>
      <c r="H74" s="114">
        <f t="shared" ref="H74:H75" si="9">SUM(F74*G74/1000)</f>
        <v>1.0291199999999998</v>
      </c>
      <c r="I74" s="13">
        <v>0</v>
      </c>
    </row>
    <row r="75" spans="1:9" hidden="1">
      <c r="A75" s="29"/>
      <c r="B75" s="39" t="s">
        <v>152</v>
      </c>
      <c r="C75" s="40" t="s">
        <v>153</v>
      </c>
      <c r="D75" s="129"/>
      <c r="E75" s="17">
        <v>1</v>
      </c>
      <c r="F75" s="36">
        <v>1</v>
      </c>
      <c r="G75" s="36">
        <v>735</v>
      </c>
      <c r="H75" s="114">
        <f t="shared" si="9"/>
        <v>0.73499999999999999</v>
      </c>
      <c r="I75" s="13">
        <v>0</v>
      </c>
    </row>
    <row r="76" spans="1:9" hidden="1">
      <c r="A76" s="29">
        <v>36</v>
      </c>
      <c r="B76" s="39" t="s">
        <v>75</v>
      </c>
      <c r="C76" s="40" t="s">
        <v>76</v>
      </c>
      <c r="D76" s="39" t="s">
        <v>66</v>
      </c>
      <c r="E76" s="17">
        <v>5</v>
      </c>
      <c r="F76" s="33">
        <f>SUM(E76/10)</f>
        <v>0.5</v>
      </c>
      <c r="G76" s="36">
        <v>657.87</v>
      </c>
      <c r="H76" s="114">
        <f>SUM(F76*G76/1000)</f>
        <v>0.32893499999999998</v>
      </c>
      <c r="I76" s="13">
        <f>G76*0.2</f>
        <v>131.57400000000001</v>
      </c>
    </row>
    <row r="77" spans="1:9" hidden="1">
      <c r="A77" s="29"/>
      <c r="B77" s="39" t="s">
        <v>121</v>
      </c>
      <c r="C77" s="40" t="s">
        <v>89</v>
      </c>
      <c r="D77" s="39" t="s">
        <v>66</v>
      </c>
      <c r="E77" s="17">
        <v>1</v>
      </c>
      <c r="F77" s="36">
        <f>E77</f>
        <v>1</v>
      </c>
      <c r="G77" s="36">
        <v>1118.72</v>
      </c>
      <c r="H77" s="114">
        <f>SUM(F77*G77/1000)</f>
        <v>1.1187199999999999</v>
      </c>
      <c r="I77" s="13">
        <v>0</v>
      </c>
    </row>
    <row r="78" spans="1:9" ht="30">
      <c r="A78" s="29">
        <v>29</v>
      </c>
      <c r="B78" s="115" t="s">
        <v>154</v>
      </c>
      <c r="C78" s="116" t="s">
        <v>89</v>
      </c>
      <c r="D78" s="39" t="s">
        <v>201</v>
      </c>
      <c r="E78" s="17">
        <v>2</v>
      </c>
      <c r="F78" s="33">
        <f>E78*12</f>
        <v>24</v>
      </c>
      <c r="G78" s="36">
        <v>53.42</v>
      </c>
      <c r="H78" s="114">
        <f t="shared" ref="H78:H79" si="10">SUM(F78*G78/1000)</f>
        <v>1.2820799999999999</v>
      </c>
      <c r="I78" s="13">
        <f>G78*2</f>
        <v>106.84</v>
      </c>
    </row>
    <row r="79" spans="1:9" ht="30">
      <c r="A79" s="29">
        <v>30</v>
      </c>
      <c r="B79" s="115" t="s">
        <v>155</v>
      </c>
      <c r="C79" s="116" t="s">
        <v>89</v>
      </c>
      <c r="D79" s="39" t="s">
        <v>201</v>
      </c>
      <c r="E79" s="17">
        <v>1</v>
      </c>
      <c r="F79" s="33">
        <f>E79*12</f>
        <v>12</v>
      </c>
      <c r="G79" s="36">
        <v>1194</v>
      </c>
      <c r="H79" s="114">
        <f t="shared" si="10"/>
        <v>14.327999999999999</v>
      </c>
      <c r="I79" s="13">
        <f>G79</f>
        <v>1194</v>
      </c>
    </row>
    <row r="80" spans="1:9" hidden="1">
      <c r="A80" s="29"/>
      <c r="B80" s="90" t="s">
        <v>77</v>
      </c>
      <c r="C80" s="16"/>
      <c r="D80" s="14"/>
      <c r="E80" s="18"/>
      <c r="F80" s="18"/>
      <c r="G80" s="18"/>
      <c r="H80" s="18"/>
      <c r="I80" s="79"/>
    </row>
    <row r="81" spans="1:9" hidden="1">
      <c r="A81" s="29"/>
      <c r="B81" s="41" t="s">
        <v>115</v>
      </c>
      <c r="C81" s="42" t="s">
        <v>78</v>
      </c>
      <c r="D81" s="56"/>
      <c r="E81" s="59"/>
      <c r="F81" s="37">
        <v>0.3</v>
      </c>
      <c r="G81" s="37">
        <v>3619.09</v>
      </c>
      <c r="H81" s="114">
        <f t="shared" ref="H81" si="11">SUM(F81*G81/1000)</f>
        <v>1.0857270000000001</v>
      </c>
      <c r="I81" s="13">
        <v>0</v>
      </c>
    </row>
    <row r="82" spans="1:9" ht="28.5" hidden="1">
      <c r="A82" s="29"/>
      <c r="B82" s="159" t="s">
        <v>113</v>
      </c>
      <c r="C82" s="90"/>
      <c r="D82" s="31"/>
      <c r="E82" s="32"/>
      <c r="F82" s="91"/>
      <c r="G82" s="91"/>
      <c r="H82" s="92">
        <f>SUM(H56:H81)</f>
        <v>249.26712212000004</v>
      </c>
      <c r="I82" s="77"/>
    </row>
    <row r="83" spans="1:9">
      <c r="A83" s="194" t="s">
        <v>131</v>
      </c>
      <c r="B83" s="195"/>
      <c r="C83" s="195"/>
      <c r="D83" s="195"/>
      <c r="E83" s="195"/>
      <c r="F83" s="195"/>
      <c r="G83" s="195"/>
      <c r="H83" s="195"/>
      <c r="I83" s="196"/>
    </row>
    <row r="84" spans="1:9">
      <c r="A84" s="96">
        <v>31</v>
      </c>
      <c r="B84" s="34" t="s">
        <v>116</v>
      </c>
      <c r="C84" s="40" t="s">
        <v>55</v>
      </c>
      <c r="D84" s="103"/>
      <c r="E84" s="36">
        <v>3053.4</v>
      </c>
      <c r="F84" s="36">
        <f>SUM(E84*12)</f>
        <v>36640.800000000003</v>
      </c>
      <c r="G84" s="36">
        <v>3.1</v>
      </c>
      <c r="H84" s="114">
        <f>SUM(F84*G84/1000)</f>
        <v>113.58648000000001</v>
      </c>
      <c r="I84" s="101">
        <f>F84/12*G84</f>
        <v>9465.5400000000009</v>
      </c>
    </row>
    <row r="85" spans="1:9" ht="30">
      <c r="A85" s="29">
        <v>32</v>
      </c>
      <c r="B85" s="39" t="s">
        <v>79</v>
      </c>
      <c r="C85" s="40"/>
      <c r="D85" s="103"/>
      <c r="E85" s="121">
        <v>3053.4</v>
      </c>
      <c r="F85" s="36">
        <f>E85*12</f>
        <v>36640.800000000003</v>
      </c>
      <c r="G85" s="36">
        <v>3.5</v>
      </c>
      <c r="H85" s="114">
        <f>F85*G85/1000</f>
        <v>128.24280000000002</v>
      </c>
      <c r="I85" s="13">
        <f>F85/12*G85</f>
        <v>10686.9</v>
      </c>
    </row>
    <row r="86" spans="1:9">
      <c r="A86" s="29"/>
      <c r="B86" s="43" t="s">
        <v>81</v>
      </c>
      <c r="C86" s="90"/>
      <c r="D86" s="88"/>
      <c r="E86" s="91"/>
      <c r="F86" s="91"/>
      <c r="G86" s="91"/>
      <c r="H86" s="92">
        <f>SUM(H85)</f>
        <v>128.24280000000002</v>
      </c>
      <c r="I86" s="91">
        <f>I85+I84+I79+I78+I70+I62+I60+I53+I52+I51+I50+I49+I48+I47+I46+I45+I44+I32+I31+I30+I29+I26+I25+I24+I23+I22+I21+I20+I19+I18+I17+I16</f>
        <v>74128.371821666675</v>
      </c>
    </row>
    <row r="87" spans="1:9">
      <c r="A87" s="183" t="s">
        <v>60</v>
      </c>
      <c r="B87" s="184"/>
      <c r="C87" s="184"/>
      <c r="D87" s="184"/>
      <c r="E87" s="184"/>
      <c r="F87" s="184"/>
      <c r="G87" s="184"/>
      <c r="H87" s="184"/>
      <c r="I87" s="185"/>
    </row>
    <row r="88" spans="1:9" ht="30">
      <c r="A88" s="29">
        <v>33</v>
      </c>
      <c r="B88" s="115" t="s">
        <v>192</v>
      </c>
      <c r="C88" s="116" t="s">
        <v>38</v>
      </c>
      <c r="D88" s="52"/>
      <c r="E88" s="13"/>
      <c r="F88" s="13">
        <v>128</v>
      </c>
      <c r="G88" s="13">
        <v>3914.31</v>
      </c>
      <c r="H88" s="89">
        <f t="shared" ref="H88" si="12">G88*F88/1000</f>
        <v>501.03167999999999</v>
      </c>
      <c r="I88" s="13">
        <f>G88*0.01</f>
        <v>39.143099999999997</v>
      </c>
    </row>
    <row r="89" spans="1:9">
      <c r="A89" s="29">
        <v>34</v>
      </c>
      <c r="B89" s="115" t="s">
        <v>159</v>
      </c>
      <c r="C89" s="116" t="s">
        <v>127</v>
      </c>
      <c r="D89" s="117"/>
      <c r="E89" s="36"/>
      <c r="F89" s="36">
        <v>4</v>
      </c>
      <c r="G89" s="13">
        <v>273</v>
      </c>
      <c r="H89" s="114">
        <f>F89*G89/1000</f>
        <v>1.0920000000000001</v>
      </c>
      <c r="I89" s="13">
        <f>G89*13</f>
        <v>3549</v>
      </c>
    </row>
    <row r="90" spans="1:9" ht="15.75" customHeight="1">
      <c r="A90" s="29">
        <v>35</v>
      </c>
      <c r="B90" s="115" t="s">
        <v>175</v>
      </c>
      <c r="C90" s="116" t="s">
        <v>89</v>
      </c>
      <c r="D90" s="117"/>
      <c r="E90" s="36"/>
      <c r="F90" s="36"/>
      <c r="G90" s="13">
        <v>794.28</v>
      </c>
      <c r="H90" s="114"/>
      <c r="I90" s="13">
        <f t="shared" ref="I90:I95" si="13">G90*1</f>
        <v>794.28</v>
      </c>
    </row>
    <row r="91" spans="1:9">
      <c r="A91" s="29">
        <v>36</v>
      </c>
      <c r="B91" s="115" t="s">
        <v>177</v>
      </c>
      <c r="C91" s="116" t="s">
        <v>89</v>
      </c>
      <c r="D91" s="117"/>
      <c r="E91" s="36"/>
      <c r="F91" s="36"/>
      <c r="G91" s="13">
        <v>15.58</v>
      </c>
      <c r="H91" s="114"/>
      <c r="I91" s="13">
        <f t="shared" si="13"/>
        <v>15.58</v>
      </c>
    </row>
    <row r="92" spans="1:9">
      <c r="A92" s="29">
        <v>37</v>
      </c>
      <c r="B92" s="115" t="s">
        <v>178</v>
      </c>
      <c r="C92" s="116" t="s">
        <v>89</v>
      </c>
      <c r="D92" s="117"/>
      <c r="E92" s="36"/>
      <c r="F92" s="36"/>
      <c r="G92" s="13">
        <v>53.93</v>
      </c>
      <c r="H92" s="114"/>
      <c r="I92" s="13">
        <f t="shared" si="13"/>
        <v>53.93</v>
      </c>
    </row>
    <row r="93" spans="1:9">
      <c r="A93" s="29">
        <v>38</v>
      </c>
      <c r="B93" s="174" t="s">
        <v>193</v>
      </c>
      <c r="C93" s="116" t="s">
        <v>89</v>
      </c>
      <c r="D93" s="117"/>
      <c r="E93" s="36"/>
      <c r="F93" s="36"/>
      <c r="G93" s="13">
        <v>86</v>
      </c>
      <c r="H93" s="114"/>
      <c r="I93" s="13">
        <f t="shared" si="13"/>
        <v>86</v>
      </c>
    </row>
    <row r="94" spans="1:9">
      <c r="A94" s="29">
        <v>39</v>
      </c>
      <c r="B94" s="175" t="s">
        <v>194</v>
      </c>
      <c r="C94" s="116" t="s">
        <v>89</v>
      </c>
      <c r="D94" s="117"/>
      <c r="E94" s="36"/>
      <c r="F94" s="36"/>
      <c r="G94" s="13">
        <v>39</v>
      </c>
      <c r="H94" s="114"/>
      <c r="I94" s="13">
        <f t="shared" si="13"/>
        <v>39</v>
      </c>
    </row>
    <row r="95" spans="1:9">
      <c r="A95" s="29">
        <v>40</v>
      </c>
      <c r="B95" s="175" t="s">
        <v>195</v>
      </c>
      <c r="C95" s="116" t="s">
        <v>89</v>
      </c>
      <c r="D95" s="117"/>
      <c r="E95" s="36"/>
      <c r="F95" s="36"/>
      <c r="G95" s="13">
        <v>49</v>
      </c>
      <c r="H95" s="114"/>
      <c r="I95" s="13">
        <f t="shared" si="13"/>
        <v>49</v>
      </c>
    </row>
    <row r="96" spans="1:9">
      <c r="A96" s="29"/>
      <c r="B96" s="50" t="s">
        <v>52</v>
      </c>
      <c r="C96" s="46"/>
      <c r="D96" s="54"/>
      <c r="E96" s="46">
        <v>1</v>
      </c>
      <c r="F96" s="46"/>
      <c r="G96" s="46"/>
      <c r="H96" s="46"/>
      <c r="I96" s="32">
        <f>SUM(I88:I95)</f>
        <v>4625.9331000000002</v>
      </c>
    </row>
    <row r="97" spans="1:9">
      <c r="A97" s="29"/>
      <c r="B97" s="52" t="s">
        <v>80</v>
      </c>
      <c r="C97" s="15"/>
      <c r="D97" s="15"/>
      <c r="E97" s="47"/>
      <c r="F97" s="47"/>
      <c r="G97" s="48"/>
      <c r="H97" s="48"/>
      <c r="I97" s="17">
        <v>0</v>
      </c>
    </row>
    <row r="98" spans="1:9">
      <c r="A98" s="55"/>
      <c r="B98" s="51" t="s">
        <v>141</v>
      </c>
      <c r="C98" s="35"/>
      <c r="D98" s="35"/>
      <c r="E98" s="35"/>
      <c r="F98" s="35"/>
      <c r="G98" s="35"/>
      <c r="H98" s="35"/>
      <c r="I98" s="49">
        <f>I86+I96</f>
        <v>78754.30492166667</v>
      </c>
    </row>
    <row r="99" spans="1:9" ht="15.75">
      <c r="A99" s="186" t="s">
        <v>214</v>
      </c>
      <c r="B99" s="186"/>
      <c r="C99" s="186"/>
      <c r="D99" s="186"/>
      <c r="E99" s="186"/>
      <c r="F99" s="186"/>
      <c r="G99" s="186"/>
      <c r="H99" s="186"/>
      <c r="I99" s="186"/>
    </row>
    <row r="100" spans="1:9" ht="15.75">
      <c r="A100" s="62"/>
      <c r="B100" s="187" t="s">
        <v>215</v>
      </c>
      <c r="C100" s="187"/>
      <c r="D100" s="187"/>
      <c r="E100" s="187"/>
      <c r="F100" s="187"/>
      <c r="G100" s="187"/>
      <c r="H100" s="70"/>
      <c r="I100" s="3"/>
    </row>
    <row r="101" spans="1:9">
      <c r="A101" s="161"/>
      <c r="B101" s="188" t="s">
        <v>6</v>
      </c>
      <c r="C101" s="188"/>
      <c r="D101" s="188"/>
      <c r="E101" s="188"/>
      <c r="F101" s="188"/>
      <c r="G101" s="188"/>
      <c r="H101" s="24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189" t="s">
        <v>7</v>
      </c>
      <c r="B103" s="189"/>
      <c r="C103" s="189"/>
      <c r="D103" s="189"/>
      <c r="E103" s="189"/>
      <c r="F103" s="189"/>
      <c r="G103" s="189"/>
      <c r="H103" s="189"/>
      <c r="I103" s="189"/>
    </row>
    <row r="104" spans="1:9" ht="15.75">
      <c r="A104" s="189" t="s">
        <v>8</v>
      </c>
      <c r="B104" s="189"/>
      <c r="C104" s="189"/>
      <c r="D104" s="189"/>
      <c r="E104" s="189"/>
      <c r="F104" s="189"/>
      <c r="G104" s="189"/>
      <c r="H104" s="189"/>
      <c r="I104" s="189"/>
    </row>
    <row r="105" spans="1:9" ht="15.75">
      <c r="A105" s="190" t="s">
        <v>61</v>
      </c>
      <c r="B105" s="190"/>
      <c r="C105" s="190"/>
      <c r="D105" s="190"/>
      <c r="E105" s="190"/>
      <c r="F105" s="190"/>
      <c r="G105" s="190"/>
      <c r="H105" s="190"/>
      <c r="I105" s="190"/>
    </row>
    <row r="106" spans="1:9" ht="15.75">
      <c r="A106" s="11"/>
    </row>
    <row r="107" spans="1:9" ht="15.75">
      <c r="A107" s="191" t="s">
        <v>9</v>
      </c>
      <c r="B107" s="191"/>
      <c r="C107" s="191"/>
      <c r="D107" s="191"/>
      <c r="E107" s="191"/>
      <c r="F107" s="191"/>
      <c r="G107" s="191"/>
      <c r="H107" s="191"/>
      <c r="I107" s="191"/>
    </row>
    <row r="108" spans="1:9" ht="15.75">
      <c r="A108" s="4"/>
    </row>
    <row r="109" spans="1:9" ht="15.75">
      <c r="B109" s="163" t="s">
        <v>10</v>
      </c>
      <c r="C109" s="192" t="s">
        <v>88</v>
      </c>
      <c r="D109" s="192"/>
      <c r="E109" s="192"/>
      <c r="F109" s="68"/>
      <c r="I109" s="164"/>
    </row>
    <row r="110" spans="1:9">
      <c r="A110" s="161"/>
      <c r="C110" s="188" t="s">
        <v>11</v>
      </c>
      <c r="D110" s="188"/>
      <c r="E110" s="188"/>
      <c r="F110" s="24"/>
      <c r="I110" s="162" t="s">
        <v>12</v>
      </c>
    </row>
    <row r="111" spans="1:9" ht="15.75">
      <c r="A111" s="25"/>
      <c r="C111" s="12"/>
      <c r="D111" s="12"/>
      <c r="G111" s="12"/>
      <c r="H111" s="12"/>
    </row>
    <row r="112" spans="1:9" ht="15.75">
      <c r="B112" s="163" t="s">
        <v>13</v>
      </c>
      <c r="C112" s="193"/>
      <c r="D112" s="193"/>
      <c r="E112" s="193"/>
      <c r="F112" s="69"/>
      <c r="I112" s="164"/>
    </row>
    <row r="113" spans="1:9">
      <c r="A113" s="161"/>
      <c r="C113" s="182" t="s">
        <v>11</v>
      </c>
      <c r="D113" s="182"/>
      <c r="E113" s="182"/>
      <c r="F113" s="161"/>
      <c r="I113" s="162" t="s">
        <v>12</v>
      </c>
    </row>
    <row r="114" spans="1:9" ht="15.75">
      <c r="A114" s="4" t="s">
        <v>14</v>
      </c>
    </row>
    <row r="115" spans="1:9">
      <c r="A115" s="180" t="s">
        <v>15</v>
      </c>
      <c r="B115" s="180"/>
      <c r="C115" s="180"/>
      <c r="D115" s="180"/>
      <c r="E115" s="180"/>
      <c r="F115" s="180"/>
      <c r="G115" s="180"/>
      <c r="H115" s="180"/>
      <c r="I115" s="180"/>
    </row>
    <row r="116" spans="1:9" ht="42.75" customHeight="1">
      <c r="A116" s="181" t="s">
        <v>16</v>
      </c>
      <c r="B116" s="181"/>
      <c r="C116" s="181"/>
      <c r="D116" s="181"/>
      <c r="E116" s="181"/>
      <c r="F116" s="181"/>
      <c r="G116" s="181"/>
      <c r="H116" s="181"/>
      <c r="I116" s="181"/>
    </row>
    <row r="117" spans="1:9" ht="42" customHeight="1">
      <c r="A117" s="181" t="s">
        <v>17</v>
      </c>
      <c r="B117" s="181"/>
      <c r="C117" s="181"/>
      <c r="D117" s="181"/>
      <c r="E117" s="181"/>
      <c r="F117" s="181"/>
      <c r="G117" s="181"/>
      <c r="H117" s="181"/>
      <c r="I117" s="181"/>
    </row>
    <row r="118" spans="1:9" ht="36" customHeight="1">
      <c r="A118" s="181" t="s">
        <v>21</v>
      </c>
      <c r="B118" s="181"/>
      <c r="C118" s="181"/>
      <c r="D118" s="181"/>
      <c r="E118" s="181"/>
      <c r="F118" s="181"/>
      <c r="G118" s="181"/>
      <c r="H118" s="181"/>
      <c r="I118" s="181"/>
    </row>
    <row r="119" spans="1:9" ht="15.75">
      <c r="A119" s="181" t="s">
        <v>20</v>
      </c>
      <c r="B119" s="181"/>
      <c r="C119" s="181"/>
      <c r="D119" s="181"/>
      <c r="E119" s="181"/>
      <c r="F119" s="181"/>
      <c r="G119" s="181"/>
      <c r="H119" s="181"/>
      <c r="I119" s="181"/>
    </row>
  </sheetData>
  <mergeCells count="28"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  <mergeCell ref="A105:I105"/>
    <mergeCell ref="A15:I15"/>
    <mergeCell ref="A27:I27"/>
    <mergeCell ref="A43:I43"/>
    <mergeCell ref="A54:I54"/>
    <mergeCell ref="A83:I83"/>
    <mergeCell ref="A87:I87"/>
    <mergeCell ref="A99:I99"/>
    <mergeCell ref="B100:G100"/>
    <mergeCell ref="B101:G101"/>
    <mergeCell ref="A103:I103"/>
    <mergeCell ref="A104:I104"/>
    <mergeCell ref="A14:I14"/>
    <mergeCell ref="A3:I3"/>
    <mergeCell ref="A4:I4"/>
    <mergeCell ref="A5:I5"/>
    <mergeCell ref="A8:I8"/>
    <mergeCell ref="A10:I10"/>
  </mergeCells>
  <pageMargins left="0.31496062992125984" right="0.31496062992125984" top="0.74803149606299213" bottom="0.74803149606299213" header="0.31496062992125984" footer="0.31496062992125984"/>
  <pageSetup paperSize="9" scale="68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0"/>
  <sheetViews>
    <sheetView workbookViewId="0">
      <selection activeCell="B16" sqref="B16:I26"/>
    </sheetView>
  </sheetViews>
  <sheetFormatPr defaultRowHeight="15"/>
  <cols>
    <col min="1" max="1" width="12.5703125" customWidth="1"/>
    <col min="2" max="2" width="46.140625" customWidth="1"/>
    <col min="3" max="3" width="17.85546875" customWidth="1"/>
    <col min="4" max="4" width="16.85546875" customWidth="1"/>
    <col min="5" max="6" width="0" hidden="1" customWidth="1"/>
    <col min="7" max="7" width="16.42578125" customWidth="1"/>
    <col min="8" max="8" width="0" hidden="1" customWidth="1"/>
    <col min="9" max="9" width="18.28515625" customWidth="1"/>
  </cols>
  <sheetData>
    <row r="1" spans="1:9" ht="15.75">
      <c r="A1" s="27" t="s">
        <v>168</v>
      </c>
      <c r="I1" s="26"/>
    </row>
    <row r="2" spans="1:9" ht="15.75">
      <c r="A2" s="28" t="s">
        <v>62</v>
      </c>
    </row>
    <row r="3" spans="1:9" ht="15.75">
      <c r="A3" s="197" t="s">
        <v>167</v>
      </c>
      <c r="B3" s="197"/>
      <c r="C3" s="197"/>
      <c r="D3" s="197"/>
      <c r="E3" s="197"/>
      <c r="F3" s="197"/>
      <c r="G3" s="197"/>
      <c r="H3" s="197"/>
      <c r="I3" s="197"/>
    </row>
    <row r="4" spans="1:9" ht="34.5" customHeight="1">
      <c r="A4" s="198" t="s">
        <v>117</v>
      </c>
      <c r="B4" s="198"/>
      <c r="C4" s="198"/>
      <c r="D4" s="198"/>
      <c r="E4" s="198"/>
      <c r="F4" s="198"/>
      <c r="G4" s="198"/>
      <c r="H4" s="198"/>
      <c r="I4" s="198"/>
    </row>
    <row r="5" spans="1:9" ht="15.75">
      <c r="A5" s="197" t="s">
        <v>196</v>
      </c>
      <c r="B5" s="199"/>
      <c r="C5" s="199"/>
      <c r="D5" s="199"/>
      <c r="E5" s="199"/>
      <c r="F5" s="199"/>
      <c r="G5" s="199"/>
      <c r="H5" s="199"/>
      <c r="I5" s="199"/>
    </row>
    <row r="6" spans="1:9" ht="15.75">
      <c r="A6" s="2"/>
      <c r="B6" s="167"/>
      <c r="C6" s="167"/>
      <c r="D6" s="167"/>
      <c r="E6" s="167"/>
      <c r="F6" s="167"/>
      <c r="G6" s="167"/>
      <c r="H6" s="167"/>
      <c r="I6" s="30">
        <v>43646</v>
      </c>
    </row>
    <row r="7" spans="1:9" ht="15.75">
      <c r="B7" s="170"/>
      <c r="C7" s="170"/>
      <c r="D7" s="170"/>
      <c r="E7" s="3"/>
      <c r="F7" s="3"/>
      <c r="G7" s="3"/>
      <c r="H7" s="3"/>
    </row>
    <row r="8" spans="1:9" ht="102" customHeight="1">
      <c r="A8" s="200" t="s">
        <v>169</v>
      </c>
      <c r="B8" s="200"/>
      <c r="C8" s="200"/>
      <c r="D8" s="200"/>
      <c r="E8" s="200"/>
      <c r="F8" s="200"/>
      <c r="G8" s="200"/>
      <c r="H8" s="200"/>
      <c r="I8" s="200"/>
    </row>
    <row r="9" spans="1:9" ht="15.75">
      <c r="A9" s="4"/>
    </row>
    <row r="10" spans="1:9" ht="48.75" customHeight="1">
      <c r="A10" s="201" t="s">
        <v>158</v>
      </c>
      <c r="B10" s="201"/>
      <c r="C10" s="201"/>
      <c r="D10" s="201"/>
      <c r="E10" s="201"/>
      <c r="F10" s="201"/>
      <c r="G10" s="201"/>
      <c r="H10" s="201"/>
      <c r="I10" s="201"/>
    </row>
    <row r="11" spans="1:9" ht="15.75">
      <c r="A11" s="4"/>
    </row>
    <row r="12" spans="1:9" ht="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2" t="s">
        <v>59</v>
      </c>
      <c r="B14" s="202"/>
      <c r="C14" s="202"/>
      <c r="D14" s="202"/>
      <c r="E14" s="202"/>
      <c r="F14" s="202"/>
      <c r="G14" s="202"/>
      <c r="H14" s="202"/>
      <c r="I14" s="202"/>
    </row>
    <row r="15" spans="1:9">
      <c r="A15" s="203" t="s">
        <v>4</v>
      </c>
      <c r="B15" s="203"/>
      <c r="C15" s="203"/>
      <c r="D15" s="203"/>
      <c r="E15" s="203"/>
      <c r="F15" s="203"/>
      <c r="G15" s="203"/>
      <c r="H15" s="203"/>
      <c r="I15" s="203"/>
    </row>
    <row r="16" spans="1:9" ht="15.75" customHeight="1">
      <c r="A16" s="29">
        <v>1</v>
      </c>
      <c r="B16" s="71" t="s">
        <v>84</v>
      </c>
      <c r="C16" s="72" t="s">
        <v>93</v>
      </c>
      <c r="D16" s="71" t="s">
        <v>199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</row>
    <row r="17" spans="1:9" ht="17.25" customHeight="1">
      <c r="A17" s="29">
        <v>2</v>
      </c>
      <c r="B17" s="71" t="s">
        <v>85</v>
      </c>
      <c r="C17" s="72" t="s">
        <v>93</v>
      </c>
      <c r="D17" s="71" t="s">
        <v>200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</row>
    <row r="18" spans="1:9" ht="19.5" customHeight="1">
      <c r="A18" s="29">
        <v>3</v>
      </c>
      <c r="B18" s="71" t="s">
        <v>86</v>
      </c>
      <c r="C18" s="72" t="s">
        <v>93</v>
      </c>
      <c r="D18" s="71" t="s">
        <v>201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</row>
    <row r="19" spans="1:9" hidden="1">
      <c r="A19" s="29">
        <v>4</v>
      </c>
      <c r="B19" s="71" t="s">
        <v>100</v>
      </c>
      <c r="C19" s="72" t="s">
        <v>101</v>
      </c>
      <c r="D19" s="71" t="s">
        <v>102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</row>
    <row r="20" spans="1:9" hidden="1">
      <c r="A20" s="29">
        <v>5</v>
      </c>
      <c r="B20" s="71" t="s">
        <v>92</v>
      </c>
      <c r="C20" s="72" t="s">
        <v>93</v>
      </c>
      <c r="D20" s="71" t="s">
        <v>142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</row>
    <row r="21" spans="1:9" hidden="1">
      <c r="A21" s="29">
        <v>6</v>
      </c>
      <c r="B21" s="71" t="s">
        <v>98</v>
      </c>
      <c r="C21" s="72" t="s">
        <v>93</v>
      </c>
      <c r="D21" s="71" t="s">
        <v>142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</row>
    <row r="22" spans="1:9" hidden="1">
      <c r="A22" s="29">
        <v>7</v>
      </c>
      <c r="B22" s="71" t="s">
        <v>94</v>
      </c>
      <c r="C22" s="72" t="s">
        <v>53</v>
      </c>
      <c r="D22" s="71" t="s">
        <v>102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</row>
    <row r="23" spans="1:9" hidden="1">
      <c r="A23" s="29">
        <v>8</v>
      </c>
      <c r="B23" s="71" t="s">
        <v>95</v>
      </c>
      <c r="C23" s="72" t="s">
        <v>53</v>
      </c>
      <c r="D23" s="71" t="s">
        <v>102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</row>
    <row r="24" spans="1:9" hidden="1">
      <c r="A24" s="29">
        <v>9</v>
      </c>
      <c r="B24" s="71" t="s">
        <v>96</v>
      </c>
      <c r="C24" s="72" t="s">
        <v>53</v>
      </c>
      <c r="D24" s="71" t="s">
        <v>102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</row>
    <row r="25" spans="1:9" ht="30" hidden="1">
      <c r="A25" s="94">
        <v>10</v>
      </c>
      <c r="B25" s="83" t="s">
        <v>99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</row>
    <row r="26" spans="1:9" ht="14.25" customHeight="1">
      <c r="A26" s="29">
        <v>4</v>
      </c>
      <c r="B26" s="34" t="s">
        <v>198</v>
      </c>
      <c r="C26" s="44" t="s">
        <v>25</v>
      </c>
      <c r="D26" s="34" t="s">
        <v>201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</row>
    <row r="27" spans="1:9">
      <c r="A27" s="203" t="s">
        <v>140</v>
      </c>
      <c r="B27" s="203"/>
      <c r="C27" s="203"/>
      <c r="D27" s="203"/>
      <c r="E27" s="203"/>
      <c r="F27" s="203"/>
      <c r="G27" s="203"/>
      <c r="H27" s="203"/>
      <c r="I27" s="203"/>
    </row>
    <row r="28" spans="1:9" ht="19.5" customHeight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</row>
    <row r="29" spans="1:9" ht="16.5" customHeight="1">
      <c r="A29" s="29">
        <v>5</v>
      </c>
      <c r="B29" s="71" t="s">
        <v>103</v>
      </c>
      <c r="C29" s="72" t="s">
        <v>104</v>
      </c>
      <c r="D29" s="71" t="s">
        <v>200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4" si="1">SUM(F29*G29/1000)</f>
        <v>3.3774305759999996</v>
      </c>
      <c r="I29" s="13">
        <f t="shared" ref="I29:I32" si="2">F29/6*G29</f>
        <v>562.90509599999996</v>
      </c>
    </row>
    <row r="30" spans="1:9" ht="45.75" customHeight="1">
      <c r="A30" s="29">
        <v>6</v>
      </c>
      <c r="B30" s="71" t="s">
        <v>128</v>
      </c>
      <c r="C30" s="72" t="s">
        <v>104</v>
      </c>
      <c r="D30" s="71" t="s">
        <v>199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1"/>
        <v>3.8655693179999995</v>
      </c>
      <c r="I30" s="13">
        <f t="shared" si="2"/>
        <v>644.26155299999994</v>
      </c>
    </row>
    <row r="31" spans="1:9" hidden="1">
      <c r="A31" s="29">
        <v>15</v>
      </c>
      <c r="B31" s="71" t="s">
        <v>27</v>
      </c>
      <c r="C31" s="72" t="s">
        <v>104</v>
      </c>
      <c r="D31" s="71" t="s">
        <v>206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1"/>
        <v>1.2584827709999999</v>
      </c>
      <c r="I31" s="13">
        <f>F31*G31</f>
        <v>1258.482771</v>
      </c>
    </row>
    <row r="32" spans="1:9" ht="21" customHeight="1">
      <c r="A32" s="29">
        <v>7</v>
      </c>
      <c r="B32" s="71" t="s">
        <v>143</v>
      </c>
      <c r="C32" s="72" t="s">
        <v>40</v>
      </c>
      <c r="D32" s="71" t="s">
        <v>203</v>
      </c>
      <c r="E32" s="74">
        <v>5</v>
      </c>
      <c r="F32" s="74">
        <f>E32*155/100</f>
        <v>7.75</v>
      </c>
      <c r="G32" s="74">
        <v>1707.63</v>
      </c>
      <c r="H32" s="78">
        <f t="shared" si="1"/>
        <v>13.234132500000001</v>
      </c>
      <c r="I32" s="13">
        <f t="shared" si="2"/>
        <v>2205.6887500000003</v>
      </c>
    </row>
    <row r="33" spans="1:9" ht="21" hidden="1" customHeight="1">
      <c r="A33" s="29"/>
      <c r="B33" s="34" t="s">
        <v>64</v>
      </c>
      <c r="C33" s="44" t="s">
        <v>32</v>
      </c>
      <c r="D33" s="34" t="s">
        <v>66</v>
      </c>
      <c r="E33" s="121"/>
      <c r="F33" s="33">
        <v>2</v>
      </c>
      <c r="G33" s="33">
        <v>250.92</v>
      </c>
      <c r="H33" s="119">
        <f t="shared" si="1"/>
        <v>0.50183999999999995</v>
      </c>
      <c r="I33" s="13">
        <v>0</v>
      </c>
    </row>
    <row r="34" spans="1:9" ht="24" hidden="1" customHeight="1">
      <c r="A34" s="29"/>
      <c r="B34" s="34" t="s">
        <v>65</v>
      </c>
      <c r="C34" s="44" t="s">
        <v>31</v>
      </c>
      <c r="D34" s="34" t="s">
        <v>66</v>
      </c>
      <c r="E34" s="121"/>
      <c r="F34" s="33">
        <v>1</v>
      </c>
      <c r="G34" s="33">
        <v>1490.31</v>
      </c>
      <c r="H34" s="119">
        <f t="shared" si="1"/>
        <v>1.49031</v>
      </c>
      <c r="I34" s="13"/>
    </row>
    <row r="35" spans="1:9" ht="29.25" hidden="1" customHeight="1">
      <c r="A35" s="29"/>
      <c r="B35" s="93" t="s">
        <v>5</v>
      </c>
      <c r="C35" s="72"/>
      <c r="D35" s="71"/>
      <c r="E35" s="73"/>
      <c r="F35" s="74"/>
      <c r="G35" s="74"/>
      <c r="H35" s="78" t="s">
        <v>123</v>
      </c>
      <c r="I35" s="79"/>
    </row>
    <row r="36" spans="1:9" ht="29.25" hidden="1" customHeight="1">
      <c r="A36" s="29">
        <v>6</v>
      </c>
      <c r="B36" s="71" t="s">
        <v>26</v>
      </c>
      <c r="C36" s="72" t="s">
        <v>31</v>
      </c>
      <c r="D36" s="71"/>
      <c r="E36" s="73"/>
      <c r="F36" s="74">
        <v>3</v>
      </c>
      <c r="G36" s="74">
        <v>2003</v>
      </c>
      <c r="H36" s="78">
        <f t="shared" ref="H36:H42" si="3">SUM(F36*G36/1000)</f>
        <v>6.0090000000000003</v>
      </c>
      <c r="I36" s="13">
        <f t="shared" ref="I36:I40" si="4">F36/6*G36</f>
        <v>1001.5</v>
      </c>
    </row>
    <row r="37" spans="1:9" ht="22.5" hidden="1" customHeight="1">
      <c r="A37" s="29">
        <v>7</v>
      </c>
      <c r="B37" s="71" t="s">
        <v>67</v>
      </c>
      <c r="C37" s="72" t="s">
        <v>29</v>
      </c>
      <c r="D37" s="71" t="s">
        <v>144</v>
      </c>
      <c r="E37" s="74">
        <v>160.6</v>
      </c>
      <c r="F37" s="74">
        <f>SUM(E37*18/1000)</f>
        <v>2.8907999999999996</v>
      </c>
      <c r="G37" s="74">
        <v>2757.78</v>
      </c>
      <c r="H37" s="78">
        <f t="shared" si="3"/>
        <v>7.972190423999999</v>
      </c>
      <c r="I37" s="13">
        <f t="shared" si="4"/>
        <v>1328.698404</v>
      </c>
    </row>
    <row r="38" spans="1:9" ht="24" hidden="1" customHeight="1">
      <c r="A38" s="29">
        <v>8</v>
      </c>
      <c r="B38" s="71" t="s">
        <v>68</v>
      </c>
      <c r="C38" s="72" t="s">
        <v>29</v>
      </c>
      <c r="D38" s="71" t="s">
        <v>120</v>
      </c>
      <c r="E38" s="73">
        <v>89.1</v>
      </c>
      <c r="F38" s="74">
        <f>SUM(E38*155/1000)</f>
        <v>13.810499999999999</v>
      </c>
      <c r="G38" s="74">
        <v>460.02</v>
      </c>
      <c r="H38" s="78">
        <f t="shared" si="3"/>
        <v>6.3531062099999991</v>
      </c>
      <c r="I38" s="13">
        <f t="shared" si="4"/>
        <v>1058.8510349999999</v>
      </c>
    </row>
    <row r="39" spans="1:9" ht="20.25" hidden="1" customHeight="1">
      <c r="A39" s="29">
        <v>12</v>
      </c>
      <c r="B39" s="71" t="s">
        <v>145</v>
      </c>
      <c r="C39" s="72" t="s">
        <v>146</v>
      </c>
      <c r="D39" s="71" t="s">
        <v>66</v>
      </c>
      <c r="E39" s="73"/>
      <c r="F39" s="74">
        <v>39</v>
      </c>
      <c r="G39" s="74">
        <v>301.70999999999998</v>
      </c>
      <c r="H39" s="78">
        <f t="shared" si="3"/>
        <v>11.766689999999999</v>
      </c>
      <c r="I39" s="13">
        <v>0</v>
      </c>
    </row>
    <row r="40" spans="1:9" ht="20.25" hidden="1" customHeight="1">
      <c r="A40" s="29">
        <v>9</v>
      </c>
      <c r="B40" s="71" t="s">
        <v>83</v>
      </c>
      <c r="C40" s="72" t="s">
        <v>104</v>
      </c>
      <c r="D40" s="71" t="s">
        <v>147</v>
      </c>
      <c r="E40" s="74">
        <v>46.5</v>
      </c>
      <c r="F40" s="74">
        <f>SUM(E40*35/1000)</f>
        <v>1.6274999999999999</v>
      </c>
      <c r="G40" s="74">
        <v>7611.16</v>
      </c>
      <c r="H40" s="78">
        <f t="shared" si="3"/>
        <v>12.3871629</v>
      </c>
      <c r="I40" s="13">
        <f t="shared" si="4"/>
        <v>2064.5271499999999</v>
      </c>
    </row>
    <row r="41" spans="1:9" ht="16.5" hidden="1" customHeight="1">
      <c r="A41" s="94">
        <v>10</v>
      </c>
      <c r="B41" s="83" t="s">
        <v>106</v>
      </c>
      <c r="C41" s="84" t="s">
        <v>104</v>
      </c>
      <c r="D41" s="83" t="s">
        <v>69</v>
      </c>
      <c r="E41" s="85">
        <v>89.1</v>
      </c>
      <c r="F41" s="85">
        <f>SUM(E41*45/1000)</f>
        <v>4.0094999999999992</v>
      </c>
      <c r="G41" s="85">
        <v>562.25</v>
      </c>
      <c r="H41" s="82">
        <f t="shared" si="3"/>
        <v>2.2543413749999996</v>
      </c>
      <c r="I41" s="95">
        <f>(F41/7.5*1.5)*G41</f>
        <v>450.86827499999993</v>
      </c>
    </row>
    <row r="42" spans="1:9" ht="15.75" hidden="1" customHeight="1">
      <c r="A42" s="29">
        <v>11</v>
      </c>
      <c r="B42" s="14" t="s">
        <v>70</v>
      </c>
      <c r="C42" s="16" t="s">
        <v>32</v>
      </c>
      <c r="D42" s="14"/>
      <c r="E42" s="18"/>
      <c r="F42" s="13">
        <v>0.9</v>
      </c>
      <c r="G42" s="13">
        <v>974.83</v>
      </c>
      <c r="H42" s="13">
        <f t="shared" si="3"/>
        <v>0.8773470000000001</v>
      </c>
      <c r="I42" s="95">
        <f>(F42/7.5*1.5)*G42</f>
        <v>175.46940000000004</v>
      </c>
    </row>
    <row r="43" spans="1:9" ht="19.5" hidden="1" customHeight="1">
      <c r="A43" s="194" t="s">
        <v>129</v>
      </c>
      <c r="B43" s="195"/>
      <c r="C43" s="195"/>
      <c r="D43" s="195"/>
      <c r="E43" s="195"/>
      <c r="F43" s="195"/>
      <c r="G43" s="195"/>
      <c r="H43" s="195"/>
      <c r="I43" s="196"/>
    </row>
    <row r="44" spans="1:9" ht="20.25" hidden="1" customHeight="1">
      <c r="A44" s="29">
        <v>18</v>
      </c>
      <c r="B44" s="39" t="s">
        <v>107</v>
      </c>
      <c r="C44" s="40" t="s">
        <v>104</v>
      </c>
      <c r="D44" s="39" t="s">
        <v>42</v>
      </c>
      <c r="E44" s="17">
        <v>1632.75</v>
      </c>
      <c r="F44" s="36">
        <f>SUM(E44*2/1000)</f>
        <v>3.2654999999999998</v>
      </c>
      <c r="G44" s="36">
        <v>1062</v>
      </c>
      <c r="H44" s="36">
        <f t="shared" ref="H44:H53" si="5">SUM(F44*G44/1000)</f>
        <v>3.4679609999999998</v>
      </c>
      <c r="I44" s="13">
        <f>F44/2*G44</f>
        <v>1733.9804999999999</v>
      </c>
    </row>
    <row r="45" spans="1:9" ht="17.25" hidden="1" customHeight="1">
      <c r="A45" s="29">
        <v>19</v>
      </c>
      <c r="B45" s="39" t="s">
        <v>35</v>
      </c>
      <c r="C45" s="40" t="s">
        <v>104</v>
      </c>
      <c r="D45" s="39" t="s">
        <v>42</v>
      </c>
      <c r="E45" s="17">
        <v>53.75</v>
      </c>
      <c r="F45" s="36">
        <f>SUM(E45*2/1000)</f>
        <v>0.1075</v>
      </c>
      <c r="G45" s="36">
        <v>759.98</v>
      </c>
      <c r="H45" s="36">
        <f t="shared" si="5"/>
        <v>8.1697850000000002E-2</v>
      </c>
      <c r="I45" s="13">
        <f t="shared" ref="I45:I52" si="6">F45/2*G45</f>
        <v>40.848925000000001</v>
      </c>
    </row>
    <row r="46" spans="1:9" ht="20.25" hidden="1" customHeight="1">
      <c r="A46" s="29">
        <v>20</v>
      </c>
      <c r="B46" s="39" t="s">
        <v>36</v>
      </c>
      <c r="C46" s="40" t="s">
        <v>104</v>
      </c>
      <c r="D46" s="39" t="s">
        <v>42</v>
      </c>
      <c r="E46" s="17">
        <v>2285.6</v>
      </c>
      <c r="F46" s="36">
        <f>SUM(E46*2/1000)</f>
        <v>4.5712000000000002</v>
      </c>
      <c r="G46" s="36">
        <v>759.98</v>
      </c>
      <c r="H46" s="36">
        <f t="shared" si="5"/>
        <v>3.4740205760000005</v>
      </c>
      <c r="I46" s="13">
        <f t="shared" si="6"/>
        <v>1737.0102880000002</v>
      </c>
    </row>
    <row r="47" spans="1:9" ht="19.5" hidden="1" customHeight="1">
      <c r="A47" s="29">
        <v>21</v>
      </c>
      <c r="B47" s="39" t="s">
        <v>37</v>
      </c>
      <c r="C47" s="40" t="s">
        <v>104</v>
      </c>
      <c r="D47" s="39" t="s">
        <v>42</v>
      </c>
      <c r="E47" s="17">
        <v>1860</v>
      </c>
      <c r="F47" s="36">
        <f>SUM(E47*2/1000)</f>
        <v>3.72</v>
      </c>
      <c r="G47" s="36">
        <v>795.82</v>
      </c>
      <c r="H47" s="36">
        <f t="shared" si="5"/>
        <v>2.9604504</v>
      </c>
      <c r="I47" s="13">
        <f t="shared" si="6"/>
        <v>1480.2252000000001</v>
      </c>
    </row>
    <row r="48" spans="1:9" ht="18.75" hidden="1" customHeight="1">
      <c r="A48" s="29">
        <v>22</v>
      </c>
      <c r="B48" s="39" t="s">
        <v>33</v>
      </c>
      <c r="C48" s="40" t="s">
        <v>34</v>
      </c>
      <c r="D48" s="39" t="s">
        <v>42</v>
      </c>
      <c r="E48" s="17">
        <v>120.5</v>
      </c>
      <c r="F48" s="36">
        <f>SUM(E48*2/100)</f>
        <v>2.41</v>
      </c>
      <c r="G48" s="36">
        <v>95.49</v>
      </c>
      <c r="H48" s="36">
        <f t="shared" si="5"/>
        <v>0.2301309</v>
      </c>
      <c r="I48" s="13">
        <f t="shared" si="6"/>
        <v>115.06545</v>
      </c>
    </row>
    <row r="49" spans="1:9" ht="19.5" hidden="1" customHeight="1">
      <c r="A49" s="29">
        <v>23</v>
      </c>
      <c r="B49" s="39" t="s">
        <v>56</v>
      </c>
      <c r="C49" s="40" t="s">
        <v>104</v>
      </c>
      <c r="D49" s="39" t="s">
        <v>132</v>
      </c>
      <c r="E49" s="17">
        <v>3053.4</v>
      </c>
      <c r="F49" s="36">
        <f>SUM(E49*5/1000)</f>
        <v>15.266999999999999</v>
      </c>
      <c r="G49" s="36">
        <v>1591.6</v>
      </c>
      <c r="H49" s="36">
        <f t="shared" si="5"/>
        <v>24.298957199999997</v>
      </c>
      <c r="I49" s="13">
        <f>F49/5*G49</f>
        <v>4859.79144</v>
      </c>
    </row>
    <row r="50" spans="1:9" ht="20.25" hidden="1" customHeight="1">
      <c r="A50" s="29">
        <v>24</v>
      </c>
      <c r="B50" s="39" t="s">
        <v>108</v>
      </c>
      <c r="C50" s="40" t="s">
        <v>104</v>
      </c>
      <c r="D50" s="39" t="s">
        <v>42</v>
      </c>
      <c r="E50" s="17">
        <f>E49</f>
        <v>3053.4</v>
      </c>
      <c r="F50" s="36">
        <f>SUM(E50*2/1000)</f>
        <v>6.1067999999999998</v>
      </c>
      <c r="G50" s="36">
        <v>1591.6</v>
      </c>
      <c r="H50" s="36">
        <f t="shared" si="5"/>
        <v>9.7195828800000008</v>
      </c>
      <c r="I50" s="13">
        <f t="shared" si="6"/>
        <v>4859.79144</v>
      </c>
    </row>
    <row r="51" spans="1:9" ht="21" hidden="1" customHeight="1">
      <c r="A51" s="29">
        <v>25</v>
      </c>
      <c r="B51" s="39" t="s">
        <v>124</v>
      </c>
      <c r="C51" s="40" t="s">
        <v>38</v>
      </c>
      <c r="D51" s="39" t="s">
        <v>42</v>
      </c>
      <c r="E51" s="17">
        <v>20</v>
      </c>
      <c r="F51" s="36">
        <f>SUM(E51*2/100)</f>
        <v>0.4</v>
      </c>
      <c r="G51" s="36">
        <v>3581.13</v>
      </c>
      <c r="H51" s="36">
        <f t="shared" si="5"/>
        <v>1.4324520000000003</v>
      </c>
      <c r="I51" s="13">
        <f t="shared" si="6"/>
        <v>716.22600000000011</v>
      </c>
    </row>
    <row r="52" spans="1:9" ht="24" hidden="1" customHeight="1">
      <c r="A52" s="29">
        <v>26</v>
      </c>
      <c r="B52" s="39" t="s">
        <v>39</v>
      </c>
      <c r="C52" s="40" t="s">
        <v>40</v>
      </c>
      <c r="D52" s="39" t="s">
        <v>42</v>
      </c>
      <c r="E52" s="17">
        <v>1</v>
      </c>
      <c r="F52" s="36">
        <v>0.02</v>
      </c>
      <c r="G52" s="36">
        <v>7412.92</v>
      </c>
      <c r="H52" s="36">
        <f t="shared" si="5"/>
        <v>0.14825839999999998</v>
      </c>
      <c r="I52" s="13">
        <f t="shared" si="6"/>
        <v>74.129199999999997</v>
      </c>
    </row>
    <row r="53" spans="1:9" ht="17.25" hidden="1" customHeight="1">
      <c r="A53" s="29">
        <v>27</v>
      </c>
      <c r="B53" s="39" t="s">
        <v>41</v>
      </c>
      <c r="C53" s="40" t="s">
        <v>89</v>
      </c>
      <c r="D53" s="39" t="s">
        <v>71</v>
      </c>
      <c r="E53" s="17">
        <v>128</v>
      </c>
      <c r="F53" s="36">
        <f>SUM(E53)*3</f>
        <v>384</v>
      </c>
      <c r="G53" s="37">
        <v>86.15</v>
      </c>
      <c r="H53" s="36">
        <f t="shared" si="5"/>
        <v>33.081600000000009</v>
      </c>
      <c r="I53" s="13">
        <f>E53*G53</f>
        <v>11027.2</v>
      </c>
    </row>
    <row r="54" spans="1:9">
      <c r="A54" s="194" t="s">
        <v>134</v>
      </c>
      <c r="B54" s="195"/>
      <c r="C54" s="195"/>
      <c r="D54" s="195"/>
      <c r="E54" s="195"/>
      <c r="F54" s="195"/>
      <c r="G54" s="195"/>
      <c r="H54" s="195"/>
      <c r="I54" s="196"/>
    </row>
    <row r="55" spans="1:9" hidden="1">
      <c r="A55" s="96"/>
      <c r="B55" s="104" t="s">
        <v>43</v>
      </c>
      <c r="C55" s="98"/>
      <c r="D55" s="97"/>
      <c r="E55" s="99"/>
      <c r="F55" s="100"/>
      <c r="G55" s="100"/>
      <c r="H55" s="105"/>
      <c r="I55" s="106"/>
    </row>
    <row r="56" spans="1:9" ht="45" hidden="1">
      <c r="A56" s="29">
        <v>12</v>
      </c>
      <c r="B56" s="71" t="s">
        <v>109</v>
      </c>
      <c r="C56" s="72" t="s">
        <v>93</v>
      </c>
      <c r="D56" s="71" t="s">
        <v>110</v>
      </c>
      <c r="E56" s="73">
        <v>92.7</v>
      </c>
      <c r="F56" s="74">
        <f>SUM(E56*6/100)</f>
        <v>5.5620000000000003</v>
      </c>
      <c r="G56" s="13">
        <v>2431.1799999999998</v>
      </c>
      <c r="H56" s="78">
        <f>SUM(F56*G56/1000)</f>
        <v>13.522223159999999</v>
      </c>
      <c r="I56" s="13">
        <f>G56*0.12</f>
        <v>291.74159999999995</v>
      </c>
    </row>
    <row r="57" spans="1:9" ht="30" hidden="1">
      <c r="A57" s="29">
        <v>13</v>
      </c>
      <c r="B57" s="71" t="s">
        <v>125</v>
      </c>
      <c r="C57" s="72" t="s">
        <v>126</v>
      </c>
      <c r="D57" s="14" t="s">
        <v>66</v>
      </c>
      <c r="E57" s="73"/>
      <c r="F57" s="74">
        <v>2</v>
      </c>
      <c r="G57" s="67">
        <v>1582.05</v>
      </c>
      <c r="H57" s="78">
        <f>SUM(F57*G57/1000)</f>
        <v>3.1640999999999999</v>
      </c>
      <c r="I57" s="13">
        <f>G57*1</f>
        <v>1582.05</v>
      </c>
    </row>
    <row r="58" spans="1:9" ht="16.5" customHeight="1">
      <c r="A58" s="29"/>
      <c r="B58" s="93" t="s">
        <v>44</v>
      </c>
      <c r="C58" s="72"/>
      <c r="D58" s="71"/>
      <c r="E58" s="73"/>
      <c r="F58" s="74"/>
      <c r="G58" s="74"/>
      <c r="H58" s="75" t="s">
        <v>123</v>
      </c>
      <c r="I58" s="79"/>
    </row>
    <row r="59" spans="1:9" hidden="1">
      <c r="A59" s="29"/>
      <c r="B59" s="34" t="s">
        <v>45</v>
      </c>
      <c r="C59" s="44" t="s">
        <v>93</v>
      </c>
      <c r="D59" s="34" t="s">
        <v>54</v>
      </c>
      <c r="E59" s="123">
        <v>145</v>
      </c>
      <c r="F59" s="33">
        <f>SUM(E59/100)</f>
        <v>1.45</v>
      </c>
      <c r="G59" s="36">
        <v>1040.8399999999999</v>
      </c>
      <c r="H59" s="124">
        <v>9.1679999999999993</v>
      </c>
      <c r="I59" s="13">
        <v>0</v>
      </c>
    </row>
    <row r="60" spans="1:9" ht="21.75" customHeight="1">
      <c r="A60" s="29">
        <v>8</v>
      </c>
      <c r="B60" s="125" t="s">
        <v>90</v>
      </c>
      <c r="C60" s="126" t="s">
        <v>25</v>
      </c>
      <c r="D60" s="125" t="s">
        <v>206</v>
      </c>
      <c r="E60" s="123">
        <v>200</v>
      </c>
      <c r="F60" s="33">
        <f>SUM(E60*12)</f>
        <v>2400</v>
      </c>
      <c r="G60" s="127">
        <v>1.4</v>
      </c>
      <c r="H60" s="128">
        <f>G60*F60/1000</f>
        <v>3.36</v>
      </c>
      <c r="I60" s="13">
        <f>F60/12*G60</f>
        <v>280</v>
      </c>
    </row>
    <row r="61" spans="1:9" ht="18" customHeight="1">
      <c r="A61" s="29"/>
      <c r="B61" s="102" t="s">
        <v>46</v>
      </c>
      <c r="C61" s="84"/>
      <c r="D61" s="83"/>
      <c r="E61" s="81"/>
      <c r="F61" s="85"/>
      <c r="G61" s="85"/>
      <c r="H61" s="86" t="s">
        <v>123</v>
      </c>
      <c r="I61" s="79"/>
    </row>
    <row r="62" spans="1:9" ht="30" hidden="1">
      <c r="A62" s="29">
        <v>29</v>
      </c>
      <c r="B62" s="56" t="s">
        <v>47</v>
      </c>
      <c r="C62" s="40" t="s">
        <v>89</v>
      </c>
      <c r="D62" s="39" t="s">
        <v>66</v>
      </c>
      <c r="E62" s="17">
        <v>6</v>
      </c>
      <c r="F62" s="33">
        <f>SUM(E62)</f>
        <v>6</v>
      </c>
      <c r="G62" s="36">
        <v>291.68</v>
      </c>
      <c r="H62" s="114">
        <f t="shared" ref="H62:H70" si="7">SUM(F62*G62/1000)</f>
        <v>1.7500799999999999</v>
      </c>
      <c r="I62" s="13">
        <f>G62</f>
        <v>291.68</v>
      </c>
    </row>
    <row r="63" spans="1:9" ht="30" hidden="1">
      <c r="A63" s="29"/>
      <c r="B63" s="56" t="s">
        <v>48</v>
      </c>
      <c r="C63" s="40" t="s">
        <v>89</v>
      </c>
      <c r="D63" s="39" t="s">
        <v>66</v>
      </c>
      <c r="E63" s="17">
        <v>4</v>
      </c>
      <c r="F63" s="33">
        <f>SUM(E63)</f>
        <v>4</v>
      </c>
      <c r="G63" s="36">
        <v>100.01</v>
      </c>
      <c r="H63" s="114">
        <f t="shared" si="7"/>
        <v>0.40004000000000001</v>
      </c>
      <c r="I63" s="13">
        <v>0</v>
      </c>
    </row>
    <row r="64" spans="1:9">
      <c r="A64" s="29">
        <v>9</v>
      </c>
      <c r="B64" s="56" t="s">
        <v>49</v>
      </c>
      <c r="C64" s="42" t="s">
        <v>111</v>
      </c>
      <c r="D64" s="39"/>
      <c r="E64" s="121">
        <v>15552</v>
      </c>
      <c r="F64" s="37">
        <f>SUM(E64/100)</f>
        <v>155.52000000000001</v>
      </c>
      <c r="G64" s="36">
        <v>278.24</v>
      </c>
      <c r="H64" s="114">
        <f t="shared" si="7"/>
        <v>43.271884800000009</v>
      </c>
      <c r="I64" s="13">
        <f>G64*155.52</f>
        <v>43271.884800000007</v>
      </c>
    </row>
    <row r="65" spans="1:9">
      <c r="A65" s="29">
        <v>10</v>
      </c>
      <c r="B65" s="56" t="s">
        <v>50</v>
      </c>
      <c r="C65" s="40" t="s">
        <v>112</v>
      </c>
      <c r="D65" s="39"/>
      <c r="E65" s="121">
        <v>15552</v>
      </c>
      <c r="F65" s="36">
        <f>SUM(E65/1000)</f>
        <v>15.552</v>
      </c>
      <c r="G65" s="36">
        <v>216.68</v>
      </c>
      <c r="H65" s="114">
        <f t="shared" si="7"/>
        <v>3.3698073600000003</v>
      </c>
      <c r="I65" s="13">
        <f>G65*15.552</f>
        <v>3369.8073600000002</v>
      </c>
    </row>
    <row r="66" spans="1:9">
      <c r="A66" s="29">
        <v>11</v>
      </c>
      <c r="B66" s="56" t="s">
        <v>51</v>
      </c>
      <c r="C66" s="40" t="s">
        <v>78</v>
      </c>
      <c r="D66" s="39"/>
      <c r="E66" s="121">
        <v>2432</v>
      </c>
      <c r="F66" s="36">
        <f>SUM(E66/100)</f>
        <v>24.32</v>
      </c>
      <c r="G66" s="36">
        <v>2720.94</v>
      </c>
      <c r="H66" s="114">
        <f t="shared" si="7"/>
        <v>66.173260800000008</v>
      </c>
      <c r="I66" s="13">
        <f>24.32*G66</f>
        <v>66173.260800000004</v>
      </c>
    </row>
    <row r="67" spans="1:9">
      <c r="A67" s="29">
        <v>12</v>
      </c>
      <c r="B67" s="53" t="s">
        <v>72</v>
      </c>
      <c r="C67" s="40" t="s">
        <v>32</v>
      </c>
      <c r="D67" s="39"/>
      <c r="E67" s="121">
        <v>14.8</v>
      </c>
      <c r="F67" s="36">
        <f>SUM(E67)</f>
        <v>14.8</v>
      </c>
      <c r="G67" s="36">
        <v>42.61</v>
      </c>
      <c r="H67" s="114">
        <f t="shared" si="7"/>
        <v>0.63062800000000008</v>
      </c>
      <c r="I67" s="13">
        <f>14.8*G67</f>
        <v>630.62800000000004</v>
      </c>
    </row>
    <row r="68" spans="1:9" ht="30">
      <c r="A68" s="29">
        <v>13</v>
      </c>
      <c r="B68" s="53" t="s">
        <v>73</v>
      </c>
      <c r="C68" s="40" t="s">
        <v>32</v>
      </c>
      <c r="D68" s="39"/>
      <c r="E68" s="121">
        <f>E67</f>
        <v>14.8</v>
      </c>
      <c r="F68" s="36">
        <f>SUM(E68)</f>
        <v>14.8</v>
      </c>
      <c r="G68" s="36">
        <v>46.04</v>
      </c>
      <c r="H68" s="114">
        <f t="shared" si="7"/>
        <v>0.681392</v>
      </c>
      <c r="I68" s="13">
        <f>G68*14.8</f>
        <v>681.39200000000005</v>
      </c>
    </row>
    <row r="69" spans="1:9" hidden="1">
      <c r="A69" s="29">
        <v>22</v>
      </c>
      <c r="B69" s="39" t="s">
        <v>57</v>
      </c>
      <c r="C69" s="40" t="s">
        <v>58</v>
      </c>
      <c r="D69" s="39" t="s">
        <v>54</v>
      </c>
      <c r="E69" s="17">
        <v>5</v>
      </c>
      <c r="F69" s="33">
        <f>SUM(E69)</f>
        <v>5</v>
      </c>
      <c r="G69" s="36">
        <v>65.42</v>
      </c>
      <c r="H69" s="114">
        <f t="shared" si="7"/>
        <v>0.3271</v>
      </c>
      <c r="I69" s="13">
        <f>G69*4</f>
        <v>261.68</v>
      </c>
    </row>
    <row r="70" spans="1:9" ht="20.25" customHeight="1">
      <c r="A70" s="29">
        <v>14</v>
      </c>
      <c r="B70" s="39" t="s">
        <v>148</v>
      </c>
      <c r="C70" s="45" t="s">
        <v>149</v>
      </c>
      <c r="D70" s="39"/>
      <c r="E70" s="17">
        <f>E49</f>
        <v>3053.4</v>
      </c>
      <c r="F70" s="33">
        <f>SUM(E70*12)</f>
        <v>36640.800000000003</v>
      </c>
      <c r="G70" s="36">
        <v>2.2799999999999998</v>
      </c>
      <c r="H70" s="114">
        <f t="shared" si="7"/>
        <v>83.541024000000007</v>
      </c>
      <c r="I70" s="13">
        <f>F70/12*G70</f>
        <v>6961.7519999999995</v>
      </c>
    </row>
    <row r="71" spans="1:9" ht="22.5" customHeight="1">
      <c r="A71" s="29"/>
      <c r="B71" s="166" t="s">
        <v>74</v>
      </c>
      <c r="C71" s="16"/>
      <c r="D71" s="14"/>
      <c r="E71" s="18"/>
      <c r="F71" s="13"/>
      <c r="G71" s="13"/>
      <c r="H71" s="87" t="s">
        <v>123</v>
      </c>
      <c r="I71" s="79"/>
    </row>
    <row r="72" spans="1:9" ht="30" hidden="1">
      <c r="A72" s="29">
        <v>19</v>
      </c>
      <c r="B72" s="39" t="s">
        <v>150</v>
      </c>
      <c r="C72" s="40" t="s">
        <v>151</v>
      </c>
      <c r="D72" s="39" t="s">
        <v>66</v>
      </c>
      <c r="E72" s="17">
        <v>1</v>
      </c>
      <c r="F72" s="36">
        <f>E72</f>
        <v>1</v>
      </c>
      <c r="G72" s="36">
        <v>1029.1199999999999</v>
      </c>
      <c r="H72" s="114">
        <f t="shared" ref="H72:H73" si="8">SUM(F72*G72/1000)</f>
        <v>1.0291199999999998</v>
      </c>
      <c r="I72" s="13">
        <v>0</v>
      </c>
    </row>
    <row r="73" spans="1:9" hidden="1">
      <c r="A73" s="29"/>
      <c r="B73" s="39" t="s">
        <v>152</v>
      </c>
      <c r="C73" s="40" t="s">
        <v>153</v>
      </c>
      <c r="D73" s="129"/>
      <c r="E73" s="17">
        <v>1</v>
      </c>
      <c r="F73" s="36">
        <v>1</v>
      </c>
      <c r="G73" s="36">
        <v>735</v>
      </c>
      <c r="H73" s="114">
        <f t="shared" si="8"/>
        <v>0.73499999999999999</v>
      </c>
      <c r="I73" s="13">
        <v>0</v>
      </c>
    </row>
    <row r="74" spans="1:9" ht="30" hidden="1">
      <c r="A74" s="29">
        <v>36</v>
      </c>
      <c r="B74" s="39" t="s">
        <v>75</v>
      </c>
      <c r="C74" s="40" t="s">
        <v>76</v>
      </c>
      <c r="D74" s="39" t="s">
        <v>66</v>
      </c>
      <c r="E74" s="17">
        <v>5</v>
      </c>
      <c r="F74" s="33">
        <f>SUM(E74/10)</f>
        <v>0.5</v>
      </c>
      <c r="G74" s="36">
        <v>657.87</v>
      </c>
      <c r="H74" s="114">
        <f>SUM(F74*G74/1000)</f>
        <v>0.32893499999999998</v>
      </c>
      <c r="I74" s="13">
        <f>G74*0.2</f>
        <v>131.57400000000001</v>
      </c>
    </row>
    <row r="75" spans="1:9" ht="30" hidden="1">
      <c r="A75" s="29"/>
      <c r="B75" s="39" t="s">
        <v>121</v>
      </c>
      <c r="C75" s="40" t="s">
        <v>89</v>
      </c>
      <c r="D75" s="39" t="s">
        <v>66</v>
      </c>
      <c r="E75" s="17">
        <v>1</v>
      </c>
      <c r="F75" s="36">
        <f>E75</f>
        <v>1</v>
      </c>
      <c r="G75" s="36">
        <v>1118.72</v>
      </c>
      <c r="H75" s="114">
        <f>SUM(F75*G75/1000)</f>
        <v>1.1187199999999999</v>
      </c>
      <c r="I75" s="13">
        <v>0</v>
      </c>
    </row>
    <row r="76" spans="1:9" ht="30.75" customHeight="1">
      <c r="A76" s="29">
        <v>15</v>
      </c>
      <c r="B76" s="115" t="s">
        <v>154</v>
      </c>
      <c r="C76" s="116" t="s">
        <v>89</v>
      </c>
      <c r="D76" s="39" t="s">
        <v>201</v>
      </c>
      <c r="E76" s="17">
        <v>2</v>
      </c>
      <c r="F76" s="33">
        <f>E76*12</f>
        <v>24</v>
      </c>
      <c r="G76" s="36">
        <v>53.42</v>
      </c>
      <c r="H76" s="114">
        <f t="shared" ref="H76:H77" si="9">SUM(F76*G76/1000)</f>
        <v>1.2820799999999999</v>
      </c>
      <c r="I76" s="13">
        <f>G76*2</f>
        <v>106.84</v>
      </c>
    </row>
    <row r="77" spans="1:9" ht="30.75" customHeight="1">
      <c r="A77" s="29">
        <v>16</v>
      </c>
      <c r="B77" s="115" t="s">
        <v>155</v>
      </c>
      <c r="C77" s="116" t="s">
        <v>89</v>
      </c>
      <c r="D77" s="39" t="s">
        <v>206</v>
      </c>
      <c r="E77" s="17">
        <v>1</v>
      </c>
      <c r="F77" s="33">
        <f>E77*12</f>
        <v>12</v>
      </c>
      <c r="G77" s="36">
        <v>1194</v>
      </c>
      <c r="H77" s="114">
        <f t="shared" si="9"/>
        <v>14.327999999999999</v>
      </c>
      <c r="I77" s="13">
        <f>G77</f>
        <v>1194</v>
      </c>
    </row>
    <row r="78" spans="1:9" hidden="1">
      <c r="A78" s="29"/>
      <c r="B78" s="90" t="s">
        <v>77</v>
      </c>
      <c r="C78" s="16"/>
      <c r="D78" s="14"/>
      <c r="E78" s="18"/>
      <c r="F78" s="18"/>
      <c r="G78" s="18"/>
      <c r="H78" s="18"/>
      <c r="I78" s="79"/>
    </row>
    <row r="79" spans="1:9" hidden="1">
      <c r="A79" s="29"/>
      <c r="B79" s="41" t="s">
        <v>115</v>
      </c>
      <c r="C79" s="42" t="s">
        <v>78</v>
      </c>
      <c r="D79" s="56"/>
      <c r="E79" s="59"/>
      <c r="F79" s="37">
        <v>0.3</v>
      </c>
      <c r="G79" s="37">
        <v>3619.09</v>
      </c>
      <c r="H79" s="114">
        <f t="shared" ref="H79" si="10">SUM(F79*G79/1000)</f>
        <v>1.0857270000000001</v>
      </c>
      <c r="I79" s="13">
        <v>0</v>
      </c>
    </row>
    <row r="80" spans="1:9" ht="28.5" hidden="1">
      <c r="A80" s="29"/>
      <c r="B80" s="166" t="s">
        <v>113</v>
      </c>
      <c r="C80" s="90"/>
      <c r="D80" s="31"/>
      <c r="E80" s="32"/>
      <c r="F80" s="91"/>
      <c r="G80" s="91"/>
      <c r="H80" s="92">
        <f>SUM(H56:H79)</f>
        <v>249.26712212000004</v>
      </c>
      <c r="I80" s="77"/>
    </row>
    <row r="81" spans="1:9">
      <c r="A81" s="194" t="s">
        <v>135</v>
      </c>
      <c r="B81" s="195"/>
      <c r="C81" s="195"/>
      <c r="D81" s="195"/>
      <c r="E81" s="195"/>
      <c r="F81" s="195"/>
      <c r="G81" s="195"/>
      <c r="H81" s="195"/>
      <c r="I81" s="196"/>
    </row>
    <row r="82" spans="1:9" ht="19.5" customHeight="1">
      <c r="A82" s="96">
        <v>17</v>
      </c>
      <c r="B82" s="34" t="s">
        <v>116</v>
      </c>
      <c r="C82" s="40" t="s">
        <v>55</v>
      </c>
      <c r="D82" s="103"/>
      <c r="E82" s="36">
        <v>3053.4</v>
      </c>
      <c r="F82" s="36">
        <f>SUM(E82*12)</f>
        <v>36640.800000000003</v>
      </c>
      <c r="G82" s="36">
        <v>3.1</v>
      </c>
      <c r="H82" s="114">
        <f>SUM(F82*G82/1000)</f>
        <v>113.58648000000001</v>
      </c>
      <c r="I82" s="101">
        <f>F82/12*G82</f>
        <v>9465.5400000000009</v>
      </c>
    </row>
    <row r="83" spans="1:9" ht="41.25" customHeight="1">
      <c r="A83" s="29">
        <v>18</v>
      </c>
      <c r="B83" s="39" t="s">
        <v>79</v>
      </c>
      <c r="C83" s="40"/>
      <c r="D83" s="103"/>
      <c r="E83" s="121">
        <v>3053.4</v>
      </c>
      <c r="F83" s="36">
        <f>E83*12</f>
        <v>36640.800000000003</v>
      </c>
      <c r="G83" s="36">
        <v>3.5</v>
      </c>
      <c r="H83" s="114">
        <f>F83*G83/1000</f>
        <v>128.24280000000002</v>
      </c>
      <c r="I83" s="13">
        <f>F83/12*G83</f>
        <v>10686.9</v>
      </c>
    </row>
    <row r="84" spans="1:9">
      <c r="A84" s="29"/>
      <c r="B84" s="43" t="s">
        <v>81</v>
      </c>
      <c r="C84" s="90"/>
      <c r="D84" s="88"/>
      <c r="E84" s="91"/>
      <c r="F84" s="91"/>
      <c r="G84" s="91"/>
      <c r="H84" s="92">
        <f>SUM(H83)</f>
        <v>128.24280000000002</v>
      </c>
      <c r="I84" s="91">
        <f>I83+I82+I77+I76+I70+I68++I67+I66+I65+I64+I60+I32+I30+I29+I26+I18+I17+I16</f>
        <v>159002.60308566669</v>
      </c>
    </row>
    <row r="85" spans="1:9">
      <c r="A85" s="183" t="s">
        <v>60</v>
      </c>
      <c r="B85" s="184"/>
      <c r="C85" s="184"/>
      <c r="D85" s="184"/>
      <c r="E85" s="184"/>
      <c r="F85" s="184"/>
      <c r="G85" s="184"/>
      <c r="H85" s="184"/>
      <c r="I85" s="185"/>
    </row>
    <row r="86" spans="1:9" ht="18" customHeight="1">
      <c r="A86" s="29">
        <v>19</v>
      </c>
      <c r="B86" s="115" t="s">
        <v>197</v>
      </c>
      <c r="C86" s="116" t="s">
        <v>172</v>
      </c>
      <c r="D86" s="52"/>
      <c r="E86" s="13"/>
      <c r="F86" s="13">
        <v>128</v>
      </c>
      <c r="G86" s="13">
        <v>214.07</v>
      </c>
      <c r="H86" s="89">
        <f t="shared" ref="H86" si="11">G86*F86/1000</f>
        <v>27.400959999999998</v>
      </c>
      <c r="I86" s="13">
        <f>G86*1</f>
        <v>214.07</v>
      </c>
    </row>
    <row r="87" spans="1:9" ht="16.5" customHeight="1">
      <c r="A87" s="29"/>
      <c r="B87" s="50" t="s">
        <v>52</v>
      </c>
      <c r="C87" s="46"/>
      <c r="D87" s="54"/>
      <c r="E87" s="46">
        <v>1</v>
      </c>
      <c r="F87" s="46"/>
      <c r="G87" s="46"/>
      <c r="H87" s="46"/>
      <c r="I87" s="32">
        <f>I86</f>
        <v>214.07</v>
      </c>
    </row>
    <row r="88" spans="1:9">
      <c r="A88" s="29"/>
      <c r="B88" s="52" t="s">
        <v>80</v>
      </c>
      <c r="C88" s="15"/>
      <c r="D88" s="15"/>
      <c r="E88" s="47"/>
      <c r="F88" s="47"/>
      <c r="G88" s="48"/>
      <c r="H88" s="48"/>
      <c r="I88" s="17">
        <v>0</v>
      </c>
    </row>
    <row r="89" spans="1:9">
      <c r="A89" s="55"/>
      <c r="B89" s="51" t="s">
        <v>141</v>
      </c>
      <c r="C89" s="35"/>
      <c r="D89" s="35"/>
      <c r="E89" s="35"/>
      <c r="F89" s="35"/>
      <c r="G89" s="35"/>
      <c r="H89" s="35"/>
      <c r="I89" s="49">
        <f>I84+I87</f>
        <v>159216.6730856667</v>
      </c>
    </row>
    <row r="90" spans="1:9" ht="15.75">
      <c r="A90" s="186" t="s">
        <v>216</v>
      </c>
      <c r="B90" s="186"/>
      <c r="C90" s="186"/>
      <c r="D90" s="186"/>
      <c r="E90" s="186"/>
      <c r="F90" s="186"/>
      <c r="G90" s="186"/>
      <c r="H90" s="186"/>
      <c r="I90" s="186"/>
    </row>
    <row r="91" spans="1:9" ht="15.75">
      <c r="A91" s="62"/>
      <c r="B91" s="187" t="s">
        <v>217</v>
      </c>
      <c r="C91" s="187"/>
      <c r="D91" s="187"/>
      <c r="E91" s="187"/>
      <c r="F91" s="187"/>
      <c r="G91" s="187"/>
      <c r="H91" s="70"/>
      <c r="I91" s="3"/>
    </row>
    <row r="92" spans="1:9">
      <c r="A92" s="168"/>
      <c r="B92" s="188" t="s">
        <v>6</v>
      </c>
      <c r="C92" s="188"/>
      <c r="D92" s="188"/>
      <c r="E92" s="188"/>
      <c r="F92" s="188"/>
      <c r="G92" s="188"/>
      <c r="H92" s="24"/>
      <c r="I92" s="5"/>
    </row>
    <row r="93" spans="1:9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.75">
      <c r="A94" s="189" t="s">
        <v>7</v>
      </c>
      <c r="B94" s="189"/>
      <c r="C94" s="189"/>
      <c r="D94" s="189"/>
      <c r="E94" s="189"/>
      <c r="F94" s="189"/>
      <c r="G94" s="189"/>
      <c r="H94" s="189"/>
      <c r="I94" s="189"/>
    </row>
    <row r="95" spans="1:9" ht="15.75">
      <c r="A95" s="189" t="s">
        <v>8</v>
      </c>
      <c r="B95" s="189"/>
      <c r="C95" s="189"/>
      <c r="D95" s="189"/>
      <c r="E95" s="189"/>
      <c r="F95" s="189"/>
      <c r="G95" s="189"/>
      <c r="H95" s="189"/>
      <c r="I95" s="189"/>
    </row>
    <row r="96" spans="1:9" ht="15.75">
      <c r="A96" s="190" t="s">
        <v>61</v>
      </c>
      <c r="B96" s="190"/>
      <c r="C96" s="190"/>
      <c r="D96" s="190"/>
      <c r="E96" s="190"/>
      <c r="F96" s="190"/>
      <c r="G96" s="190"/>
      <c r="H96" s="190"/>
      <c r="I96" s="190"/>
    </row>
    <row r="97" spans="1:9" ht="15.75">
      <c r="A97" s="11"/>
    </row>
    <row r="98" spans="1:9" ht="15.75">
      <c r="A98" s="191" t="s">
        <v>9</v>
      </c>
      <c r="B98" s="191"/>
      <c r="C98" s="191"/>
      <c r="D98" s="191"/>
      <c r="E98" s="191"/>
      <c r="F98" s="191"/>
      <c r="G98" s="191"/>
      <c r="H98" s="191"/>
      <c r="I98" s="191"/>
    </row>
    <row r="99" spans="1:9" ht="15.75">
      <c r="A99" s="4"/>
    </row>
    <row r="100" spans="1:9" ht="15.75">
      <c r="B100" s="170" t="s">
        <v>10</v>
      </c>
      <c r="C100" s="192" t="s">
        <v>88</v>
      </c>
      <c r="D100" s="192"/>
      <c r="E100" s="192"/>
      <c r="F100" s="68"/>
      <c r="I100" s="171"/>
    </row>
    <row r="101" spans="1:9">
      <c r="A101" s="168"/>
      <c r="C101" s="188" t="s">
        <v>11</v>
      </c>
      <c r="D101" s="188"/>
      <c r="E101" s="188"/>
      <c r="F101" s="24"/>
      <c r="I101" s="169" t="s">
        <v>12</v>
      </c>
    </row>
    <row r="102" spans="1:9" ht="15.75">
      <c r="A102" s="25"/>
      <c r="C102" s="12"/>
      <c r="D102" s="12"/>
      <c r="G102" s="12"/>
      <c r="H102" s="12"/>
    </row>
    <row r="103" spans="1:9" ht="15.75">
      <c r="B103" s="170" t="s">
        <v>13</v>
      </c>
      <c r="C103" s="193"/>
      <c r="D103" s="193"/>
      <c r="E103" s="193"/>
      <c r="F103" s="69"/>
      <c r="I103" s="171"/>
    </row>
    <row r="104" spans="1:9">
      <c r="A104" s="168"/>
      <c r="C104" s="182" t="s">
        <v>11</v>
      </c>
      <c r="D104" s="182"/>
      <c r="E104" s="182"/>
      <c r="F104" s="168"/>
      <c r="I104" s="169" t="s">
        <v>12</v>
      </c>
    </row>
    <row r="105" spans="1:9" ht="15.75">
      <c r="A105" s="4" t="s">
        <v>14</v>
      </c>
    </row>
    <row r="106" spans="1:9">
      <c r="A106" s="180" t="s">
        <v>15</v>
      </c>
      <c r="B106" s="180"/>
      <c r="C106" s="180"/>
      <c r="D106" s="180"/>
      <c r="E106" s="180"/>
      <c r="F106" s="180"/>
      <c r="G106" s="180"/>
      <c r="H106" s="180"/>
      <c r="I106" s="180"/>
    </row>
    <row r="107" spans="1:9" ht="15.75">
      <c r="A107" s="181" t="s">
        <v>16</v>
      </c>
      <c r="B107" s="181"/>
      <c r="C107" s="181"/>
      <c r="D107" s="181"/>
      <c r="E107" s="181"/>
      <c r="F107" s="181"/>
      <c r="G107" s="181"/>
      <c r="H107" s="181"/>
      <c r="I107" s="181"/>
    </row>
    <row r="108" spans="1:9" ht="15.75">
      <c r="A108" s="181" t="s">
        <v>17</v>
      </c>
      <c r="B108" s="181"/>
      <c r="C108" s="181"/>
      <c r="D108" s="181"/>
      <c r="E108" s="181"/>
      <c r="F108" s="181"/>
      <c r="G108" s="181"/>
      <c r="H108" s="181"/>
      <c r="I108" s="181"/>
    </row>
    <row r="109" spans="1:9" ht="15.75">
      <c r="A109" s="181" t="s">
        <v>21</v>
      </c>
      <c r="B109" s="181"/>
      <c r="C109" s="181"/>
      <c r="D109" s="181"/>
      <c r="E109" s="181"/>
      <c r="F109" s="181"/>
      <c r="G109" s="181"/>
      <c r="H109" s="181"/>
      <c r="I109" s="181"/>
    </row>
    <row r="110" spans="1:9" ht="15.75">
      <c r="A110" s="181" t="s">
        <v>20</v>
      </c>
      <c r="B110" s="181"/>
      <c r="C110" s="181"/>
      <c r="D110" s="181"/>
      <c r="E110" s="181"/>
      <c r="F110" s="181"/>
      <c r="G110" s="181"/>
      <c r="H110" s="181"/>
      <c r="I110" s="181"/>
    </row>
  </sheetData>
  <mergeCells count="28">
    <mergeCell ref="A106:I106"/>
    <mergeCell ref="A107:I107"/>
    <mergeCell ref="A108:I108"/>
    <mergeCell ref="A109:I109"/>
    <mergeCell ref="A110:I110"/>
    <mergeCell ref="C104:E104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5:I85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  <mergeCell ref="A81:I81"/>
  </mergeCells>
  <pageMargins left="0.7" right="0.7" top="0.75" bottom="0.75" header="0.3" footer="0.3"/>
  <pageSetup paperSize="9" scale="66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113"/>
  <sheetViews>
    <sheetView view="pageBreakPreview" topLeftCell="A88" zoomScale="60" workbookViewId="0">
      <selection activeCell="B29" sqref="B29:I3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0.42578125" hidden="1" customWidth="1"/>
    <col min="6" max="6" width="9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168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7" t="s">
        <v>136</v>
      </c>
      <c r="B3" s="197"/>
      <c r="C3" s="197"/>
      <c r="D3" s="197"/>
      <c r="E3" s="197"/>
      <c r="F3" s="197"/>
      <c r="G3" s="197"/>
      <c r="H3" s="197"/>
      <c r="I3" s="197"/>
      <c r="J3" s="3"/>
      <c r="K3" s="3"/>
      <c r="L3" s="3"/>
    </row>
    <row r="4" spans="1:13" ht="31.5" customHeight="1">
      <c r="A4" s="198" t="s">
        <v>117</v>
      </c>
      <c r="B4" s="198"/>
      <c r="C4" s="198"/>
      <c r="D4" s="198"/>
      <c r="E4" s="198"/>
      <c r="F4" s="198"/>
      <c r="G4" s="198"/>
      <c r="H4" s="198"/>
      <c r="I4" s="198"/>
    </row>
    <row r="5" spans="1:13" ht="15.75" customHeight="1">
      <c r="A5" s="197" t="s">
        <v>221</v>
      </c>
      <c r="B5" s="199"/>
      <c r="C5" s="199"/>
      <c r="D5" s="199"/>
      <c r="E5" s="199"/>
      <c r="F5" s="199"/>
      <c r="G5" s="199"/>
      <c r="H5" s="199"/>
      <c r="I5" s="199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0">
        <v>43677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0" t="s">
        <v>169</v>
      </c>
      <c r="B8" s="200"/>
      <c r="C8" s="200"/>
      <c r="D8" s="200"/>
      <c r="E8" s="200"/>
      <c r="F8" s="200"/>
      <c r="G8" s="200"/>
      <c r="H8" s="200"/>
      <c r="I8" s="20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1" t="s">
        <v>158</v>
      </c>
      <c r="B10" s="201"/>
      <c r="C10" s="201"/>
      <c r="D10" s="201"/>
      <c r="E10" s="201"/>
      <c r="F10" s="201"/>
      <c r="G10" s="201"/>
      <c r="H10" s="201"/>
      <c r="I10" s="201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2" t="s">
        <v>59</v>
      </c>
      <c r="B14" s="202"/>
      <c r="C14" s="202"/>
      <c r="D14" s="202"/>
      <c r="E14" s="202"/>
      <c r="F14" s="202"/>
      <c r="G14" s="202"/>
      <c r="H14" s="202"/>
      <c r="I14" s="202"/>
      <c r="J14" s="8"/>
      <c r="K14" s="8"/>
      <c r="L14" s="8"/>
      <c r="M14" s="8"/>
    </row>
    <row r="15" spans="1:13" ht="15.75" customHeight="1">
      <c r="A15" s="203" t="s">
        <v>4</v>
      </c>
      <c r="B15" s="203"/>
      <c r="C15" s="203"/>
      <c r="D15" s="203"/>
      <c r="E15" s="203"/>
      <c r="F15" s="203"/>
      <c r="G15" s="203"/>
      <c r="H15" s="203"/>
      <c r="I15" s="203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93</v>
      </c>
      <c r="D16" s="71" t="s">
        <v>199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93</v>
      </c>
      <c r="D17" s="71" t="s">
        <v>200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93</v>
      </c>
      <c r="D18" s="71" t="s">
        <v>201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100</v>
      </c>
      <c r="C19" s="72" t="s">
        <v>101</v>
      </c>
      <c r="D19" s="71" t="s">
        <v>102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92</v>
      </c>
      <c r="C20" s="72" t="s">
        <v>93</v>
      </c>
      <c r="D20" s="71" t="s">
        <v>142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98</v>
      </c>
      <c r="C21" s="72" t="s">
        <v>93</v>
      </c>
      <c r="D21" s="71" t="s">
        <v>142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94</v>
      </c>
      <c r="C22" s="72" t="s">
        <v>53</v>
      </c>
      <c r="D22" s="71" t="s">
        <v>102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95</v>
      </c>
      <c r="C23" s="72" t="s">
        <v>53</v>
      </c>
      <c r="D23" s="71" t="s">
        <v>102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96</v>
      </c>
      <c r="C24" s="72" t="s">
        <v>53</v>
      </c>
      <c r="D24" s="71" t="s">
        <v>102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99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198</v>
      </c>
      <c r="C26" s="44" t="s">
        <v>25</v>
      </c>
      <c r="D26" s="34" t="s">
        <v>201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  <c r="J26" s="23"/>
    </row>
    <row r="27" spans="1:13" ht="15.75" customHeight="1">
      <c r="A27" s="203" t="s">
        <v>140</v>
      </c>
      <c r="B27" s="203"/>
      <c r="C27" s="203"/>
      <c r="D27" s="203"/>
      <c r="E27" s="203"/>
      <c r="F27" s="203"/>
      <c r="G27" s="203"/>
      <c r="H27" s="203"/>
      <c r="I27" s="203"/>
      <c r="J27" s="22"/>
      <c r="K27" s="8"/>
      <c r="L27" s="8"/>
      <c r="M27" s="8"/>
    </row>
    <row r="28" spans="1:13" ht="15.75" customHeight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  <c r="J28" s="22"/>
      <c r="K28" s="8"/>
      <c r="L28" s="8"/>
      <c r="M28" s="8"/>
    </row>
    <row r="29" spans="1:13" ht="15.75" customHeight="1">
      <c r="A29" s="29">
        <v>5</v>
      </c>
      <c r="B29" s="71" t="s">
        <v>103</v>
      </c>
      <c r="C29" s="72" t="s">
        <v>104</v>
      </c>
      <c r="D29" s="71" t="s">
        <v>200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4" si="1">SUM(F29*G29/1000)</f>
        <v>3.3774305759999996</v>
      </c>
      <c r="I29" s="13">
        <f t="shared" ref="I29:I32" si="2">F29/6*G29</f>
        <v>562.90509599999996</v>
      </c>
      <c r="J29" s="22"/>
      <c r="K29" s="8"/>
      <c r="L29" s="8"/>
      <c r="M29" s="8"/>
    </row>
    <row r="30" spans="1:13" ht="31.5" customHeight="1">
      <c r="A30" s="29">
        <v>6</v>
      </c>
      <c r="B30" s="71" t="s">
        <v>128</v>
      </c>
      <c r="C30" s="72" t="s">
        <v>104</v>
      </c>
      <c r="D30" s="71" t="s">
        <v>199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1"/>
        <v>3.8655693179999995</v>
      </c>
      <c r="I30" s="13">
        <f t="shared" si="2"/>
        <v>644.26155299999994</v>
      </c>
      <c r="J30" s="22"/>
      <c r="K30" s="8"/>
      <c r="L30" s="8"/>
      <c r="M30" s="8"/>
    </row>
    <row r="31" spans="1:13" ht="15.75" hidden="1" customHeight="1">
      <c r="A31" s="29">
        <v>11</v>
      </c>
      <c r="B31" s="71" t="s">
        <v>27</v>
      </c>
      <c r="C31" s="72" t="s">
        <v>104</v>
      </c>
      <c r="D31" s="71" t="s">
        <v>206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1"/>
        <v>1.2584827709999999</v>
      </c>
      <c r="I31" s="13">
        <f>F31*G31</f>
        <v>1258.482771</v>
      </c>
      <c r="J31" s="22"/>
      <c r="K31" s="8"/>
      <c r="L31" s="8"/>
      <c r="M31" s="8"/>
    </row>
    <row r="32" spans="1:13" ht="15.75" customHeight="1">
      <c r="A32" s="29">
        <v>7</v>
      </c>
      <c r="B32" s="71" t="s">
        <v>143</v>
      </c>
      <c r="C32" s="72" t="s">
        <v>40</v>
      </c>
      <c r="D32" s="71" t="s">
        <v>203</v>
      </c>
      <c r="E32" s="74">
        <v>5</v>
      </c>
      <c r="F32" s="74">
        <f>E32*155/100</f>
        <v>7.75</v>
      </c>
      <c r="G32" s="74">
        <v>1707.63</v>
      </c>
      <c r="H32" s="78">
        <f t="shared" si="1"/>
        <v>13.234132500000001</v>
      </c>
      <c r="I32" s="13">
        <f t="shared" si="2"/>
        <v>2205.6887500000003</v>
      </c>
      <c r="J32" s="22"/>
      <c r="K32" s="8"/>
      <c r="L32" s="8"/>
      <c r="M32" s="8"/>
    </row>
    <row r="33" spans="1:14" ht="15.75" hidden="1" customHeight="1">
      <c r="A33" s="29"/>
      <c r="B33" s="34" t="s">
        <v>64</v>
      </c>
      <c r="C33" s="44" t="s">
        <v>32</v>
      </c>
      <c r="D33" s="34" t="s">
        <v>66</v>
      </c>
      <c r="E33" s="121"/>
      <c r="F33" s="33">
        <v>2</v>
      </c>
      <c r="G33" s="33">
        <v>250.92</v>
      </c>
      <c r="H33" s="119">
        <f t="shared" si="1"/>
        <v>0.50183999999999995</v>
      </c>
      <c r="I33" s="13">
        <v>0</v>
      </c>
      <c r="J33" s="22"/>
      <c r="K33" s="8"/>
    </row>
    <row r="34" spans="1:14" ht="15.75" hidden="1" customHeight="1">
      <c r="A34" s="29"/>
      <c r="B34" s="34" t="s">
        <v>65</v>
      </c>
      <c r="C34" s="44" t="s">
        <v>31</v>
      </c>
      <c r="D34" s="34" t="s">
        <v>66</v>
      </c>
      <c r="E34" s="121"/>
      <c r="F34" s="33">
        <v>1</v>
      </c>
      <c r="G34" s="33">
        <v>1490.31</v>
      </c>
      <c r="H34" s="119">
        <f t="shared" si="1"/>
        <v>1.49031</v>
      </c>
      <c r="I34" s="13"/>
      <c r="J34" s="22"/>
      <c r="K34" s="8"/>
    </row>
    <row r="35" spans="1:14" ht="15.75" hidden="1" customHeight="1">
      <c r="A35" s="29"/>
      <c r="B35" s="93" t="s">
        <v>5</v>
      </c>
      <c r="C35" s="72"/>
      <c r="D35" s="71"/>
      <c r="E35" s="73"/>
      <c r="F35" s="74"/>
      <c r="G35" s="74"/>
      <c r="H35" s="78" t="s">
        <v>123</v>
      </c>
      <c r="I35" s="79"/>
      <c r="J35" s="23"/>
    </row>
    <row r="36" spans="1:14" ht="15.75" hidden="1" customHeight="1">
      <c r="A36" s="29">
        <v>9</v>
      </c>
      <c r="B36" s="71" t="s">
        <v>26</v>
      </c>
      <c r="C36" s="72" t="s">
        <v>31</v>
      </c>
      <c r="D36" s="71"/>
      <c r="E36" s="73"/>
      <c r="F36" s="74">
        <v>3</v>
      </c>
      <c r="G36" s="74">
        <v>2003</v>
      </c>
      <c r="H36" s="78">
        <f t="shared" ref="H36:H42" si="3">SUM(F36*G36/1000)</f>
        <v>6.0090000000000003</v>
      </c>
      <c r="I36" s="13">
        <f t="shared" ref="I36:I42" si="4">F36/6*G36</f>
        <v>1001.5</v>
      </c>
      <c r="J36" s="23"/>
    </row>
    <row r="37" spans="1:14" ht="15.75" hidden="1" customHeight="1">
      <c r="A37" s="29">
        <v>10</v>
      </c>
      <c r="B37" s="71" t="s">
        <v>67</v>
      </c>
      <c r="C37" s="72" t="s">
        <v>29</v>
      </c>
      <c r="D37" s="71" t="s">
        <v>144</v>
      </c>
      <c r="E37" s="74">
        <v>160.6</v>
      </c>
      <c r="F37" s="74">
        <f>SUM(E37*18/1000)</f>
        <v>2.8907999999999996</v>
      </c>
      <c r="G37" s="74">
        <v>2757.78</v>
      </c>
      <c r="H37" s="78">
        <f t="shared" si="3"/>
        <v>7.972190423999999</v>
      </c>
      <c r="I37" s="13">
        <f t="shared" si="4"/>
        <v>1328.698404</v>
      </c>
      <c r="J37" s="23"/>
    </row>
    <row r="38" spans="1:14" ht="15.75" hidden="1" customHeight="1">
      <c r="A38" s="29">
        <v>11</v>
      </c>
      <c r="B38" s="71" t="s">
        <v>68</v>
      </c>
      <c r="C38" s="72" t="s">
        <v>29</v>
      </c>
      <c r="D38" s="71" t="s">
        <v>120</v>
      </c>
      <c r="E38" s="73">
        <v>89.1</v>
      </c>
      <c r="F38" s="74">
        <f>SUM(E38*155/1000)</f>
        <v>13.810499999999999</v>
      </c>
      <c r="G38" s="74">
        <v>460.02</v>
      </c>
      <c r="H38" s="78">
        <f t="shared" si="3"/>
        <v>6.3531062099999991</v>
      </c>
      <c r="I38" s="13">
        <f t="shared" si="4"/>
        <v>1058.8510349999999</v>
      </c>
      <c r="J38" s="23"/>
    </row>
    <row r="39" spans="1:14" ht="15.75" hidden="1" customHeight="1">
      <c r="A39" s="29">
        <v>12</v>
      </c>
      <c r="B39" s="71" t="s">
        <v>145</v>
      </c>
      <c r="C39" s="72" t="s">
        <v>146</v>
      </c>
      <c r="D39" s="71" t="s">
        <v>66</v>
      </c>
      <c r="E39" s="73"/>
      <c r="F39" s="74">
        <v>39</v>
      </c>
      <c r="G39" s="74">
        <v>301.70999999999998</v>
      </c>
      <c r="H39" s="78">
        <f t="shared" si="3"/>
        <v>11.766689999999999</v>
      </c>
      <c r="I39" s="13">
        <v>0</v>
      </c>
      <c r="J39" s="23"/>
    </row>
    <row r="40" spans="1:14" ht="47.25" hidden="1" customHeight="1">
      <c r="A40" s="29">
        <v>13</v>
      </c>
      <c r="B40" s="71" t="s">
        <v>83</v>
      </c>
      <c r="C40" s="72" t="s">
        <v>104</v>
      </c>
      <c r="D40" s="71" t="s">
        <v>147</v>
      </c>
      <c r="E40" s="74">
        <v>46.5</v>
      </c>
      <c r="F40" s="74">
        <f>SUM(E40*35/1000)</f>
        <v>1.6274999999999999</v>
      </c>
      <c r="G40" s="74">
        <v>7611.16</v>
      </c>
      <c r="H40" s="78">
        <f t="shared" si="3"/>
        <v>12.3871629</v>
      </c>
      <c r="I40" s="13">
        <f t="shared" si="4"/>
        <v>2064.5271499999999</v>
      </c>
      <c r="J40" s="23"/>
      <c r="L40" s="19"/>
      <c r="M40" s="20"/>
      <c r="N40" s="21"/>
    </row>
    <row r="41" spans="1:14" ht="15.75" hidden="1" customHeight="1">
      <c r="A41" s="94">
        <v>14</v>
      </c>
      <c r="B41" s="71" t="s">
        <v>106</v>
      </c>
      <c r="C41" s="72" t="s">
        <v>104</v>
      </c>
      <c r="D41" s="71" t="s">
        <v>69</v>
      </c>
      <c r="E41" s="74">
        <v>89.1</v>
      </c>
      <c r="F41" s="74">
        <f>SUM(E41*45/1000)</f>
        <v>4.0094999999999992</v>
      </c>
      <c r="G41" s="74">
        <v>562.25</v>
      </c>
      <c r="H41" s="78">
        <f t="shared" si="3"/>
        <v>2.2543413749999996</v>
      </c>
      <c r="I41" s="13">
        <f t="shared" si="4"/>
        <v>375.72356249999996</v>
      </c>
      <c r="J41" s="23"/>
      <c r="L41" s="19"/>
      <c r="M41" s="20"/>
      <c r="N41" s="21"/>
    </row>
    <row r="42" spans="1:14" ht="15.75" hidden="1" customHeight="1">
      <c r="A42" s="122"/>
      <c r="B42" s="71" t="s">
        <v>70</v>
      </c>
      <c r="C42" s="72" t="s">
        <v>32</v>
      </c>
      <c r="D42" s="71"/>
      <c r="E42" s="73"/>
      <c r="F42" s="74">
        <v>0.9</v>
      </c>
      <c r="G42" s="74">
        <v>974.83</v>
      </c>
      <c r="H42" s="78">
        <f t="shared" si="3"/>
        <v>0.8773470000000001</v>
      </c>
      <c r="I42" s="13">
        <f t="shared" si="4"/>
        <v>146.22450000000001</v>
      </c>
      <c r="J42" s="23"/>
      <c r="L42" s="19"/>
      <c r="M42" s="20"/>
      <c r="N42" s="21"/>
    </row>
    <row r="43" spans="1:14" ht="15.75" hidden="1" customHeight="1">
      <c r="A43" s="194" t="s">
        <v>129</v>
      </c>
      <c r="B43" s="195"/>
      <c r="C43" s="195"/>
      <c r="D43" s="195"/>
      <c r="E43" s="195"/>
      <c r="F43" s="195"/>
      <c r="G43" s="195"/>
      <c r="H43" s="195"/>
      <c r="I43" s="196"/>
      <c r="J43" s="23"/>
      <c r="L43" s="19"/>
      <c r="M43" s="20"/>
      <c r="N43" s="21"/>
    </row>
    <row r="44" spans="1:14" ht="15.75" hidden="1" customHeight="1">
      <c r="A44" s="96"/>
      <c r="B44" s="34" t="s">
        <v>107</v>
      </c>
      <c r="C44" s="44" t="s">
        <v>104</v>
      </c>
      <c r="D44" s="34" t="s">
        <v>42</v>
      </c>
      <c r="E44" s="121">
        <v>1632.75</v>
      </c>
      <c r="F44" s="33">
        <f>SUM(E44*2/1000)</f>
        <v>3.2654999999999998</v>
      </c>
      <c r="G44" s="36">
        <v>1062</v>
      </c>
      <c r="H44" s="119">
        <f t="shared" ref="H44:H53" si="5">SUM(F44*G44/1000)</f>
        <v>3.4679609999999998</v>
      </c>
      <c r="I44" s="13">
        <f>F44/2*G44</f>
        <v>1733.9804999999999</v>
      </c>
      <c r="J44" s="23"/>
      <c r="L44" s="19"/>
      <c r="M44" s="20"/>
      <c r="N44" s="21"/>
    </row>
    <row r="45" spans="1:14" ht="15.75" hidden="1" customHeight="1">
      <c r="A45" s="29"/>
      <c r="B45" s="34" t="s">
        <v>35</v>
      </c>
      <c r="C45" s="44" t="s">
        <v>104</v>
      </c>
      <c r="D45" s="34" t="s">
        <v>42</v>
      </c>
      <c r="E45" s="121">
        <v>53.75</v>
      </c>
      <c r="F45" s="33">
        <f>SUM(E45*2/1000)</f>
        <v>0.1075</v>
      </c>
      <c r="G45" s="36">
        <v>759.98</v>
      </c>
      <c r="H45" s="119">
        <f t="shared" si="5"/>
        <v>8.1697850000000002E-2</v>
      </c>
      <c r="I45" s="13">
        <f t="shared" ref="I45:I52" si="6">F45/2*G45</f>
        <v>40.848925000000001</v>
      </c>
      <c r="J45" s="23"/>
      <c r="L45" s="19"/>
      <c r="M45" s="20"/>
      <c r="N45" s="21"/>
    </row>
    <row r="46" spans="1:14" ht="15.75" hidden="1" customHeight="1">
      <c r="A46" s="29"/>
      <c r="B46" s="34" t="s">
        <v>36</v>
      </c>
      <c r="C46" s="44" t="s">
        <v>104</v>
      </c>
      <c r="D46" s="34" t="s">
        <v>42</v>
      </c>
      <c r="E46" s="121">
        <v>2285.6</v>
      </c>
      <c r="F46" s="33">
        <f>SUM(E46*2/1000)</f>
        <v>4.5712000000000002</v>
      </c>
      <c r="G46" s="36">
        <v>759.98</v>
      </c>
      <c r="H46" s="119">
        <f t="shared" si="5"/>
        <v>3.4740205760000005</v>
      </c>
      <c r="I46" s="13">
        <f t="shared" si="6"/>
        <v>1737.0102880000002</v>
      </c>
      <c r="J46" s="23"/>
      <c r="L46" s="19"/>
      <c r="M46" s="20"/>
      <c r="N46" s="21"/>
    </row>
    <row r="47" spans="1:14" ht="15.75" hidden="1" customHeight="1">
      <c r="A47" s="29"/>
      <c r="B47" s="34" t="s">
        <v>37</v>
      </c>
      <c r="C47" s="44" t="s">
        <v>104</v>
      </c>
      <c r="D47" s="34" t="s">
        <v>42</v>
      </c>
      <c r="E47" s="121">
        <v>1860</v>
      </c>
      <c r="F47" s="33">
        <f>SUM(E47*2/1000)</f>
        <v>3.72</v>
      </c>
      <c r="G47" s="36">
        <v>795.82</v>
      </c>
      <c r="H47" s="119">
        <f t="shared" si="5"/>
        <v>2.9604504</v>
      </c>
      <c r="I47" s="13">
        <f t="shared" si="6"/>
        <v>1480.2252000000001</v>
      </c>
      <c r="J47" s="23"/>
      <c r="L47" s="19"/>
      <c r="M47" s="20"/>
      <c r="N47" s="21"/>
    </row>
    <row r="48" spans="1:14" ht="15.75" hidden="1" customHeight="1">
      <c r="A48" s="29"/>
      <c r="B48" s="34" t="s">
        <v>33</v>
      </c>
      <c r="C48" s="44" t="s">
        <v>34</v>
      </c>
      <c r="D48" s="34" t="s">
        <v>42</v>
      </c>
      <c r="E48" s="121">
        <v>120.5</v>
      </c>
      <c r="F48" s="33">
        <f>SUM(E48*2/100)</f>
        <v>2.41</v>
      </c>
      <c r="G48" s="36">
        <v>95.49</v>
      </c>
      <c r="H48" s="119">
        <f t="shared" si="5"/>
        <v>0.2301309</v>
      </c>
      <c r="I48" s="13">
        <f t="shared" si="6"/>
        <v>115.06545</v>
      </c>
      <c r="J48" s="23"/>
      <c r="L48" s="19"/>
      <c r="M48" s="20"/>
      <c r="N48" s="21"/>
    </row>
    <row r="49" spans="1:14" ht="15.75" hidden="1" customHeight="1">
      <c r="A49" s="29">
        <v>15</v>
      </c>
      <c r="B49" s="34" t="s">
        <v>56</v>
      </c>
      <c r="C49" s="44" t="s">
        <v>104</v>
      </c>
      <c r="D49" s="34" t="s">
        <v>132</v>
      </c>
      <c r="E49" s="121">
        <v>3053.4</v>
      </c>
      <c r="F49" s="33">
        <f>SUM(E49*5/1000)</f>
        <v>15.266999999999999</v>
      </c>
      <c r="G49" s="36">
        <v>1591.6</v>
      </c>
      <c r="H49" s="119">
        <f t="shared" si="5"/>
        <v>24.298957199999997</v>
      </c>
      <c r="I49" s="13">
        <f>F49/5*G49</f>
        <v>4859.79144</v>
      </c>
      <c r="J49" s="23"/>
      <c r="L49" s="19"/>
      <c r="M49" s="20"/>
      <c r="N49" s="21"/>
    </row>
    <row r="50" spans="1:14" ht="31.5" hidden="1" customHeight="1">
      <c r="A50" s="29"/>
      <c r="B50" s="34" t="s">
        <v>108</v>
      </c>
      <c r="C50" s="44" t="s">
        <v>104</v>
      </c>
      <c r="D50" s="34" t="s">
        <v>42</v>
      </c>
      <c r="E50" s="121">
        <f>E49</f>
        <v>3053.4</v>
      </c>
      <c r="F50" s="33">
        <f>SUM(E50*2/1000)</f>
        <v>6.1067999999999998</v>
      </c>
      <c r="G50" s="36">
        <v>1591.6</v>
      </c>
      <c r="H50" s="119">
        <f t="shared" si="5"/>
        <v>9.7195828800000008</v>
      </c>
      <c r="I50" s="13">
        <f t="shared" si="6"/>
        <v>4859.79144</v>
      </c>
      <c r="J50" s="23"/>
      <c r="L50" s="19"/>
      <c r="M50" s="20"/>
      <c r="N50" s="21"/>
    </row>
    <row r="51" spans="1:14" ht="31.5" hidden="1" customHeight="1">
      <c r="A51" s="29"/>
      <c r="B51" s="34" t="s">
        <v>124</v>
      </c>
      <c r="C51" s="44" t="s">
        <v>38</v>
      </c>
      <c r="D51" s="34" t="s">
        <v>42</v>
      </c>
      <c r="E51" s="121">
        <v>20</v>
      </c>
      <c r="F51" s="33">
        <f>SUM(E51*2/100)</f>
        <v>0.4</v>
      </c>
      <c r="G51" s="36">
        <v>3581.13</v>
      </c>
      <c r="H51" s="119">
        <f t="shared" si="5"/>
        <v>1.4324520000000003</v>
      </c>
      <c r="I51" s="13">
        <f t="shared" si="6"/>
        <v>716.22600000000011</v>
      </c>
      <c r="J51" s="23"/>
      <c r="L51" s="19"/>
      <c r="M51" s="20"/>
      <c r="N51" s="21"/>
    </row>
    <row r="52" spans="1:14" ht="15.75" hidden="1" customHeight="1">
      <c r="A52" s="29"/>
      <c r="B52" s="34" t="s">
        <v>39</v>
      </c>
      <c r="C52" s="44" t="s">
        <v>40</v>
      </c>
      <c r="D52" s="34" t="s">
        <v>42</v>
      </c>
      <c r="E52" s="121">
        <v>1</v>
      </c>
      <c r="F52" s="33">
        <v>0.02</v>
      </c>
      <c r="G52" s="36">
        <v>7412.92</v>
      </c>
      <c r="H52" s="119">
        <f t="shared" si="5"/>
        <v>0.14825839999999998</v>
      </c>
      <c r="I52" s="13">
        <f t="shared" si="6"/>
        <v>74.129199999999997</v>
      </c>
      <c r="J52" s="23"/>
      <c r="L52" s="19"/>
      <c r="M52" s="20"/>
      <c r="N52" s="21"/>
    </row>
    <row r="53" spans="1:14" ht="15.75" hidden="1" customHeight="1">
      <c r="A53" s="29">
        <v>16</v>
      </c>
      <c r="B53" s="34" t="s">
        <v>41</v>
      </c>
      <c r="C53" s="44" t="s">
        <v>89</v>
      </c>
      <c r="D53" s="34" t="s">
        <v>71</v>
      </c>
      <c r="E53" s="121">
        <v>128</v>
      </c>
      <c r="F53" s="33">
        <f>SUM(E53)*3</f>
        <v>384</v>
      </c>
      <c r="G53" s="37">
        <v>86.15</v>
      </c>
      <c r="H53" s="119">
        <f t="shared" si="5"/>
        <v>33.081600000000009</v>
      </c>
      <c r="I53" s="13">
        <f>E53*G53</f>
        <v>11027.2</v>
      </c>
      <c r="J53" s="23"/>
      <c r="L53" s="19"/>
      <c r="M53" s="20"/>
      <c r="N53" s="21"/>
    </row>
    <row r="54" spans="1:14" ht="15.75" customHeight="1">
      <c r="A54" s="204" t="s">
        <v>134</v>
      </c>
      <c r="B54" s="205"/>
      <c r="C54" s="205"/>
      <c r="D54" s="205"/>
      <c r="E54" s="205"/>
      <c r="F54" s="205"/>
      <c r="G54" s="205"/>
      <c r="H54" s="205"/>
      <c r="I54" s="206"/>
      <c r="J54" s="23"/>
      <c r="L54" s="19"/>
      <c r="M54" s="20"/>
      <c r="N54" s="21"/>
    </row>
    <row r="55" spans="1:14" ht="15.75" customHeight="1">
      <c r="A55" s="29"/>
      <c r="B55" s="93" t="s">
        <v>43</v>
      </c>
      <c r="C55" s="72"/>
      <c r="D55" s="71"/>
      <c r="E55" s="73"/>
      <c r="F55" s="74"/>
      <c r="G55" s="74"/>
      <c r="H55" s="78"/>
      <c r="I55" s="79"/>
      <c r="J55" s="23"/>
      <c r="L55" s="19"/>
      <c r="M55" s="20"/>
      <c r="N55" s="21"/>
    </row>
    <row r="56" spans="1:14" ht="31.5" hidden="1" customHeight="1">
      <c r="A56" s="29">
        <v>17</v>
      </c>
      <c r="B56" s="71" t="s">
        <v>109</v>
      </c>
      <c r="C56" s="72" t="s">
        <v>93</v>
      </c>
      <c r="D56" s="71" t="s">
        <v>110</v>
      </c>
      <c r="E56" s="73">
        <v>92.7</v>
      </c>
      <c r="F56" s="74">
        <f>SUM(E56*6/100)</f>
        <v>5.5620000000000003</v>
      </c>
      <c r="G56" s="13">
        <v>2431.1799999999998</v>
      </c>
      <c r="H56" s="78">
        <f>SUM(F56*G56/1000)</f>
        <v>13.522223159999999</v>
      </c>
      <c r="I56" s="13">
        <f>F56/6*G56</f>
        <v>2253.7038600000001</v>
      </c>
      <c r="J56" s="23"/>
      <c r="L56" s="19"/>
      <c r="M56" s="20"/>
      <c r="N56" s="21"/>
    </row>
    <row r="57" spans="1:14" ht="15.75" customHeight="1">
      <c r="A57" s="29">
        <v>8</v>
      </c>
      <c r="B57" s="71" t="s">
        <v>125</v>
      </c>
      <c r="C57" s="72" t="s">
        <v>126</v>
      </c>
      <c r="D57" s="14"/>
      <c r="E57" s="73"/>
      <c r="F57" s="74">
        <v>2</v>
      </c>
      <c r="G57" s="67">
        <v>1582.05</v>
      </c>
      <c r="H57" s="78">
        <f>SUM(F57*G57/1000)</f>
        <v>3.1640999999999999</v>
      </c>
      <c r="I57" s="13">
        <f>G57*2</f>
        <v>3164.1</v>
      </c>
      <c r="J57" s="23"/>
      <c r="L57" s="19"/>
      <c r="M57" s="20"/>
      <c r="N57" s="21"/>
    </row>
    <row r="58" spans="1:14" ht="15.75" customHeight="1">
      <c r="A58" s="29"/>
      <c r="B58" s="93" t="s">
        <v>44</v>
      </c>
      <c r="C58" s="72"/>
      <c r="D58" s="71"/>
      <c r="E58" s="73"/>
      <c r="F58" s="74"/>
      <c r="G58" s="74"/>
      <c r="H58" s="75" t="s">
        <v>123</v>
      </c>
      <c r="I58" s="79"/>
      <c r="J58" s="23"/>
      <c r="L58" s="19"/>
      <c r="M58" s="20"/>
      <c r="N58" s="21"/>
    </row>
    <row r="59" spans="1:14" ht="15.75" hidden="1" customHeight="1">
      <c r="A59" s="29"/>
      <c r="B59" s="34" t="s">
        <v>45</v>
      </c>
      <c r="C59" s="44" t="s">
        <v>93</v>
      </c>
      <c r="D59" s="34" t="s">
        <v>54</v>
      </c>
      <c r="E59" s="123">
        <v>145</v>
      </c>
      <c r="F59" s="33">
        <f>SUM(E59/100)</f>
        <v>1.45</v>
      </c>
      <c r="G59" s="36">
        <v>1040.8399999999999</v>
      </c>
      <c r="H59" s="124">
        <v>9.1679999999999993</v>
      </c>
      <c r="I59" s="13">
        <v>0</v>
      </c>
      <c r="J59" s="23"/>
      <c r="L59" s="19"/>
      <c r="M59" s="20"/>
      <c r="N59" s="21"/>
    </row>
    <row r="60" spans="1:14" ht="15.75" customHeight="1">
      <c r="A60" s="29">
        <v>9</v>
      </c>
      <c r="B60" s="125" t="s">
        <v>90</v>
      </c>
      <c r="C60" s="126" t="s">
        <v>25</v>
      </c>
      <c r="D60" s="125" t="s">
        <v>206</v>
      </c>
      <c r="E60" s="123">
        <v>200</v>
      </c>
      <c r="F60" s="33">
        <f>E60*12</f>
        <v>2400</v>
      </c>
      <c r="G60" s="127">
        <v>1.4</v>
      </c>
      <c r="H60" s="128">
        <f>G60*F60/1000</f>
        <v>3.36</v>
      </c>
      <c r="I60" s="13">
        <f>F60/12*G60</f>
        <v>280</v>
      </c>
      <c r="J60" s="23"/>
      <c r="L60" s="19"/>
      <c r="M60" s="20"/>
      <c r="N60" s="21"/>
    </row>
    <row r="61" spans="1:14" ht="15.75" customHeight="1">
      <c r="A61" s="29"/>
      <c r="B61" s="102" t="s">
        <v>46</v>
      </c>
      <c r="C61" s="84"/>
      <c r="D61" s="83"/>
      <c r="E61" s="81"/>
      <c r="F61" s="85"/>
      <c r="G61" s="85"/>
      <c r="H61" s="86" t="s">
        <v>123</v>
      </c>
      <c r="I61" s="79"/>
      <c r="J61" s="23"/>
      <c r="L61" s="19"/>
      <c r="M61" s="20"/>
      <c r="N61" s="21"/>
    </row>
    <row r="62" spans="1:14" ht="15.75" hidden="1" customHeight="1">
      <c r="A62" s="29">
        <v>11</v>
      </c>
      <c r="B62" s="56" t="s">
        <v>47</v>
      </c>
      <c r="C62" s="40" t="s">
        <v>89</v>
      </c>
      <c r="D62" s="39" t="s">
        <v>222</v>
      </c>
      <c r="E62" s="17">
        <v>6</v>
      </c>
      <c r="F62" s="33">
        <f>SUM(E62)</f>
        <v>6</v>
      </c>
      <c r="G62" s="36">
        <v>291.68</v>
      </c>
      <c r="H62" s="114">
        <f t="shared" ref="H62:H70" si="7">SUM(F62*G62/1000)</f>
        <v>1.7500799999999999</v>
      </c>
      <c r="I62" s="13">
        <f>G62*3</f>
        <v>875.04</v>
      </c>
      <c r="J62" s="23"/>
      <c r="L62" s="19"/>
    </row>
    <row r="63" spans="1:14" ht="15.75" hidden="1" customHeight="1">
      <c r="A63" s="29"/>
      <c r="B63" s="56" t="s">
        <v>48</v>
      </c>
      <c r="C63" s="40" t="s">
        <v>89</v>
      </c>
      <c r="D63" s="39" t="s">
        <v>66</v>
      </c>
      <c r="E63" s="17">
        <v>4</v>
      </c>
      <c r="F63" s="33">
        <f>SUM(E63)</f>
        <v>4</v>
      </c>
      <c r="G63" s="36">
        <v>100.01</v>
      </c>
      <c r="H63" s="114">
        <f t="shared" si="7"/>
        <v>0.40004000000000001</v>
      </c>
      <c r="I63" s="13">
        <v>0</v>
      </c>
      <c r="J63" s="23"/>
      <c r="L63" s="19"/>
    </row>
    <row r="64" spans="1:14" ht="15.75" hidden="1" customHeight="1">
      <c r="A64" s="29"/>
      <c r="B64" s="56" t="s">
        <v>49</v>
      </c>
      <c r="C64" s="42" t="s">
        <v>111</v>
      </c>
      <c r="D64" s="39" t="s">
        <v>54</v>
      </c>
      <c r="E64" s="121">
        <v>15552</v>
      </c>
      <c r="F64" s="37">
        <f>SUM(E64/100)</f>
        <v>155.52000000000001</v>
      </c>
      <c r="G64" s="36">
        <v>278.24</v>
      </c>
      <c r="H64" s="114">
        <f t="shared" si="7"/>
        <v>43.271884800000009</v>
      </c>
      <c r="I64" s="13">
        <v>0</v>
      </c>
    </row>
    <row r="65" spans="1:22" ht="15.75" hidden="1" customHeight="1">
      <c r="A65" s="29"/>
      <c r="B65" s="56" t="s">
        <v>50</v>
      </c>
      <c r="C65" s="40" t="s">
        <v>112</v>
      </c>
      <c r="D65" s="39"/>
      <c r="E65" s="121">
        <v>15552</v>
      </c>
      <c r="F65" s="36">
        <f>SUM(E65/1000)</f>
        <v>15.552</v>
      </c>
      <c r="G65" s="36">
        <v>216.68</v>
      </c>
      <c r="H65" s="114">
        <f t="shared" si="7"/>
        <v>3.3698073600000003</v>
      </c>
      <c r="I65" s="13">
        <v>0</v>
      </c>
    </row>
    <row r="66" spans="1:22" ht="15.75" hidden="1" customHeight="1">
      <c r="A66" s="29"/>
      <c r="B66" s="56" t="s">
        <v>51</v>
      </c>
      <c r="C66" s="40" t="s">
        <v>78</v>
      </c>
      <c r="D66" s="39" t="s">
        <v>54</v>
      </c>
      <c r="E66" s="121">
        <v>2432</v>
      </c>
      <c r="F66" s="36">
        <f>SUM(E66/100)</f>
        <v>24.32</v>
      </c>
      <c r="G66" s="36">
        <v>2720.94</v>
      </c>
      <c r="H66" s="114">
        <f t="shared" si="7"/>
        <v>66.173260800000008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/>
      <c r="B67" s="53" t="s">
        <v>72</v>
      </c>
      <c r="C67" s="40" t="s">
        <v>32</v>
      </c>
      <c r="D67" s="39"/>
      <c r="E67" s="121">
        <v>14.8</v>
      </c>
      <c r="F67" s="36">
        <f>SUM(E67)</f>
        <v>14.8</v>
      </c>
      <c r="G67" s="36">
        <v>42.61</v>
      </c>
      <c r="H67" s="114">
        <f t="shared" si="7"/>
        <v>0.63062800000000008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31.5" hidden="1" customHeight="1">
      <c r="A68" s="29"/>
      <c r="B68" s="53" t="s">
        <v>73</v>
      </c>
      <c r="C68" s="40" t="s">
        <v>32</v>
      </c>
      <c r="D68" s="39"/>
      <c r="E68" s="121">
        <f>E67</f>
        <v>14.8</v>
      </c>
      <c r="F68" s="36">
        <f>SUM(E68)</f>
        <v>14.8</v>
      </c>
      <c r="G68" s="36">
        <v>46.04</v>
      </c>
      <c r="H68" s="114">
        <f t="shared" si="7"/>
        <v>0.681392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/>
      <c r="B69" s="39" t="s">
        <v>57</v>
      </c>
      <c r="C69" s="40" t="s">
        <v>58</v>
      </c>
      <c r="D69" s="39" t="s">
        <v>54</v>
      </c>
      <c r="E69" s="17">
        <v>5</v>
      </c>
      <c r="F69" s="33">
        <f>SUM(E69)</f>
        <v>5</v>
      </c>
      <c r="G69" s="36">
        <v>65.42</v>
      </c>
      <c r="H69" s="114">
        <f t="shared" si="7"/>
        <v>0.3271</v>
      </c>
      <c r="I69" s="13">
        <v>0</v>
      </c>
      <c r="J69" s="5"/>
      <c r="K69" s="5"/>
      <c r="L69" s="5"/>
      <c r="M69" s="5"/>
      <c r="N69" s="5"/>
      <c r="O69" s="5"/>
      <c r="P69" s="5"/>
      <c r="Q69" s="5"/>
      <c r="R69" s="182"/>
      <c r="S69" s="182"/>
      <c r="T69" s="182"/>
      <c r="U69" s="182"/>
    </row>
    <row r="70" spans="1:22" ht="15.75" customHeight="1">
      <c r="A70" s="29">
        <v>10</v>
      </c>
      <c r="B70" s="39" t="s">
        <v>148</v>
      </c>
      <c r="C70" s="45" t="s">
        <v>149</v>
      </c>
      <c r="D70" s="39"/>
      <c r="E70" s="17">
        <f>E49</f>
        <v>3053.4</v>
      </c>
      <c r="F70" s="33">
        <f>SUM(E70*12)</f>
        <v>36640.800000000003</v>
      </c>
      <c r="G70" s="36">
        <v>2.2799999999999998</v>
      </c>
      <c r="H70" s="114">
        <f t="shared" si="7"/>
        <v>83.541024000000007</v>
      </c>
      <c r="I70" s="13">
        <f>F70/12*G70</f>
        <v>6961.7519999999995</v>
      </c>
      <c r="J70" s="5"/>
      <c r="K70" s="5"/>
      <c r="L70" s="5"/>
      <c r="M70" s="5"/>
      <c r="N70" s="5"/>
      <c r="O70" s="5"/>
      <c r="P70" s="5"/>
      <c r="Q70" s="5"/>
      <c r="R70" s="60"/>
      <c r="S70" s="60"/>
      <c r="T70" s="60"/>
      <c r="U70" s="60"/>
    </row>
    <row r="71" spans="1:22" ht="15.75" customHeight="1">
      <c r="A71" s="29"/>
      <c r="B71" s="66" t="s">
        <v>74</v>
      </c>
      <c r="C71" s="16"/>
      <c r="D71" s="14"/>
      <c r="E71" s="18"/>
      <c r="F71" s="13"/>
      <c r="G71" s="13"/>
      <c r="H71" s="87" t="s">
        <v>123</v>
      </c>
      <c r="I71" s="79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29">
        <v>19</v>
      </c>
      <c r="B72" s="39" t="s">
        <v>150</v>
      </c>
      <c r="C72" s="40" t="s">
        <v>151</v>
      </c>
      <c r="D72" s="39" t="s">
        <v>66</v>
      </c>
      <c r="E72" s="17">
        <v>1</v>
      </c>
      <c r="F72" s="36">
        <f>E72</f>
        <v>1</v>
      </c>
      <c r="G72" s="36">
        <v>1029.1199999999999</v>
      </c>
      <c r="H72" s="113">
        <f t="shared" ref="H72:H73" si="8">SUM(F72*G72/1000)</f>
        <v>1.0291199999999998</v>
      </c>
      <c r="I72" s="13">
        <v>0</v>
      </c>
    </row>
    <row r="73" spans="1:22" ht="15.75" hidden="1" customHeight="1">
      <c r="A73" s="29"/>
      <c r="B73" s="39" t="s">
        <v>152</v>
      </c>
      <c r="C73" s="40" t="s">
        <v>153</v>
      </c>
      <c r="D73" s="129"/>
      <c r="E73" s="17">
        <v>1</v>
      </c>
      <c r="F73" s="36">
        <v>1</v>
      </c>
      <c r="G73" s="36">
        <v>735</v>
      </c>
      <c r="H73" s="113">
        <f t="shared" si="8"/>
        <v>0.73499999999999999</v>
      </c>
      <c r="I73" s="13">
        <v>0</v>
      </c>
    </row>
    <row r="74" spans="1:22" ht="15" hidden="1" customHeight="1">
      <c r="A74" s="29">
        <v>13</v>
      </c>
      <c r="B74" s="39" t="s">
        <v>75</v>
      </c>
      <c r="C74" s="40" t="s">
        <v>76</v>
      </c>
      <c r="D74" s="39" t="s">
        <v>66</v>
      </c>
      <c r="E74" s="17">
        <v>5</v>
      </c>
      <c r="F74" s="33">
        <f>SUM(E74/10)</f>
        <v>0.5</v>
      </c>
      <c r="G74" s="36">
        <v>657.87</v>
      </c>
      <c r="H74" s="113">
        <f>SUM(F74*G74/1000)</f>
        <v>0.32893499999999998</v>
      </c>
      <c r="I74" s="13">
        <f>G74*0.4</f>
        <v>263.14800000000002</v>
      </c>
    </row>
    <row r="75" spans="1:22" ht="14.25" hidden="1" customHeight="1">
      <c r="A75" s="29"/>
      <c r="B75" s="39" t="s">
        <v>121</v>
      </c>
      <c r="C75" s="40" t="s">
        <v>89</v>
      </c>
      <c r="D75" s="39" t="s">
        <v>66</v>
      </c>
      <c r="E75" s="17">
        <v>1</v>
      </c>
      <c r="F75" s="36">
        <f>E75</f>
        <v>1</v>
      </c>
      <c r="G75" s="36">
        <v>1118.72</v>
      </c>
      <c r="H75" s="113">
        <f>SUM(F75*G75/1000)</f>
        <v>1.1187199999999999</v>
      </c>
      <c r="I75" s="13">
        <v>0</v>
      </c>
    </row>
    <row r="76" spans="1:22" ht="15.75" customHeight="1">
      <c r="A76" s="29">
        <v>11</v>
      </c>
      <c r="B76" s="115" t="s">
        <v>154</v>
      </c>
      <c r="C76" s="116" t="s">
        <v>89</v>
      </c>
      <c r="D76" s="39" t="s">
        <v>201</v>
      </c>
      <c r="E76" s="17">
        <v>2</v>
      </c>
      <c r="F76" s="33">
        <f>E76*12</f>
        <v>24</v>
      </c>
      <c r="G76" s="36">
        <v>53.42</v>
      </c>
      <c r="H76" s="113">
        <f t="shared" ref="H76:H77" si="9">SUM(F76*G76/1000)</f>
        <v>1.2820799999999999</v>
      </c>
      <c r="I76" s="13">
        <f>G76*2</f>
        <v>106.84</v>
      </c>
    </row>
    <row r="77" spans="1:22" ht="31.5" customHeight="1">
      <c r="A77" s="29">
        <v>12</v>
      </c>
      <c r="B77" s="115" t="s">
        <v>155</v>
      </c>
      <c r="C77" s="116" t="s">
        <v>89</v>
      </c>
      <c r="D77" s="39" t="s">
        <v>206</v>
      </c>
      <c r="E77" s="17">
        <v>1</v>
      </c>
      <c r="F77" s="33">
        <f>E77*12</f>
        <v>12</v>
      </c>
      <c r="G77" s="36">
        <v>1194</v>
      </c>
      <c r="H77" s="113">
        <f t="shared" si="9"/>
        <v>14.327999999999999</v>
      </c>
      <c r="I77" s="13">
        <f>G77</f>
        <v>1194</v>
      </c>
    </row>
    <row r="78" spans="1:22" ht="15.75" hidden="1" customHeight="1">
      <c r="A78" s="29"/>
      <c r="B78" s="90" t="s">
        <v>77</v>
      </c>
      <c r="C78" s="16"/>
      <c r="D78" s="14"/>
      <c r="E78" s="18"/>
      <c r="F78" s="18"/>
      <c r="G78" s="18"/>
      <c r="H78" s="18"/>
      <c r="I78" s="79"/>
    </row>
    <row r="79" spans="1:22" ht="15.75" hidden="1" customHeight="1">
      <c r="A79" s="29"/>
      <c r="B79" s="41" t="s">
        <v>115</v>
      </c>
      <c r="C79" s="42" t="s">
        <v>78</v>
      </c>
      <c r="D79" s="56"/>
      <c r="E79" s="59"/>
      <c r="F79" s="37">
        <v>0.3</v>
      </c>
      <c r="G79" s="37">
        <v>3619.09</v>
      </c>
      <c r="H79" s="114">
        <f t="shared" ref="H79" si="10">SUM(F79*G79/1000)</f>
        <v>1.0857270000000001</v>
      </c>
      <c r="I79" s="13">
        <v>0</v>
      </c>
    </row>
    <row r="80" spans="1:22" ht="15.75" hidden="1" customHeight="1">
      <c r="A80" s="29"/>
      <c r="B80" s="66" t="s">
        <v>113</v>
      </c>
      <c r="C80" s="90"/>
      <c r="D80" s="31"/>
      <c r="E80" s="32"/>
      <c r="F80" s="91"/>
      <c r="G80" s="91"/>
      <c r="H80" s="92">
        <f>SUM(H56:H79)</f>
        <v>249.26712212000004</v>
      </c>
      <c r="I80" s="77"/>
    </row>
    <row r="81" spans="1:9" ht="15.75" hidden="1" customHeight="1">
      <c r="A81" s="94"/>
      <c r="B81" s="34" t="s">
        <v>114</v>
      </c>
      <c r="C81" s="130"/>
      <c r="D81" s="131"/>
      <c r="E81" s="132"/>
      <c r="F81" s="38">
        <f>232/10</f>
        <v>23.2</v>
      </c>
      <c r="G81" s="38">
        <v>12361.2</v>
      </c>
      <c r="H81" s="114">
        <f>G81*F81/1000</f>
        <v>286.77984000000004</v>
      </c>
      <c r="I81" s="95">
        <v>0</v>
      </c>
    </row>
    <row r="82" spans="1:9" ht="15.75" customHeight="1">
      <c r="A82" s="194" t="s">
        <v>135</v>
      </c>
      <c r="B82" s="195"/>
      <c r="C82" s="195"/>
      <c r="D82" s="195"/>
      <c r="E82" s="195"/>
      <c r="F82" s="195"/>
      <c r="G82" s="195"/>
      <c r="H82" s="195"/>
      <c r="I82" s="196"/>
    </row>
    <row r="83" spans="1:9" ht="15.75" customHeight="1">
      <c r="A83" s="96">
        <v>13</v>
      </c>
      <c r="B83" s="34" t="s">
        <v>116</v>
      </c>
      <c r="C83" s="40" t="s">
        <v>55</v>
      </c>
      <c r="D83" s="103"/>
      <c r="E83" s="36">
        <v>3053.4</v>
      </c>
      <c r="F83" s="36">
        <f>SUM(E83*12)</f>
        <v>36640.800000000003</v>
      </c>
      <c r="G83" s="36">
        <v>3.1</v>
      </c>
      <c r="H83" s="114">
        <f>SUM(F83*G83/1000)</f>
        <v>113.58648000000001</v>
      </c>
      <c r="I83" s="101">
        <f>F83/12*G83</f>
        <v>9465.5400000000009</v>
      </c>
    </row>
    <row r="84" spans="1:9" ht="31.5" customHeight="1">
      <c r="A84" s="29">
        <v>14</v>
      </c>
      <c r="B84" s="39" t="s">
        <v>79</v>
      </c>
      <c r="C84" s="40"/>
      <c r="D84" s="103"/>
      <c r="E84" s="121">
        <v>3053.4</v>
      </c>
      <c r="F84" s="36">
        <f>E84*12</f>
        <v>36640.800000000003</v>
      </c>
      <c r="G84" s="36">
        <v>3.5</v>
      </c>
      <c r="H84" s="114">
        <f>F84*G84/1000</f>
        <v>128.24280000000002</v>
      </c>
      <c r="I84" s="13">
        <f>F84/12*G84</f>
        <v>10686.9</v>
      </c>
    </row>
    <row r="85" spans="1:9" ht="15.75" customHeight="1">
      <c r="A85" s="29"/>
      <c r="B85" s="43" t="s">
        <v>81</v>
      </c>
      <c r="C85" s="90"/>
      <c r="D85" s="88"/>
      <c r="E85" s="91"/>
      <c r="F85" s="91"/>
      <c r="G85" s="91"/>
      <c r="H85" s="92">
        <f>SUM(H84)</f>
        <v>128.24280000000002</v>
      </c>
      <c r="I85" s="91">
        <f>I84+I83+I77+I76+I70+I60+I57+I32+I30+I29+I26+I18+I17+I16</f>
        <v>48039.730125666661</v>
      </c>
    </row>
    <row r="86" spans="1:9" ht="15.75" customHeight="1">
      <c r="A86" s="183" t="s">
        <v>60</v>
      </c>
      <c r="B86" s="184"/>
      <c r="C86" s="184"/>
      <c r="D86" s="184"/>
      <c r="E86" s="184"/>
      <c r="F86" s="184"/>
      <c r="G86" s="184"/>
      <c r="H86" s="184"/>
      <c r="I86" s="185"/>
    </row>
    <row r="87" spans="1:9" ht="15.75" customHeight="1">
      <c r="A87" s="29">
        <v>15</v>
      </c>
      <c r="B87" s="115" t="s">
        <v>82</v>
      </c>
      <c r="C87" s="116" t="s">
        <v>89</v>
      </c>
      <c r="D87" s="117"/>
      <c r="E87" s="36"/>
      <c r="F87" s="36">
        <v>4</v>
      </c>
      <c r="G87" s="13">
        <v>207.55</v>
      </c>
      <c r="H87" s="114">
        <f>F87*G87/1000</f>
        <v>0.83020000000000005</v>
      </c>
      <c r="I87" s="13">
        <f>G87*1</f>
        <v>207.55</v>
      </c>
    </row>
    <row r="88" spans="1:9" ht="29.25" customHeight="1">
      <c r="A88" s="29">
        <v>16</v>
      </c>
      <c r="B88" s="115" t="s">
        <v>223</v>
      </c>
      <c r="C88" s="116" t="s">
        <v>91</v>
      </c>
      <c r="D88" s="52"/>
      <c r="E88" s="36"/>
      <c r="F88" s="36">
        <v>128</v>
      </c>
      <c r="G88" s="13">
        <v>4742.7700000000004</v>
      </c>
      <c r="H88" s="114">
        <f t="shared" ref="H88:H89" si="11">F88*G88/1000</f>
        <v>607.07456000000002</v>
      </c>
      <c r="I88" s="13">
        <f>G88*0.95</f>
        <v>4505.6315000000004</v>
      </c>
    </row>
    <row r="89" spans="1:9" ht="17.25" customHeight="1">
      <c r="A89" s="29">
        <v>17</v>
      </c>
      <c r="B89" s="115" t="s">
        <v>224</v>
      </c>
      <c r="C89" s="116" t="s">
        <v>89</v>
      </c>
      <c r="D89" s="117"/>
      <c r="E89" s="36"/>
      <c r="F89" s="36">
        <v>0.02</v>
      </c>
      <c r="G89" s="13">
        <v>330</v>
      </c>
      <c r="H89" s="114">
        <f t="shared" si="11"/>
        <v>6.6000000000000008E-3</v>
      </c>
      <c r="I89" s="13">
        <f>G89*6</f>
        <v>1980</v>
      </c>
    </row>
    <row r="90" spans="1:9" ht="15.75" customHeight="1">
      <c r="A90" s="29"/>
      <c r="B90" s="50" t="s">
        <v>52</v>
      </c>
      <c r="C90" s="46"/>
      <c r="D90" s="54"/>
      <c r="E90" s="46">
        <v>1</v>
      </c>
      <c r="F90" s="46"/>
      <c r="G90" s="46"/>
      <c r="H90" s="46"/>
      <c r="I90" s="32">
        <f>SUM(I87:I89)</f>
        <v>6693.1815000000006</v>
      </c>
    </row>
    <row r="91" spans="1:9" ht="15.75" customHeight="1">
      <c r="A91" s="29"/>
      <c r="B91" s="52" t="s">
        <v>80</v>
      </c>
      <c r="C91" s="15"/>
      <c r="D91" s="15"/>
      <c r="E91" s="47"/>
      <c r="F91" s="47"/>
      <c r="G91" s="48"/>
      <c r="H91" s="48"/>
      <c r="I91" s="17">
        <v>0</v>
      </c>
    </row>
    <row r="92" spans="1:9" ht="15.75" customHeight="1">
      <c r="A92" s="55"/>
      <c r="B92" s="51" t="s">
        <v>141</v>
      </c>
      <c r="C92" s="35"/>
      <c r="D92" s="35"/>
      <c r="E92" s="35"/>
      <c r="F92" s="35"/>
      <c r="G92" s="35"/>
      <c r="H92" s="35"/>
      <c r="I92" s="49">
        <f>I85+I90</f>
        <v>54732.91162566666</v>
      </c>
    </row>
    <row r="93" spans="1:9" ht="15.75">
      <c r="A93" s="186" t="s">
        <v>225</v>
      </c>
      <c r="B93" s="186"/>
      <c r="C93" s="186"/>
      <c r="D93" s="186"/>
      <c r="E93" s="186"/>
      <c r="F93" s="186"/>
      <c r="G93" s="186"/>
      <c r="H93" s="186"/>
      <c r="I93" s="186"/>
    </row>
    <row r="94" spans="1:9" ht="15.75">
      <c r="A94" s="62"/>
      <c r="B94" s="187" t="s">
        <v>226</v>
      </c>
      <c r="C94" s="187"/>
      <c r="D94" s="187"/>
      <c r="E94" s="187"/>
      <c r="F94" s="187"/>
      <c r="G94" s="187"/>
      <c r="H94" s="70"/>
      <c r="I94" s="3"/>
    </row>
    <row r="95" spans="1:9">
      <c r="A95" s="60"/>
      <c r="B95" s="188" t="s">
        <v>6</v>
      </c>
      <c r="C95" s="188"/>
      <c r="D95" s="188"/>
      <c r="E95" s="188"/>
      <c r="F95" s="188"/>
      <c r="G95" s="188"/>
      <c r="H95" s="24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89" t="s">
        <v>7</v>
      </c>
      <c r="B97" s="189"/>
      <c r="C97" s="189"/>
      <c r="D97" s="189"/>
      <c r="E97" s="189"/>
      <c r="F97" s="189"/>
      <c r="G97" s="189"/>
      <c r="H97" s="189"/>
      <c r="I97" s="189"/>
    </row>
    <row r="98" spans="1:9" ht="15.75" customHeight="1">
      <c r="A98" s="189" t="s">
        <v>8</v>
      </c>
      <c r="B98" s="189"/>
      <c r="C98" s="189"/>
      <c r="D98" s="189"/>
      <c r="E98" s="189"/>
      <c r="F98" s="189"/>
      <c r="G98" s="189"/>
      <c r="H98" s="189"/>
      <c r="I98" s="189"/>
    </row>
    <row r="99" spans="1:9" ht="15.75" customHeight="1">
      <c r="A99" s="190" t="s">
        <v>61</v>
      </c>
      <c r="B99" s="190"/>
      <c r="C99" s="190"/>
      <c r="D99" s="190"/>
      <c r="E99" s="190"/>
      <c r="F99" s="190"/>
      <c r="G99" s="190"/>
      <c r="H99" s="190"/>
      <c r="I99" s="190"/>
    </row>
    <row r="100" spans="1:9" ht="15.75" customHeight="1">
      <c r="A100" s="11"/>
    </row>
    <row r="101" spans="1:9" ht="15.75" customHeight="1">
      <c r="A101" s="191" t="s">
        <v>9</v>
      </c>
      <c r="B101" s="191"/>
      <c r="C101" s="191"/>
      <c r="D101" s="191"/>
      <c r="E101" s="191"/>
      <c r="F101" s="191"/>
      <c r="G101" s="191"/>
      <c r="H101" s="191"/>
      <c r="I101" s="191"/>
    </row>
    <row r="102" spans="1:9" ht="15.75" customHeight="1">
      <c r="A102" s="4"/>
    </row>
    <row r="103" spans="1:9" ht="15.75" customHeight="1">
      <c r="B103" s="61" t="s">
        <v>10</v>
      </c>
      <c r="C103" s="192" t="s">
        <v>88</v>
      </c>
      <c r="D103" s="192"/>
      <c r="E103" s="192"/>
      <c r="F103" s="68"/>
      <c r="I103" s="64"/>
    </row>
    <row r="104" spans="1:9" ht="15.75" customHeight="1">
      <c r="A104" s="60"/>
      <c r="C104" s="188" t="s">
        <v>11</v>
      </c>
      <c r="D104" s="188"/>
      <c r="E104" s="188"/>
      <c r="F104" s="24"/>
      <c r="I104" s="63" t="s">
        <v>12</v>
      </c>
    </row>
    <row r="105" spans="1:9" ht="15.75" customHeight="1">
      <c r="A105" s="25"/>
      <c r="C105" s="12"/>
      <c r="D105" s="12"/>
      <c r="G105" s="12"/>
      <c r="H105" s="12"/>
    </row>
    <row r="106" spans="1:9" ht="15.75" customHeight="1">
      <c r="B106" s="61" t="s">
        <v>13</v>
      </c>
      <c r="C106" s="193"/>
      <c r="D106" s="193"/>
      <c r="E106" s="193"/>
      <c r="F106" s="69"/>
      <c r="I106" s="64"/>
    </row>
    <row r="107" spans="1:9" ht="15.75" customHeight="1">
      <c r="A107" s="60"/>
      <c r="C107" s="182" t="s">
        <v>11</v>
      </c>
      <c r="D107" s="182"/>
      <c r="E107" s="182"/>
      <c r="F107" s="60"/>
      <c r="I107" s="63" t="s">
        <v>12</v>
      </c>
    </row>
    <row r="108" spans="1:9" ht="15.75" customHeight="1">
      <c r="A108" s="4" t="s">
        <v>14</v>
      </c>
    </row>
    <row r="109" spans="1:9">
      <c r="A109" s="180" t="s">
        <v>15</v>
      </c>
      <c r="B109" s="180"/>
      <c r="C109" s="180"/>
      <c r="D109" s="180"/>
      <c r="E109" s="180"/>
      <c r="F109" s="180"/>
      <c r="G109" s="180"/>
      <c r="H109" s="180"/>
      <c r="I109" s="180"/>
    </row>
    <row r="110" spans="1:9" ht="45" customHeight="1">
      <c r="A110" s="181" t="s">
        <v>16</v>
      </c>
      <c r="B110" s="181"/>
      <c r="C110" s="181"/>
      <c r="D110" s="181"/>
      <c r="E110" s="181"/>
      <c r="F110" s="181"/>
      <c r="G110" s="181"/>
      <c r="H110" s="181"/>
      <c r="I110" s="181"/>
    </row>
    <row r="111" spans="1:9" ht="30" customHeight="1">
      <c r="A111" s="181" t="s">
        <v>17</v>
      </c>
      <c r="B111" s="181"/>
      <c r="C111" s="181"/>
      <c r="D111" s="181"/>
      <c r="E111" s="181"/>
      <c r="F111" s="181"/>
      <c r="G111" s="181"/>
      <c r="H111" s="181"/>
      <c r="I111" s="181"/>
    </row>
    <row r="112" spans="1:9" ht="30" customHeight="1">
      <c r="A112" s="181" t="s">
        <v>21</v>
      </c>
      <c r="B112" s="181"/>
      <c r="C112" s="181"/>
      <c r="D112" s="181"/>
      <c r="E112" s="181"/>
      <c r="F112" s="181"/>
      <c r="G112" s="181"/>
      <c r="H112" s="181"/>
      <c r="I112" s="181"/>
    </row>
    <row r="113" spans="1:9" ht="15" customHeight="1">
      <c r="A113" s="181" t="s">
        <v>20</v>
      </c>
      <c r="B113" s="181"/>
      <c r="C113" s="181"/>
      <c r="D113" s="181"/>
      <c r="E113" s="181"/>
      <c r="F113" s="181"/>
      <c r="G113" s="181"/>
      <c r="H113" s="181"/>
      <c r="I113" s="181"/>
    </row>
  </sheetData>
  <autoFilter ref="I12:I64"/>
  <mergeCells count="29">
    <mergeCell ref="A109:I109"/>
    <mergeCell ref="A110:I110"/>
    <mergeCell ref="A111:I111"/>
    <mergeCell ref="A112:I112"/>
    <mergeCell ref="A113:I113"/>
    <mergeCell ref="R69:U69"/>
    <mergeCell ref="C107:E107"/>
    <mergeCell ref="A86:I86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2:I82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1"/>
  <sheetViews>
    <sheetView topLeftCell="A13" workbookViewId="0">
      <selection activeCell="L8" sqref="L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168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7" t="s">
        <v>137</v>
      </c>
      <c r="B3" s="197"/>
      <c r="C3" s="197"/>
      <c r="D3" s="197"/>
      <c r="E3" s="197"/>
      <c r="F3" s="197"/>
      <c r="G3" s="197"/>
      <c r="H3" s="197"/>
      <c r="I3" s="197"/>
      <c r="J3" s="3"/>
      <c r="K3" s="3"/>
      <c r="L3" s="3"/>
    </row>
    <row r="4" spans="1:13" ht="31.5" customHeight="1">
      <c r="A4" s="198" t="s">
        <v>117</v>
      </c>
      <c r="B4" s="198"/>
      <c r="C4" s="198"/>
      <c r="D4" s="198"/>
      <c r="E4" s="198"/>
      <c r="F4" s="198"/>
      <c r="G4" s="198"/>
      <c r="H4" s="198"/>
      <c r="I4" s="198"/>
    </row>
    <row r="5" spans="1:13" ht="15.75" customHeight="1">
      <c r="A5" s="197" t="s">
        <v>251</v>
      </c>
      <c r="B5" s="199"/>
      <c r="C5" s="199"/>
      <c r="D5" s="199"/>
      <c r="E5" s="199"/>
      <c r="F5" s="199"/>
      <c r="G5" s="199"/>
      <c r="H5" s="199"/>
      <c r="I5" s="199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0">
        <v>43708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0" t="s">
        <v>169</v>
      </c>
      <c r="B8" s="200"/>
      <c r="C8" s="200"/>
      <c r="D8" s="200"/>
      <c r="E8" s="200"/>
      <c r="F8" s="200"/>
      <c r="G8" s="200"/>
      <c r="H8" s="200"/>
      <c r="I8" s="20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1" t="s">
        <v>158</v>
      </c>
      <c r="B10" s="201"/>
      <c r="C10" s="201"/>
      <c r="D10" s="201"/>
      <c r="E10" s="201"/>
      <c r="F10" s="201"/>
      <c r="G10" s="201"/>
      <c r="H10" s="201"/>
      <c r="I10" s="201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2" t="s">
        <v>59</v>
      </c>
      <c r="B14" s="202"/>
      <c r="C14" s="202"/>
      <c r="D14" s="202"/>
      <c r="E14" s="202"/>
      <c r="F14" s="202"/>
      <c r="G14" s="202"/>
      <c r="H14" s="202"/>
      <c r="I14" s="202"/>
      <c r="J14" s="8"/>
      <c r="K14" s="8"/>
      <c r="L14" s="8"/>
      <c r="M14" s="8"/>
    </row>
    <row r="15" spans="1:13" ht="15.75" customHeight="1">
      <c r="A15" s="203" t="s">
        <v>4</v>
      </c>
      <c r="B15" s="203"/>
      <c r="C15" s="203"/>
      <c r="D15" s="203"/>
      <c r="E15" s="203"/>
      <c r="F15" s="203"/>
      <c r="G15" s="203"/>
      <c r="H15" s="203"/>
      <c r="I15" s="203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93</v>
      </c>
      <c r="D16" s="71" t="s">
        <v>199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93</v>
      </c>
      <c r="D17" s="71" t="s">
        <v>200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93</v>
      </c>
      <c r="D18" s="71" t="s">
        <v>201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100</v>
      </c>
      <c r="C19" s="72" t="s">
        <v>101</v>
      </c>
      <c r="D19" s="71" t="s">
        <v>102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92</v>
      </c>
      <c r="C20" s="72" t="s">
        <v>93</v>
      </c>
      <c r="D20" s="71" t="s">
        <v>142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98</v>
      </c>
      <c r="C21" s="72" t="s">
        <v>93</v>
      </c>
      <c r="D21" s="71" t="s">
        <v>142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94</v>
      </c>
      <c r="C22" s="72" t="s">
        <v>53</v>
      </c>
      <c r="D22" s="71" t="s">
        <v>102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95</v>
      </c>
      <c r="C23" s="72" t="s">
        <v>53</v>
      </c>
      <c r="D23" s="71" t="s">
        <v>102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96</v>
      </c>
      <c r="C24" s="72" t="s">
        <v>53</v>
      </c>
      <c r="D24" s="71" t="s">
        <v>102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99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198</v>
      </c>
      <c r="C26" s="44" t="s">
        <v>25</v>
      </c>
      <c r="D26" s="34" t="s">
        <v>201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  <c r="J26" s="23"/>
    </row>
    <row r="27" spans="1:13" ht="15.75" customHeight="1">
      <c r="A27" s="203" t="s">
        <v>140</v>
      </c>
      <c r="B27" s="203"/>
      <c r="C27" s="203"/>
      <c r="D27" s="203"/>
      <c r="E27" s="203"/>
      <c r="F27" s="203"/>
      <c r="G27" s="203"/>
      <c r="H27" s="203"/>
      <c r="I27" s="203"/>
      <c r="J27" s="22"/>
      <c r="K27" s="8"/>
      <c r="L27" s="8"/>
      <c r="M27" s="8"/>
    </row>
    <row r="28" spans="1:13" ht="15.75" customHeight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  <c r="J28" s="22"/>
      <c r="K28" s="8"/>
      <c r="L28" s="8"/>
      <c r="M28" s="8"/>
    </row>
    <row r="29" spans="1:13" ht="15.75" customHeight="1">
      <c r="A29" s="29">
        <v>5</v>
      </c>
      <c r="B29" s="71" t="s">
        <v>103</v>
      </c>
      <c r="C29" s="72" t="s">
        <v>104</v>
      </c>
      <c r="D29" s="71" t="s">
        <v>200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2" si="1">SUM(F29*G29/1000)</f>
        <v>3.3774305759999996</v>
      </c>
      <c r="I29" s="13">
        <f t="shared" ref="I29:I32" si="2">F29/6*G29</f>
        <v>562.90509599999996</v>
      </c>
      <c r="J29" s="22"/>
      <c r="K29" s="8"/>
      <c r="L29" s="8"/>
      <c r="M29" s="8"/>
    </row>
    <row r="30" spans="1:13" ht="31.5" customHeight="1">
      <c r="A30" s="29">
        <v>6</v>
      </c>
      <c r="B30" s="71" t="s">
        <v>128</v>
      </c>
      <c r="C30" s="72" t="s">
        <v>104</v>
      </c>
      <c r="D30" s="71" t="s">
        <v>199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1"/>
        <v>3.8655693179999995</v>
      </c>
      <c r="I30" s="13">
        <f t="shared" si="2"/>
        <v>644.26155299999994</v>
      </c>
      <c r="J30" s="22"/>
      <c r="K30" s="8"/>
      <c r="L30" s="8"/>
      <c r="M30" s="8"/>
    </row>
    <row r="31" spans="1:13" ht="15.75" hidden="1" customHeight="1">
      <c r="A31" s="29">
        <v>11</v>
      </c>
      <c r="B31" s="71" t="s">
        <v>27</v>
      </c>
      <c r="C31" s="72" t="s">
        <v>104</v>
      </c>
      <c r="D31" s="71" t="s">
        <v>206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1"/>
        <v>1.2584827709999999</v>
      </c>
      <c r="I31" s="13">
        <f>F31*G31</f>
        <v>1258.482771</v>
      </c>
      <c r="J31" s="22"/>
      <c r="K31" s="8"/>
      <c r="L31" s="8"/>
      <c r="M31" s="8"/>
    </row>
    <row r="32" spans="1:13" ht="15.75" customHeight="1">
      <c r="A32" s="29">
        <v>7</v>
      </c>
      <c r="B32" s="71" t="s">
        <v>143</v>
      </c>
      <c r="C32" s="72" t="s">
        <v>40</v>
      </c>
      <c r="D32" s="71" t="s">
        <v>203</v>
      </c>
      <c r="E32" s="74">
        <v>5</v>
      </c>
      <c r="F32" s="74">
        <f>E32*155/100</f>
        <v>7.75</v>
      </c>
      <c r="G32" s="74">
        <v>1707.63</v>
      </c>
      <c r="H32" s="78">
        <f t="shared" si="1"/>
        <v>13.234132500000001</v>
      </c>
      <c r="I32" s="13">
        <f t="shared" si="2"/>
        <v>2205.6887500000003</v>
      </c>
      <c r="J32" s="22"/>
      <c r="K32" s="8"/>
      <c r="L32" s="8"/>
      <c r="M32" s="8"/>
    </row>
    <row r="33" spans="1:14" ht="15.75" hidden="1" customHeight="1">
      <c r="A33" s="29"/>
      <c r="B33" s="34" t="s">
        <v>64</v>
      </c>
      <c r="C33" s="44" t="s">
        <v>32</v>
      </c>
      <c r="D33" s="34" t="s">
        <v>66</v>
      </c>
      <c r="E33" s="121"/>
      <c r="F33" s="33">
        <v>2</v>
      </c>
      <c r="G33" s="33">
        <v>250.92</v>
      </c>
      <c r="H33" s="119">
        <f t="shared" ref="H33:H34" si="3">SUM(F33*G33/1000)</f>
        <v>0.50183999999999995</v>
      </c>
      <c r="I33" s="13">
        <v>0</v>
      </c>
      <c r="J33" s="22"/>
      <c r="K33" s="8"/>
    </row>
    <row r="34" spans="1:14" ht="15.75" hidden="1" customHeight="1">
      <c r="A34" s="29"/>
      <c r="B34" s="34" t="s">
        <v>65</v>
      </c>
      <c r="C34" s="44" t="s">
        <v>31</v>
      </c>
      <c r="D34" s="34" t="s">
        <v>66</v>
      </c>
      <c r="E34" s="121"/>
      <c r="F34" s="33">
        <v>1</v>
      </c>
      <c r="G34" s="33">
        <v>1490.31</v>
      </c>
      <c r="H34" s="119">
        <f t="shared" si="3"/>
        <v>1.49031</v>
      </c>
      <c r="I34" s="13"/>
      <c r="J34" s="22"/>
      <c r="K34" s="8"/>
    </row>
    <row r="35" spans="1:14" ht="15.75" hidden="1" customHeight="1">
      <c r="A35" s="29"/>
      <c r="B35" s="93" t="s">
        <v>5</v>
      </c>
      <c r="C35" s="72"/>
      <c r="D35" s="71"/>
      <c r="E35" s="73"/>
      <c r="F35" s="74"/>
      <c r="G35" s="74"/>
      <c r="H35" s="78" t="s">
        <v>123</v>
      </c>
      <c r="I35" s="79"/>
      <c r="J35" s="23"/>
    </row>
    <row r="36" spans="1:14" ht="15.75" hidden="1" customHeight="1">
      <c r="A36" s="29">
        <v>9</v>
      </c>
      <c r="B36" s="71" t="s">
        <v>26</v>
      </c>
      <c r="C36" s="72" t="s">
        <v>31</v>
      </c>
      <c r="D36" s="71"/>
      <c r="E36" s="73"/>
      <c r="F36" s="74">
        <v>3</v>
      </c>
      <c r="G36" s="74">
        <v>2003</v>
      </c>
      <c r="H36" s="78">
        <f t="shared" ref="H36:H42" si="4">SUM(F36*G36/1000)</f>
        <v>6.0090000000000003</v>
      </c>
      <c r="I36" s="13">
        <f t="shared" ref="I36:I42" si="5">F36/6*G36</f>
        <v>1001.5</v>
      </c>
      <c r="J36" s="23"/>
    </row>
    <row r="37" spans="1:14" ht="15.75" hidden="1" customHeight="1">
      <c r="A37" s="29">
        <v>10</v>
      </c>
      <c r="B37" s="71" t="s">
        <v>67</v>
      </c>
      <c r="C37" s="72" t="s">
        <v>29</v>
      </c>
      <c r="D37" s="71" t="s">
        <v>144</v>
      </c>
      <c r="E37" s="74">
        <v>160.6</v>
      </c>
      <c r="F37" s="74">
        <f>SUM(E37*18/1000)</f>
        <v>2.8907999999999996</v>
      </c>
      <c r="G37" s="74">
        <v>2757.78</v>
      </c>
      <c r="H37" s="78">
        <f t="shared" si="4"/>
        <v>7.972190423999999</v>
      </c>
      <c r="I37" s="13">
        <f t="shared" si="5"/>
        <v>1328.698404</v>
      </c>
      <c r="J37" s="23"/>
    </row>
    <row r="38" spans="1:14" ht="15.75" hidden="1" customHeight="1">
      <c r="A38" s="29">
        <v>11</v>
      </c>
      <c r="B38" s="71" t="s">
        <v>68</v>
      </c>
      <c r="C38" s="72" t="s">
        <v>29</v>
      </c>
      <c r="D38" s="71" t="s">
        <v>120</v>
      </c>
      <c r="E38" s="73">
        <v>89.1</v>
      </c>
      <c r="F38" s="74">
        <f>SUM(E38*155/1000)</f>
        <v>13.810499999999999</v>
      </c>
      <c r="G38" s="74">
        <v>460.02</v>
      </c>
      <c r="H38" s="78">
        <f t="shared" si="4"/>
        <v>6.3531062099999991</v>
      </c>
      <c r="I38" s="13">
        <f t="shared" si="5"/>
        <v>1058.8510349999999</v>
      </c>
      <c r="J38" s="23"/>
    </row>
    <row r="39" spans="1:14" ht="15.75" hidden="1" customHeight="1">
      <c r="A39" s="29">
        <v>12</v>
      </c>
      <c r="B39" s="71" t="s">
        <v>145</v>
      </c>
      <c r="C39" s="72" t="s">
        <v>146</v>
      </c>
      <c r="D39" s="71" t="s">
        <v>66</v>
      </c>
      <c r="E39" s="73"/>
      <c r="F39" s="74">
        <v>39</v>
      </c>
      <c r="G39" s="74">
        <v>301.70999999999998</v>
      </c>
      <c r="H39" s="78">
        <f t="shared" si="4"/>
        <v>11.766689999999999</v>
      </c>
      <c r="I39" s="13">
        <v>0</v>
      </c>
      <c r="J39" s="23"/>
    </row>
    <row r="40" spans="1:14" ht="47.25" hidden="1" customHeight="1">
      <c r="A40" s="29">
        <v>13</v>
      </c>
      <c r="B40" s="71" t="s">
        <v>83</v>
      </c>
      <c r="C40" s="72" t="s">
        <v>104</v>
      </c>
      <c r="D40" s="71" t="s">
        <v>147</v>
      </c>
      <c r="E40" s="74">
        <v>46.5</v>
      </c>
      <c r="F40" s="74">
        <f>SUM(E40*35/1000)</f>
        <v>1.6274999999999999</v>
      </c>
      <c r="G40" s="74">
        <v>7611.16</v>
      </c>
      <c r="H40" s="78">
        <f t="shared" si="4"/>
        <v>12.3871629</v>
      </c>
      <c r="I40" s="13">
        <f t="shared" si="5"/>
        <v>2064.5271499999999</v>
      </c>
      <c r="J40" s="23"/>
      <c r="L40" s="19"/>
      <c r="M40" s="20"/>
      <c r="N40" s="21"/>
    </row>
    <row r="41" spans="1:14" ht="15.75" hidden="1" customHeight="1">
      <c r="A41" s="94">
        <v>14</v>
      </c>
      <c r="B41" s="71" t="s">
        <v>106</v>
      </c>
      <c r="C41" s="72" t="s">
        <v>104</v>
      </c>
      <c r="D41" s="71" t="s">
        <v>69</v>
      </c>
      <c r="E41" s="74">
        <v>89.1</v>
      </c>
      <c r="F41" s="74">
        <f>SUM(E41*45/1000)</f>
        <v>4.0094999999999992</v>
      </c>
      <c r="G41" s="74">
        <v>562.25</v>
      </c>
      <c r="H41" s="78">
        <f t="shared" si="4"/>
        <v>2.2543413749999996</v>
      </c>
      <c r="I41" s="13">
        <f t="shared" si="5"/>
        <v>375.72356249999996</v>
      </c>
      <c r="J41" s="23"/>
      <c r="L41" s="19"/>
      <c r="M41" s="20"/>
      <c r="N41" s="21"/>
    </row>
    <row r="42" spans="1:14" ht="15.75" hidden="1" customHeight="1">
      <c r="A42" s="122"/>
      <c r="B42" s="71" t="s">
        <v>70</v>
      </c>
      <c r="C42" s="72" t="s">
        <v>32</v>
      </c>
      <c r="D42" s="71"/>
      <c r="E42" s="73"/>
      <c r="F42" s="74">
        <v>0.9</v>
      </c>
      <c r="G42" s="74">
        <v>974.83</v>
      </c>
      <c r="H42" s="78">
        <f t="shared" si="4"/>
        <v>0.8773470000000001</v>
      </c>
      <c r="I42" s="13">
        <f t="shared" si="5"/>
        <v>146.22450000000001</v>
      </c>
      <c r="J42" s="23"/>
      <c r="L42" s="19"/>
      <c r="M42" s="20"/>
      <c r="N42" s="21"/>
    </row>
    <row r="43" spans="1:14" ht="15.75" customHeight="1">
      <c r="A43" s="194" t="s">
        <v>129</v>
      </c>
      <c r="B43" s="195"/>
      <c r="C43" s="195"/>
      <c r="D43" s="195"/>
      <c r="E43" s="195"/>
      <c r="F43" s="195"/>
      <c r="G43" s="195"/>
      <c r="H43" s="195"/>
      <c r="I43" s="196"/>
      <c r="J43" s="23"/>
      <c r="L43" s="19"/>
      <c r="M43" s="20"/>
      <c r="N43" s="21"/>
    </row>
    <row r="44" spans="1:14" ht="15.75" hidden="1" customHeight="1">
      <c r="A44" s="96"/>
      <c r="B44" s="34" t="s">
        <v>107</v>
      </c>
      <c r="C44" s="44" t="s">
        <v>104</v>
      </c>
      <c r="D44" s="34" t="s">
        <v>42</v>
      </c>
      <c r="E44" s="121">
        <v>1632.75</v>
      </c>
      <c r="F44" s="33">
        <f>SUM(E44*2/1000)</f>
        <v>3.2654999999999998</v>
      </c>
      <c r="G44" s="36">
        <v>1062</v>
      </c>
      <c r="H44" s="119">
        <f t="shared" ref="H44:H53" si="6">SUM(F44*G44/1000)</f>
        <v>3.4679609999999998</v>
      </c>
      <c r="I44" s="13">
        <f>F44/2*G44</f>
        <v>1733.9804999999999</v>
      </c>
      <c r="J44" s="23"/>
      <c r="L44" s="19"/>
      <c r="M44" s="20"/>
      <c r="N44" s="21"/>
    </row>
    <row r="45" spans="1:14" ht="15.75" hidden="1" customHeight="1">
      <c r="A45" s="29"/>
      <c r="B45" s="34" t="s">
        <v>35</v>
      </c>
      <c r="C45" s="44" t="s">
        <v>104</v>
      </c>
      <c r="D45" s="34" t="s">
        <v>42</v>
      </c>
      <c r="E45" s="121">
        <v>53.75</v>
      </c>
      <c r="F45" s="33">
        <f>SUM(E45*2/1000)</f>
        <v>0.1075</v>
      </c>
      <c r="G45" s="36">
        <v>759.98</v>
      </c>
      <c r="H45" s="119">
        <f t="shared" si="6"/>
        <v>8.1697850000000002E-2</v>
      </c>
      <c r="I45" s="13">
        <f t="shared" ref="I45:I52" si="7">F45/2*G45</f>
        <v>40.848925000000001</v>
      </c>
      <c r="J45" s="23"/>
      <c r="L45" s="19"/>
      <c r="M45" s="20"/>
      <c r="N45" s="21"/>
    </row>
    <row r="46" spans="1:14" ht="15.75" hidden="1" customHeight="1">
      <c r="A46" s="29"/>
      <c r="B46" s="34" t="s">
        <v>36</v>
      </c>
      <c r="C46" s="44" t="s">
        <v>104</v>
      </c>
      <c r="D46" s="34" t="s">
        <v>42</v>
      </c>
      <c r="E46" s="121">
        <v>2285.6</v>
      </c>
      <c r="F46" s="33">
        <f>SUM(E46*2/1000)</f>
        <v>4.5712000000000002</v>
      </c>
      <c r="G46" s="36">
        <v>759.98</v>
      </c>
      <c r="H46" s="119">
        <f t="shared" si="6"/>
        <v>3.4740205760000005</v>
      </c>
      <c r="I46" s="13">
        <f t="shared" si="7"/>
        <v>1737.0102880000002</v>
      </c>
      <c r="J46" s="23"/>
      <c r="L46" s="19"/>
      <c r="M46" s="20"/>
      <c r="N46" s="21"/>
    </row>
    <row r="47" spans="1:14" ht="15.75" hidden="1" customHeight="1">
      <c r="A47" s="29"/>
      <c r="B47" s="34" t="s">
        <v>37</v>
      </c>
      <c r="C47" s="44" t="s">
        <v>104</v>
      </c>
      <c r="D47" s="34" t="s">
        <v>42</v>
      </c>
      <c r="E47" s="121">
        <v>1860</v>
      </c>
      <c r="F47" s="33">
        <f>SUM(E47*2/1000)</f>
        <v>3.72</v>
      </c>
      <c r="G47" s="36">
        <v>795.82</v>
      </c>
      <c r="H47" s="119">
        <f t="shared" si="6"/>
        <v>2.9604504</v>
      </c>
      <c r="I47" s="13">
        <f t="shared" si="7"/>
        <v>1480.2252000000001</v>
      </c>
      <c r="J47" s="23"/>
      <c r="L47" s="19"/>
      <c r="M47" s="20"/>
      <c r="N47" s="21"/>
    </row>
    <row r="48" spans="1:14" ht="15.75" hidden="1" customHeight="1">
      <c r="A48" s="29"/>
      <c r="B48" s="34" t="s">
        <v>33</v>
      </c>
      <c r="C48" s="44" t="s">
        <v>34</v>
      </c>
      <c r="D48" s="34" t="s">
        <v>42</v>
      </c>
      <c r="E48" s="121">
        <v>120.5</v>
      </c>
      <c r="F48" s="33">
        <f>SUM(E48*2/100)</f>
        <v>2.41</v>
      </c>
      <c r="G48" s="36">
        <v>95.49</v>
      </c>
      <c r="H48" s="119">
        <f t="shared" si="6"/>
        <v>0.2301309</v>
      </c>
      <c r="I48" s="13">
        <f t="shared" si="7"/>
        <v>115.06545</v>
      </c>
      <c r="J48" s="23"/>
      <c r="L48" s="19"/>
      <c r="M48" s="20"/>
      <c r="N48" s="21"/>
    </row>
    <row r="49" spans="1:14" ht="15.75" hidden="1" customHeight="1">
      <c r="A49" s="29">
        <v>15</v>
      </c>
      <c r="B49" s="34" t="s">
        <v>56</v>
      </c>
      <c r="C49" s="44" t="s">
        <v>104</v>
      </c>
      <c r="D49" s="34" t="s">
        <v>132</v>
      </c>
      <c r="E49" s="121">
        <v>3053.4</v>
      </c>
      <c r="F49" s="33">
        <f>SUM(E49*5/1000)</f>
        <v>15.266999999999999</v>
      </c>
      <c r="G49" s="36">
        <v>1591.6</v>
      </c>
      <c r="H49" s="119">
        <f t="shared" si="6"/>
        <v>24.298957199999997</v>
      </c>
      <c r="I49" s="13">
        <f>F49/5*G49</f>
        <v>4859.79144</v>
      </c>
      <c r="J49" s="23"/>
      <c r="L49" s="19"/>
      <c r="M49" s="20"/>
      <c r="N49" s="21"/>
    </row>
    <row r="50" spans="1:14" ht="31.5" hidden="1" customHeight="1">
      <c r="A50" s="29"/>
      <c r="B50" s="34" t="s">
        <v>108</v>
      </c>
      <c r="C50" s="44" t="s">
        <v>104</v>
      </c>
      <c r="D50" s="34" t="s">
        <v>42</v>
      </c>
      <c r="E50" s="121">
        <f>E49</f>
        <v>3053.4</v>
      </c>
      <c r="F50" s="33">
        <f>SUM(E50*2/1000)</f>
        <v>6.1067999999999998</v>
      </c>
      <c r="G50" s="36">
        <v>1591.6</v>
      </c>
      <c r="H50" s="119">
        <f t="shared" si="6"/>
        <v>9.7195828800000008</v>
      </c>
      <c r="I50" s="13">
        <f t="shared" si="7"/>
        <v>4859.79144</v>
      </c>
      <c r="J50" s="23"/>
      <c r="L50" s="19"/>
      <c r="M50" s="20"/>
      <c r="N50" s="21"/>
    </row>
    <row r="51" spans="1:14" ht="31.5" hidden="1" customHeight="1">
      <c r="A51" s="29"/>
      <c r="B51" s="34" t="s">
        <v>124</v>
      </c>
      <c r="C51" s="44" t="s">
        <v>38</v>
      </c>
      <c r="D51" s="34" t="s">
        <v>42</v>
      </c>
      <c r="E51" s="121">
        <v>20</v>
      </c>
      <c r="F51" s="33">
        <f>SUM(E51*2/100)</f>
        <v>0.4</v>
      </c>
      <c r="G51" s="36">
        <v>3581.13</v>
      </c>
      <c r="H51" s="119">
        <f t="shared" si="6"/>
        <v>1.4324520000000003</v>
      </c>
      <c r="I51" s="13">
        <f t="shared" si="7"/>
        <v>716.22600000000011</v>
      </c>
      <c r="J51" s="23"/>
      <c r="L51" s="19"/>
      <c r="M51" s="20"/>
      <c r="N51" s="21"/>
    </row>
    <row r="52" spans="1:14" ht="15.75" hidden="1" customHeight="1">
      <c r="A52" s="29"/>
      <c r="B52" s="34" t="s">
        <v>39</v>
      </c>
      <c r="C52" s="44" t="s">
        <v>40</v>
      </c>
      <c r="D52" s="34" t="s">
        <v>42</v>
      </c>
      <c r="E52" s="121">
        <v>1</v>
      </c>
      <c r="F52" s="33">
        <v>0.02</v>
      </c>
      <c r="G52" s="36">
        <v>7412.92</v>
      </c>
      <c r="H52" s="119">
        <f t="shared" si="6"/>
        <v>0.14825839999999998</v>
      </c>
      <c r="I52" s="13">
        <f t="shared" si="7"/>
        <v>74.129199999999997</v>
      </c>
      <c r="J52" s="23"/>
      <c r="L52" s="19"/>
      <c r="M52" s="20"/>
      <c r="N52" s="21"/>
    </row>
    <row r="53" spans="1:14" ht="15.75" customHeight="1">
      <c r="A53" s="29">
        <v>8</v>
      </c>
      <c r="B53" s="34" t="s">
        <v>41</v>
      </c>
      <c r="C53" s="44" t="s">
        <v>89</v>
      </c>
      <c r="D53" s="178">
        <v>43699</v>
      </c>
      <c r="E53" s="121">
        <v>128</v>
      </c>
      <c r="F53" s="33">
        <f>SUM(E53)*3</f>
        <v>384</v>
      </c>
      <c r="G53" s="37">
        <v>86.15</v>
      </c>
      <c r="H53" s="119">
        <f t="shared" si="6"/>
        <v>33.081600000000009</v>
      </c>
      <c r="I53" s="13">
        <f>E53*G53</f>
        <v>11027.2</v>
      </c>
      <c r="J53" s="23"/>
      <c r="L53" s="19"/>
      <c r="M53" s="20"/>
      <c r="N53" s="21"/>
    </row>
    <row r="54" spans="1:14" ht="15.75" customHeight="1">
      <c r="A54" s="204" t="s">
        <v>130</v>
      </c>
      <c r="B54" s="205"/>
      <c r="C54" s="205"/>
      <c r="D54" s="205"/>
      <c r="E54" s="205"/>
      <c r="F54" s="205"/>
      <c r="G54" s="205"/>
      <c r="H54" s="205"/>
      <c r="I54" s="206"/>
      <c r="J54" s="23"/>
      <c r="L54" s="19"/>
      <c r="M54" s="20"/>
      <c r="N54" s="21"/>
    </row>
    <row r="55" spans="1:14" ht="15.75" hidden="1" customHeight="1">
      <c r="A55" s="29"/>
      <c r="B55" s="93" t="s">
        <v>43</v>
      </c>
      <c r="C55" s="72"/>
      <c r="D55" s="71"/>
      <c r="E55" s="73"/>
      <c r="F55" s="74"/>
      <c r="G55" s="74"/>
      <c r="H55" s="78"/>
      <c r="I55" s="79"/>
      <c r="J55" s="23"/>
      <c r="L55" s="19"/>
      <c r="M55" s="20"/>
      <c r="N55" s="21"/>
    </row>
    <row r="56" spans="1:14" ht="31.5" hidden="1" customHeight="1">
      <c r="A56" s="29">
        <v>17</v>
      </c>
      <c r="B56" s="71" t="s">
        <v>109</v>
      </c>
      <c r="C56" s="72" t="s">
        <v>93</v>
      </c>
      <c r="D56" s="71" t="s">
        <v>110</v>
      </c>
      <c r="E56" s="73">
        <v>92.7</v>
      </c>
      <c r="F56" s="74">
        <f>SUM(E56*6/100)</f>
        <v>5.5620000000000003</v>
      </c>
      <c r="G56" s="13">
        <v>2431.1799999999998</v>
      </c>
      <c r="H56" s="78">
        <f>SUM(F56*G56/1000)</f>
        <v>13.522223159999999</v>
      </c>
      <c r="I56" s="13">
        <f>F56/6*G56</f>
        <v>2253.7038600000001</v>
      </c>
      <c r="J56" s="23"/>
      <c r="L56" s="19"/>
      <c r="M56" s="20"/>
      <c r="N56" s="21"/>
    </row>
    <row r="57" spans="1:14" ht="15.75" hidden="1" customHeight="1">
      <c r="A57" s="29">
        <v>10</v>
      </c>
      <c r="B57" s="71" t="s">
        <v>125</v>
      </c>
      <c r="C57" s="72" t="s">
        <v>126</v>
      </c>
      <c r="D57" s="14" t="s">
        <v>66</v>
      </c>
      <c r="E57" s="73"/>
      <c r="F57" s="74">
        <v>2</v>
      </c>
      <c r="G57" s="67">
        <v>1582.05</v>
      </c>
      <c r="H57" s="78">
        <f>SUM(F57*G57/1000)</f>
        <v>3.1640999999999999</v>
      </c>
      <c r="I57" s="13">
        <f>G57*2</f>
        <v>3164.1</v>
      </c>
      <c r="J57" s="23"/>
      <c r="L57" s="19"/>
      <c r="M57" s="20"/>
      <c r="N57" s="21"/>
    </row>
    <row r="58" spans="1:14" ht="15.75" customHeight="1">
      <c r="A58" s="29"/>
      <c r="B58" s="93" t="s">
        <v>44</v>
      </c>
      <c r="C58" s="72"/>
      <c r="D58" s="71"/>
      <c r="E58" s="73"/>
      <c r="F58" s="74"/>
      <c r="G58" s="74"/>
      <c r="H58" s="75" t="s">
        <v>123</v>
      </c>
      <c r="I58" s="79"/>
      <c r="J58" s="23"/>
      <c r="L58" s="19"/>
      <c r="M58" s="20"/>
      <c r="N58" s="21"/>
    </row>
    <row r="59" spans="1:14" ht="15.75" hidden="1" customHeight="1">
      <c r="A59" s="29"/>
      <c r="B59" s="34" t="s">
        <v>45</v>
      </c>
      <c r="C59" s="44" t="s">
        <v>93</v>
      </c>
      <c r="D59" s="34" t="s">
        <v>54</v>
      </c>
      <c r="E59" s="123">
        <v>145</v>
      </c>
      <c r="F59" s="33">
        <f>SUM(E59/100)</f>
        <v>1.45</v>
      </c>
      <c r="G59" s="36">
        <v>1040.8399999999999</v>
      </c>
      <c r="H59" s="124">
        <v>9.1679999999999993</v>
      </c>
      <c r="I59" s="13">
        <v>0</v>
      </c>
      <c r="J59" s="23"/>
      <c r="L59" s="19"/>
      <c r="M59" s="20"/>
      <c r="N59" s="21"/>
    </row>
    <row r="60" spans="1:14" ht="15.75" customHeight="1">
      <c r="A60" s="29">
        <v>9</v>
      </c>
      <c r="B60" s="125" t="s">
        <v>90</v>
      </c>
      <c r="C60" s="126" t="s">
        <v>25</v>
      </c>
      <c r="D60" s="125" t="s">
        <v>201</v>
      </c>
      <c r="E60" s="123">
        <v>255.2</v>
      </c>
      <c r="F60" s="33">
        <v>2400</v>
      </c>
      <c r="G60" s="127">
        <v>1.4</v>
      </c>
      <c r="H60" s="128">
        <f>G60*F60/1000</f>
        <v>3.36</v>
      </c>
      <c r="I60" s="13">
        <f>F60/12*G60</f>
        <v>280</v>
      </c>
      <c r="J60" s="23"/>
      <c r="L60" s="19"/>
      <c r="M60" s="20"/>
      <c r="N60" s="21"/>
    </row>
    <row r="61" spans="1:14" ht="15.75" customHeight="1">
      <c r="A61" s="29"/>
      <c r="B61" s="102" t="s">
        <v>46</v>
      </c>
      <c r="C61" s="84"/>
      <c r="D61" s="83"/>
      <c r="E61" s="81"/>
      <c r="F61" s="85"/>
      <c r="G61" s="85"/>
      <c r="H61" s="86" t="s">
        <v>123</v>
      </c>
      <c r="I61" s="79"/>
      <c r="J61" s="23"/>
      <c r="L61" s="19"/>
      <c r="M61" s="20"/>
      <c r="N61" s="21"/>
    </row>
    <row r="62" spans="1:14" ht="21" hidden="1" customHeight="1">
      <c r="A62" s="29">
        <v>11</v>
      </c>
      <c r="B62" s="56" t="s">
        <v>47</v>
      </c>
      <c r="C62" s="40" t="s">
        <v>89</v>
      </c>
      <c r="D62" s="39" t="s">
        <v>66</v>
      </c>
      <c r="E62" s="17">
        <v>6</v>
      </c>
      <c r="F62" s="33">
        <f>SUM(E62)</f>
        <v>6</v>
      </c>
      <c r="G62" s="36">
        <v>291.68</v>
      </c>
      <c r="H62" s="114">
        <f t="shared" ref="H62:H70" si="8">SUM(F62*G62/1000)</f>
        <v>1.7500799999999999</v>
      </c>
      <c r="I62" s="13">
        <f>G62*5</f>
        <v>1458.4</v>
      </c>
      <c r="J62" s="23"/>
      <c r="L62" s="19"/>
    </row>
    <row r="63" spans="1:14" ht="20.25" hidden="1" customHeight="1">
      <c r="A63" s="29"/>
      <c r="B63" s="56" t="s">
        <v>48</v>
      </c>
      <c r="C63" s="40" t="s">
        <v>89</v>
      </c>
      <c r="D63" s="39" t="s">
        <v>66</v>
      </c>
      <c r="E63" s="17">
        <v>4</v>
      </c>
      <c r="F63" s="33">
        <f>SUM(E63)</f>
        <v>4</v>
      </c>
      <c r="G63" s="36">
        <v>100.01</v>
      </c>
      <c r="H63" s="114">
        <f t="shared" si="8"/>
        <v>0.40004000000000001</v>
      </c>
      <c r="I63" s="13">
        <v>0</v>
      </c>
      <c r="J63" s="23"/>
      <c r="L63" s="19"/>
    </row>
    <row r="64" spans="1:14" ht="17.25" hidden="1" customHeight="1">
      <c r="A64" s="29"/>
      <c r="B64" s="56" t="s">
        <v>49</v>
      </c>
      <c r="C64" s="42" t="s">
        <v>111</v>
      </c>
      <c r="D64" s="39" t="s">
        <v>54</v>
      </c>
      <c r="E64" s="121">
        <v>15552</v>
      </c>
      <c r="F64" s="37">
        <f>SUM(E64/100)</f>
        <v>155.52000000000001</v>
      </c>
      <c r="G64" s="36">
        <v>278.24</v>
      </c>
      <c r="H64" s="114">
        <f t="shared" si="8"/>
        <v>43.271884800000009</v>
      </c>
      <c r="I64" s="13">
        <v>0</v>
      </c>
    </row>
    <row r="65" spans="1:22" ht="18.75" hidden="1" customHeight="1">
      <c r="A65" s="29"/>
      <c r="B65" s="56" t="s">
        <v>50</v>
      </c>
      <c r="C65" s="40" t="s">
        <v>112</v>
      </c>
      <c r="D65" s="39"/>
      <c r="E65" s="121">
        <v>15552</v>
      </c>
      <c r="F65" s="36">
        <f>SUM(E65/1000)</f>
        <v>15.552</v>
      </c>
      <c r="G65" s="36">
        <v>216.68</v>
      </c>
      <c r="H65" s="114">
        <f t="shared" si="8"/>
        <v>3.3698073600000003</v>
      </c>
      <c r="I65" s="13">
        <v>0</v>
      </c>
    </row>
    <row r="66" spans="1:22" ht="21" hidden="1" customHeight="1">
      <c r="A66" s="29"/>
      <c r="B66" s="56" t="s">
        <v>51</v>
      </c>
      <c r="C66" s="40" t="s">
        <v>78</v>
      </c>
      <c r="D66" s="39" t="s">
        <v>54</v>
      </c>
      <c r="E66" s="121">
        <v>2432</v>
      </c>
      <c r="F66" s="36">
        <f>SUM(E66/100)</f>
        <v>24.32</v>
      </c>
      <c r="G66" s="36">
        <v>2720.94</v>
      </c>
      <c r="H66" s="114">
        <f t="shared" si="8"/>
        <v>66.173260800000008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20.25" hidden="1" customHeight="1">
      <c r="A67" s="29"/>
      <c r="B67" s="53" t="s">
        <v>72</v>
      </c>
      <c r="C67" s="40" t="s">
        <v>32</v>
      </c>
      <c r="D67" s="39"/>
      <c r="E67" s="121">
        <v>14.8</v>
      </c>
      <c r="F67" s="36">
        <f>SUM(E67)</f>
        <v>14.8</v>
      </c>
      <c r="G67" s="36">
        <v>42.61</v>
      </c>
      <c r="H67" s="114">
        <f t="shared" si="8"/>
        <v>0.63062800000000008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8.75" hidden="1" customHeight="1">
      <c r="A68" s="29"/>
      <c r="B68" s="53" t="s">
        <v>73</v>
      </c>
      <c r="C68" s="40" t="s">
        <v>32</v>
      </c>
      <c r="D68" s="39"/>
      <c r="E68" s="121">
        <f>E67</f>
        <v>14.8</v>
      </c>
      <c r="F68" s="36">
        <f>SUM(E68)</f>
        <v>14.8</v>
      </c>
      <c r="G68" s="36">
        <v>46.04</v>
      </c>
      <c r="H68" s="114">
        <f t="shared" si="8"/>
        <v>0.681392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7.25" hidden="1" customHeight="1">
      <c r="A69" s="29"/>
      <c r="B69" s="39" t="s">
        <v>57</v>
      </c>
      <c r="C69" s="40" t="s">
        <v>58</v>
      </c>
      <c r="D69" s="39" t="s">
        <v>54</v>
      </c>
      <c r="E69" s="17">
        <v>5</v>
      </c>
      <c r="F69" s="33">
        <f>SUM(E69)</f>
        <v>5</v>
      </c>
      <c r="G69" s="36">
        <v>65.42</v>
      </c>
      <c r="H69" s="114">
        <f t="shared" si="8"/>
        <v>0.3271</v>
      </c>
      <c r="I69" s="13">
        <v>0</v>
      </c>
      <c r="J69" s="5"/>
      <c r="K69" s="5"/>
      <c r="L69" s="5"/>
      <c r="M69" s="5"/>
      <c r="N69" s="5"/>
      <c r="O69" s="5"/>
      <c r="P69" s="5"/>
      <c r="Q69" s="5"/>
      <c r="R69" s="182"/>
      <c r="S69" s="182"/>
      <c r="T69" s="182"/>
      <c r="U69" s="182"/>
    </row>
    <row r="70" spans="1:22" ht="15.75" customHeight="1">
      <c r="A70" s="29">
        <v>10</v>
      </c>
      <c r="B70" s="39" t="s">
        <v>148</v>
      </c>
      <c r="C70" s="45" t="s">
        <v>149</v>
      </c>
      <c r="D70" s="39"/>
      <c r="E70" s="17">
        <f>E49</f>
        <v>3053.4</v>
      </c>
      <c r="F70" s="33">
        <f>SUM(E70*12)</f>
        <v>36640.800000000003</v>
      </c>
      <c r="G70" s="36">
        <v>2.2799999999999998</v>
      </c>
      <c r="H70" s="114">
        <f t="shared" si="8"/>
        <v>83.541024000000007</v>
      </c>
      <c r="I70" s="13">
        <f>F70/12*G70</f>
        <v>6961.7519999999995</v>
      </c>
      <c r="J70" s="5"/>
      <c r="K70" s="5"/>
      <c r="L70" s="5"/>
      <c r="M70" s="5"/>
      <c r="N70" s="5"/>
      <c r="O70" s="5"/>
      <c r="P70" s="5"/>
      <c r="Q70" s="5"/>
      <c r="R70" s="60"/>
      <c r="S70" s="60"/>
      <c r="T70" s="60"/>
      <c r="U70" s="60"/>
    </row>
    <row r="71" spans="1:22" ht="15.75" customHeight="1">
      <c r="A71" s="29"/>
      <c r="B71" s="66" t="s">
        <v>74</v>
      </c>
      <c r="C71" s="16"/>
      <c r="D71" s="14"/>
      <c r="E71" s="18"/>
      <c r="F71" s="13"/>
      <c r="G71" s="13"/>
      <c r="H71" s="87" t="s">
        <v>123</v>
      </c>
      <c r="I71" s="79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29">
        <v>19</v>
      </c>
      <c r="B72" s="39" t="s">
        <v>150</v>
      </c>
      <c r="C72" s="40" t="s">
        <v>151</v>
      </c>
      <c r="D72" s="39" t="s">
        <v>66</v>
      </c>
      <c r="E72" s="17">
        <v>1</v>
      </c>
      <c r="F72" s="36">
        <f>E72</f>
        <v>1</v>
      </c>
      <c r="G72" s="36">
        <v>1029.1199999999999</v>
      </c>
      <c r="H72" s="113">
        <f t="shared" ref="H72:H73" si="9">SUM(F72*G72/1000)</f>
        <v>1.0291199999999998</v>
      </c>
      <c r="I72" s="13">
        <v>0</v>
      </c>
    </row>
    <row r="73" spans="1:22" ht="15.75" hidden="1" customHeight="1">
      <c r="A73" s="29"/>
      <c r="B73" s="39" t="s">
        <v>152</v>
      </c>
      <c r="C73" s="40" t="s">
        <v>153</v>
      </c>
      <c r="D73" s="129"/>
      <c r="E73" s="17">
        <v>1</v>
      </c>
      <c r="F73" s="36">
        <v>1</v>
      </c>
      <c r="G73" s="36">
        <v>735</v>
      </c>
      <c r="H73" s="113">
        <f t="shared" si="9"/>
        <v>0.73499999999999999</v>
      </c>
      <c r="I73" s="13">
        <v>0</v>
      </c>
    </row>
    <row r="74" spans="1:22" ht="15.75" hidden="1" customHeight="1">
      <c r="A74" s="29"/>
      <c r="B74" s="39" t="s">
        <v>75</v>
      </c>
      <c r="C74" s="40" t="s">
        <v>76</v>
      </c>
      <c r="D74" s="39" t="s">
        <v>66</v>
      </c>
      <c r="E74" s="17">
        <v>5</v>
      </c>
      <c r="F74" s="33">
        <f>SUM(E74/10)</f>
        <v>0.5</v>
      </c>
      <c r="G74" s="36">
        <v>657.87</v>
      </c>
      <c r="H74" s="113">
        <f>SUM(F74*G74/1000)</f>
        <v>0.32893499999999998</v>
      </c>
      <c r="I74" s="13">
        <v>0</v>
      </c>
    </row>
    <row r="75" spans="1:22" ht="15.75" hidden="1" customHeight="1">
      <c r="A75" s="29"/>
      <c r="B75" s="39" t="s">
        <v>121</v>
      </c>
      <c r="C75" s="40" t="s">
        <v>89</v>
      </c>
      <c r="D75" s="39" t="s">
        <v>66</v>
      </c>
      <c r="E75" s="17">
        <v>1</v>
      </c>
      <c r="F75" s="36">
        <f>E75</f>
        <v>1</v>
      </c>
      <c r="G75" s="36">
        <v>1118.72</v>
      </c>
      <c r="H75" s="113">
        <f>SUM(F75*G75/1000)</f>
        <v>1.1187199999999999</v>
      </c>
      <c r="I75" s="13">
        <v>0</v>
      </c>
    </row>
    <row r="76" spans="1:22" ht="15.75" customHeight="1">
      <c r="A76" s="29">
        <v>11</v>
      </c>
      <c r="B76" s="115" t="s">
        <v>154</v>
      </c>
      <c r="C76" s="116" t="s">
        <v>89</v>
      </c>
      <c r="D76" s="39" t="s">
        <v>201</v>
      </c>
      <c r="E76" s="17">
        <v>2</v>
      </c>
      <c r="F76" s="33">
        <f>E76*12</f>
        <v>24</v>
      </c>
      <c r="G76" s="36">
        <v>53.42</v>
      </c>
      <c r="H76" s="113">
        <f t="shared" ref="H76:H77" si="10">SUM(F76*G76/1000)</f>
        <v>1.2820799999999999</v>
      </c>
      <c r="I76" s="13">
        <f>G76*2</f>
        <v>106.84</v>
      </c>
    </row>
    <row r="77" spans="1:22" ht="31.5" customHeight="1">
      <c r="A77" s="29">
        <v>12</v>
      </c>
      <c r="B77" s="115" t="s">
        <v>155</v>
      </c>
      <c r="C77" s="116" t="s">
        <v>89</v>
      </c>
      <c r="D77" s="39" t="s">
        <v>206</v>
      </c>
      <c r="E77" s="17">
        <v>1</v>
      </c>
      <c r="F77" s="33">
        <f>E77*12</f>
        <v>12</v>
      </c>
      <c r="G77" s="36">
        <v>1194</v>
      </c>
      <c r="H77" s="113">
        <f t="shared" si="10"/>
        <v>14.327999999999999</v>
      </c>
      <c r="I77" s="13">
        <f>G77</f>
        <v>1194</v>
      </c>
    </row>
    <row r="78" spans="1:22" ht="15.75" hidden="1" customHeight="1">
      <c r="A78" s="29"/>
      <c r="B78" s="90" t="s">
        <v>77</v>
      </c>
      <c r="C78" s="16"/>
      <c r="D78" s="14"/>
      <c r="E78" s="18"/>
      <c r="F78" s="18"/>
      <c r="G78" s="18"/>
      <c r="H78" s="18"/>
      <c r="I78" s="79"/>
    </row>
    <row r="79" spans="1:22" ht="15.75" hidden="1" customHeight="1">
      <c r="A79" s="29"/>
      <c r="B79" s="41" t="s">
        <v>115</v>
      </c>
      <c r="C79" s="42" t="s">
        <v>78</v>
      </c>
      <c r="D79" s="56"/>
      <c r="E79" s="59"/>
      <c r="F79" s="37">
        <v>0.3</v>
      </c>
      <c r="G79" s="37">
        <v>3619.09</v>
      </c>
      <c r="H79" s="114">
        <f t="shared" ref="H79" si="11">SUM(F79*G79/1000)</f>
        <v>1.0857270000000001</v>
      </c>
      <c r="I79" s="13">
        <v>0</v>
      </c>
    </row>
    <row r="80" spans="1:22" ht="15.75" hidden="1" customHeight="1">
      <c r="A80" s="29"/>
      <c r="B80" s="66" t="s">
        <v>113</v>
      </c>
      <c r="C80" s="90"/>
      <c r="D80" s="31"/>
      <c r="E80" s="32"/>
      <c r="F80" s="91"/>
      <c r="G80" s="91"/>
      <c r="H80" s="92">
        <f>SUM(H56:H79)</f>
        <v>249.26712212000004</v>
      </c>
      <c r="I80" s="77"/>
    </row>
    <row r="81" spans="1:9" ht="15.75" hidden="1" customHeight="1">
      <c r="A81" s="94"/>
      <c r="B81" s="34" t="s">
        <v>114</v>
      </c>
      <c r="C81" s="130"/>
      <c r="D81" s="131"/>
      <c r="E81" s="132"/>
      <c r="F81" s="38">
        <f>232/10</f>
        <v>23.2</v>
      </c>
      <c r="G81" s="38">
        <v>12361.2</v>
      </c>
      <c r="H81" s="114">
        <f>G81*F81/1000</f>
        <v>286.77984000000004</v>
      </c>
      <c r="I81" s="95">
        <v>0</v>
      </c>
    </row>
    <row r="82" spans="1:9" ht="15.75" customHeight="1">
      <c r="A82" s="194" t="s">
        <v>131</v>
      </c>
      <c r="B82" s="195"/>
      <c r="C82" s="195"/>
      <c r="D82" s="195"/>
      <c r="E82" s="195"/>
      <c r="F82" s="195"/>
      <c r="G82" s="195"/>
      <c r="H82" s="195"/>
      <c r="I82" s="196"/>
    </row>
    <row r="83" spans="1:9" ht="15.75" customHeight="1">
      <c r="A83" s="96">
        <v>13</v>
      </c>
      <c r="B83" s="34" t="s">
        <v>116</v>
      </c>
      <c r="C83" s="40" t="s">
        <v>55</v>
      </c>
      <c r="D83" s="103"/>
      <c r="E83" s="36">
        <v>3053.4</v>
      </c>
      <c r="F83" s="36">
        <f>SUM(E83*12)</f>
        <v>36640.800000000003</v>
      </c>
      <c r="G83" s="36">
        <v>3.1</v>
      </c>
      <c r="H83" s="114">
        <f>SUM(F83*G83/1000)</f>
        <v>113.58648000000001</v>
      </c>
      <c r="I83" s="101">
        <f>F83/12*G83</f>
        <v>9465.5400000000009</v>
      </c>
    </row>
    <row r="84" spans="1:9" ht="31.5" customHeight="1">
      <c r="A84" s="29">
        <v>14</v>
      </c>
      <c r="B84" s="39" t="s">
        <v>79</v>
      </c>
      <c r="C84" s="40"/>
      <c r="D84" s="103"/>
      <c r="E84" s="121">
        <v>3053.4</v>
      </c>
      <c r="F84" s="36">
        <f>E84*12</f>
        <v>36640.800000000003</v>
      </c>
      <c r="G84" s="36">
        <v>3.5</v>
      </c>
      <c r="H84" s="114">
        <f>F84*G84/1000</f>
        <v>128.24280000000002</v>
      </c>
      <c r="I84" s="13">
        <f>F84/12*G84</f>
        <v>10686.9</v>
      </c>
    </row>
    <row r="85" spans="1:9" ht="15.75" customHeight="1">
      <c r="A85" s="29"/>
      <c r="B85" s="43" t="s">
        <v>81</v>
      </c>
      <c r="C85" s="90"/>
      <c r="D85" s="88"/>
      <c r="E85" s="91"/>
      <c r="F85" s="91"/>
      <c r="G85" s="91"/>
      <c r="H85" s="92">
        <f>SUM(H84)</f>
        <v>128.24280000000002</v>
      </c>
      <c r="I85" s="91">
        <f>I84+I83+I77+I76+I70+I60+I32+I30+I29+I26+I18+I17+I16+I53</f>
        <v>55902.830125666675</v>
      </c>
    </row>
    <row r="86" spans="1:9" ht="15.75" customHeight="1">
      <c r="A86" s="183" t="s">
        <v>60</v>
      </c>
      <c r="B86" s="184"/>
      <c r="C86" s="184"/>
      <c r="D86" s="184"/>
      <c r="E86" s="184"/>
      <c r="F86" s="184"/>
      <c r="G86" s="184"/>
      <c r="H86" s="184"/>
      <c r="I86" s="185"/>
    </row>
    <row r="87" spans="1:9" ht="17.25" customHeight="1">
      <c r="A87" s="29">
        <v>15</v>
      </c>
      <c r="B87" s="115" t="s">
        <v>159</v>
      </c>
      <c r="C87" s="116" t="s">
        <v>127</v>
      </c>
      <c r="D87" s="117"/>
      <c r="E87" s="36"/>
      <c r="F87" s="36">
        <v>4</v>
      </c>
      <c r="G87" s="13">
        <v>273</v>
      </c>
      <c r="H87" s="114">
        <f>F87*G87/1000</f>
        <v>1.0920000000000001</v>
      </c>
      <c r="I87" s="13">
        <f>G87*7</f>
        <v>1911</v>
      </c>
    </row>
    <row r="88" spans="1:9" ht="15.75" customHeight="1">
      <c r="A88" s="29"/>
      <c r="B88" s="50" t="s">
        <v>52</v>
      </c>
      <c r="C88" s="46"/>
      <c r="D88" s="54"/>
      <c r="E88" s="46">
        <v>1</v>
      </c>
      <c r="F88" s="46"/>
      <c r="G88" s="46"/>
      <c r="H88" s="46"/>
      <c r="I88" s="32">
        <f>I87</f>
        <v>1911</v>
      </c>
    </row>
    <row r="89" spans="1:9" ht="15.75" customHeight="1">
      <c r="A89" s="29"/>
      <c r="B89" s="52" t="s">
        <v>80</v>
      </c>
      <c r="C89" s="15"/>
      <c r="D89" s="15"/>
      <c r="E89" s="47"/>
      <c r="F89" s="47"/>
      <c r="G89" s="48"/>
      <c r="H89" s="48"/>
      <c r="I89" s="17">
        <v>0</v>
      </c>
    </row>
    <row r="90" spans="1:9" ht="15.75" customHeight="1">
      <c r="A90" s="55"/>
      <c r="B90" s="51" t="s">
        <v>141</v>
      </c>
      <c r="C90" s="35"/>
      <c r="D90" s="35"/>
      <c r="E90" s="35"/>
      <c r="F90" s="35"/>
      <c r="G90" s="35"/>
      <c r="H90" s="35"/>
      <c r="I90" s="49">
        <f>I85+I88</f>
        <v>57813.830125666675</v>
      </c>
    </row>
    <row r="91" spans="1:9" ht="15.75">
      <c r="A91" s="186" t="s">
        <v>227</v>
      </c>
      <c r="B91" s="186"/>
      <c r="C91" s="186"/>
      <c r="D91" s="186"/>
      <c r="E91" s="186"/>
      <c r="F91" s="186"/>
      <c r="G91" s="186"/>
      <c r="H91" s="186"/>
      <c r="I91" s="186"/>
    </row>
    <row r="92" spans="1:9" ht="15.75">
      <c r="A92" s="62"/>
      <c r="B92" s="187" t="s">
        <v>228</v>
      </c>
      <c r="C92" s="187"/>
      <c r="D92" s="187"/>
      <c r="E92" s="187"/>
      <c r="F92" s="187"/>
      <c r="G92" s="187"/>
      <c r="H92" s="70"/>
      <c r="I92" s="3"/>
    </row>
    <row r="93" spans="1:9">
      <c r="A93" s="60"/>
      <c r="B93" s="188" t="s">
        <v>6</v>
      </c>
      <c r="C93" s="188"/>
      <c r="D93" s="188"/>
      <c r="E93" s="188"/>
      <c r="F93" s="188"/>
      <c r="G93" s="188"/>
      <c r="H93" s="24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 customHeight="1">
      <c r="A95" s="189" t="s">
        <v>7</v>
      </c>
      <c r="B95" s="189"/>
      <c r="C95" s="189"/>
      <c r="D95" s="189"/>
      <c r="E95" s="189"/>
      <c r="F95" s="189"/>
      <c r="G95" s="189"/>
      <c r="H95" s="189"/>
      <c r="I95" s="189"/>
    </row>
    <row r="96" spans="1:9" ht="15.75" customHeight="1">
      <c r="A96" s="189" t="s">
        <v>8</v>
      </c>
      <c r="B96" s="189"/>
      <c r="C96" s="189"/>
      <c r="D96" s="189"/>
      <c r="E96" s="189"/>
      <c r="F96" s="189"/>
      <c r="G96" s="189"/>
      <c r="H96" s="189"/>
      <c r="I96" s="189"/>
    </row>
    <row r="97" spans="1:9" ht="15.75" customHeight="1">
      <c r="A97" s="190" t="s">
        <v>61</v>
      </c>
      <c r="B97" s="190"/>
      <c r="C97" s="190"/>
      <c r="D97" s="190"/>
      <c r="E97" s="190"/>
      <c r="F97" s="190"/>
      <c r="G97" s="190"/>
      <c r="H97" s="190"/>
      <c r="I97" s="190"/>
    </row>
    <row r="98" spans="1:9" ht="15.75" customHeight="1">
      <c r="A98" s="11"/>
    </row>
    <row r="99" spans="1:9" ht="15.75" customHeight="1">
      <c r="A99" s="191" t="s">
        <v>9</v>
      </c>
      <c r="B99" s="191"/>
      <c r="C99" s="191"/>
      <c r="D99" s="191"/>
      <c r="E99" s="191"/>
      <c r="F99" s="191"/>
      <c r="G99" s="191"/>
      <c r="H99" s="191"/>
      <c r="I99" s="191"/>
    </row>
    <row r="100" spans="1:9" ht="15.75" customHeight="1">
      <c r="A100" s="4"/>
    </row>
    <row r="101" spans="1:9" ht="15.75" customHeight="1">
      <c r="B101" s="61" t="s">
        <v>10</v>
      </c>
      <c r="C101" s="192" t="s">
        <v>88</v>
      </c>
      <c r="D101" s="192"/>
      <c r="E101" s="192"/>
      <c r="F101" s="68"/>
      <c r="I101" s="64"/>
    </row>
    <row r="102" spans="1:9" ht="15.75" customHeight="1">
      <c r="A102" s="60"/>
      <c r="C102" s="188" t="s">
        <v>11</v>
      </c>
      <c r="D102" s="188"/>
      <c r="E102" s="188"/>
      <c r="F102" s="24"/>
      <c r="I102" s="63" t="s">
        <v>12</v>
      </c>
    </row>
    <row r="103" spans="1:9" ht="15.75" customHeight="1">
      <c r="A103" s="25"/>
      <c r="C103" s="12"/>
      <c r="D103" s="12"/>
      <c r="G103" s="12"/>
      <c r="H103" s="12"/>
    </row>
    <row r="104" spans="1:9" ht="15.75" customHeight="1">
      <c r="B104" s="61" t="s">
        <v>13</v>
      </c>
      <c r="C104" s="193"/>
      <c r="D104" s="193"/>
      <c r="E104" s="193"/>
      <c r="F104" s="69"/>
      <c r="I104" s="64"/>
    </row>
    <row r="105" spans="1:9" ht="15.75" customHeight="1">
      <c r="A105" s="60"/>
      <c r="C105" s="182" t="s">
        <v>11</v>
      </c>
      <c r="D105" s="182"/>
      <c r="E105" s="182"/>
      <c r="F105" s="60"/>
      <c r="I105" s="63" t="s">
        <v>12</v>
      </c>
    </row>
    <row r="106" spans="1:9" ht="15.75" customHeight="1">
      <c r="A106" s="4" t="s">
        <v>14</v>
      </c>
    </row>
    <row r="107" spans="1:9">
      <c r="A107" s="180" t="s">
        <v>15</v>
      </c>
      <c r="B107" s="180"/>
      <c r="C107" s="180"/>
      <c r="D107" s="180"/>
      <c r="E107" s="180"/>
      <c r="F107" s="180"/>
      <c r="G107" s="180"/>
      <c r="H107" s="180"/>
      <c r="I107" s="180"/>
    </row>
    <row r="108" spans="1:9" ht="45" customHeight="1">
      <c r="A108" s="181" t="s">
        <v>16</v>
      </c>
      <c r="B108" s="181"/>
      <c r="C108" s="181"/>
      <c r="D108" s="181"/>
      <c r="E108" s="181"/>
      <c r="F108" s="181"/>
      <c r="G108" s="181"/>
      <c r="H108" s="181"/>
      <c r="I108" s="181"/>
    </row>
    <row r="109" spans="1:9" ht="30" customHeight="1">
      <c r="A109" s="181" t="s">
        <v>17</v>
      </c>
      <c r="B109" s="181"/>
      <c r="C109" s="181"/>
      <c r="D109" s="181"/>
      <c r="E109" s="181"/>
      <c r="F109" s="181"/>
      <c r="G109" s="181"/>
      <c r="H109" s="181"/>
      <c r="I109" s="181"/>
    </row>
    <row r="110" spans="1:9" ht="30" customHeight="1">
      <c r="A110" s="181" t="s">
        <v>21</v>
      </c>
      <c r="B110" s="181"/>
      <c r="C110" s="181"/>
      <c r="D110" s="181"/>
      <c r="E110" s="181"/>
      <c r="F110" s="181"/>
      <c r="G110" s="181"/>
      <c r="H110" s="181"/>
      <c r="I110" s="181"/>
    </row>
    <row r="111" spans="1:9" ht="15" customHeight="1">
      <c r="A111" s="181" t="s">
        <v>20</v>
      </c>
      <c r="B111" s="181"/>
      <c r="C111" s="181"/>
      <c r="D111" s="181"/>
      <c r="E111" s="181"/>
      <c r="F111" s="181"/>
      <c r="G111" s="181"/>
      <c r="H111" s="181"/>
      <c r="I111" s="181"/>
    </row>
  </sheetData>
  <autoFilter ref="I12:I64"/>
  <mergeCells count="29">
    <mergeCell ref="A107:I107"/>
    <mergeCell ref="A108:I108"/>
    <mergeCell ref="A109:I109"/>
    <mergeCell ref="A110:I110"/>
    <mergeCell ref="A111:I111"/>
    <mergeCell ref="R69:U69"/>
    <mergeCell ref="C105:E105"/>
    <mergeCell ref="A86:I86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2:I82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4"/>
  <sheetViews>
    <sheetView topLeftCell="A4" workbookViewId="0">
      <selection activeCell="J9" sqref="J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0.140625" hidden="1" customWidth="1"/>
    <col min="6" max="6" width="12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168</v>
      </c>
      <c r="I1" s="26"/>
      <c r="J1" s="1"/>
      <c r="K1" s="1"/>
      <c r="L1" s="1"/>
      <c r="M1" s="1"/>
    </row>
    <row r="2" spans="1:13" ht="15.75" customHeight="1">
      <c r="A2" s="28" t="s">
        <v>62</v>
      </c>
      <c r="J2" s="2"/>
      <c r="K2" s="2"/>
      <c r="L2" s="2"/>
      <c r="M2" s="2"/>
    </row>
    <row r="3" spans="1:13" ht="15.75" customHeight="1">
      <c r="A3" s="197" t="s">
        <v>138</v>
      </c>
      <c r="B3" s="197"/>
      <c r="C3" s="197"/>
      <c r="D3" s="197"/>
      <c r="E3" s="197"/>
      <c r="F3" s="197"/>
      <c r="G3" s="197"/>
      <c r="H3" s="197"/>
      <c r="I3" s="197"/>
      <c r="J3" s="3"/>
      <c r="K3" s="3"/>
      <c r="L3" s="3"/>
    </row>
    <row r="4" spans="1:13" ht="31.5" customHeight="1">
      <c r="A4" s="198" t="s">
        <v>117</v>
      </c>
      <c r="B4" s="198"/>
      <c r="C4" s="198"/>
      <c r="D4" s="198"/>
      <c r="E4" s="198"/>
      <c r="F4" s="198"/>
      <c r="G4" s="198"/>
      <c r="H4" s="198"/>
      <c r="I4" s="198"/>
    </row>
    <row r="5" spans="1:13" ht="15.75" customHeight="1">
      <c r="A5" s="197" t="s">
        <v>252</v>
      </c>
      <c r="B5" s="199"/>
      <c r="C5" s="199"/>
      <c r="D5" s="199"/>
      <c r="E5" s="199"/>
      <c r="F5" s="199"/>
      <c r="G5" s="199"/>
      <c r="H5" s="199"/>
      <c r="I5" s="199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0">
        <v>43738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0" t="s">
        <v>169</v>
      </c>
      <c r="B8" s="200"/>
      <c r="C8" s="200"/>
      <c r="D8" s="200"/>
      <c r="E8" s="200"/>
      <c r="F8" s="200"/>
      <c r="G8" s="200"/>
      <c r="H8" s="200"/>
      <c r="I8" s="20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1" t="s">
        <v>158</v>
      </c>
      <c r="B10" s="201"/>
      <c r="C10" s="201"/>
      <c r="D10" s="201"/>
      <c r="E10" s="201"/>
      <c r="F10" s="201"/>
      <c r="G10" s="201"/>
      <c r="H10" s="201"/>
      <c r="I10" s="201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02" t="s">
        <v>59</v>
      </c>
      <c r="B14" s="202"/>
      <c r="C14" s="202"/>
      <c r="D14" s="202"/>
      <c r="E14" s="202"/>
      <c r="F14" s="202"/>
      <c r="G14" s="202"/>
      <c r="H14" s="202"/>
      <c r="I14" s="202"/>
      <c r="J14" s="8"/>
      <c r="K14" s="8"/>
      <c r="L14" s="8"/>
      <c r="M14" s="8"/>
    </row>
    <row r="15" spans="1:13" ht="15.75" customHeight="1">
      <c r="A15" s="203" t="s">
        <v>4</v>
      </c>
      <c r="B15" s="203"/>
      <c r="C15" s="203"/>
      <c r="D15" s="203"/>
      <c r="E15" s="203"/>
      <c r="F15" s="203"/>
      <c r="G15" s="203"/>
      <c r="H15" s="203"/>
      <c r="I15" s="203"/>
      <c r="J15" s="8"/>
      <c r="K15" s="8"/>
      <c r="L15" s="8"/>
      <c r="M15" s="8"/>
    </row>
    <row r="16" spans="1:13" ht="15.75" customHeight="1">
      <c r="A16" s="29">
        <v>1</v>
      </c>
      <c r="B16" s="71" t="s">
        <v>84</v>
      </c>
      <c r="C16" s="72" t="s">
        <v>93</v>
      </c>
      <c r="D16" s="71" t="s">
        <v>199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6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85</v>
      </c>
      <c r="C17" s="72" t="s">
        <v>93</v>
      </c>
      <c r="D17" s="71" t="s">
        <v>200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86</v>
      </c>
      <c r="C18" s="72" t="s">
        <v>93</v>
      </c>
      <c r="D18" s="71" t="s">
        <v>201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100</v>
      </c>
      <c r="C19" s="72" t="s">
        <v>101</v>
      </c>
      <c r="D19" s="71" t="s">
        <v>102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71" t="s">
        <v>92</v>
      </c>
      <c r="C20" s="72" t="s">
        <v>93</v>
      </c>
      <c r="D20" s="71" t="s">
        <v>201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customHeight="1">
      <c r="A21" s="29">
        <v>5</v>
      </c>
      <c r="B21" s="71" t="s">
        <v>98</v>
      </c>
      <c r="C21" s="72" t="s">
        <v>93</v>
      </c>
      <c r="D21" s="71" t="s">
        <v>201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94</v>
      </c>
      <c r="C22" s="72" t="s">
        <v>53</v>
      </c>
      <c r="D22" s="71" t="s">
        <v>102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95</v>
      </c>
      <c r="C23" s="72" t="s">
        <v>53</v>
      </c>
      <c r="D23" s="71" t="s">
        <v>102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96</v>
      </c>
      <c r="C24" s="72" t="s">
        <v>53</v>
      </c>
      <c r="D24" s="71" t="s">
        <v>102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99</v>
      </c>
      <c r="C25" s="84" t="s">
        <v>53</v>
      </c>
      <c r="D25" s="83" t="s">
        <v>54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34" t="s">
        <v>198</v>
      </c>
      <c r="C26" s="44" t="s">
        <v>25</v>
      </c>
      <c r="D26" s="34" t="s">
        <v>201</v>
      </c>
      <c r="E26" s="118">
        <v>7.71</v>
      </c>
      <c r="F26" s="33">
        <f>E26*258</f>
        <v>1989.18</v>
      </c>
      <c r="G26" s="33">
        <v>10.39</v>
      </c>
      <c r="H26" s="119">
        <f t="shared" si="0"/>
        <v>20.6675802</v>
      </c>
      <c r="I26" s="13">
        <f>F26/12*G26</f>
        <v>1722.2983500000003</v>
      </c>
      <c r="J26" s="23"/>
    </row>
    <row r="27" spans="1:13" ht="15.75" customHeight="1">
      <c r="A27" s="203" t="s">
        <v>140</v>
      </c>
      <c r="B27" s="203"/>
      <c r="C27" s="203"/>
      <c r="D27" s="203"/>
      <c r="E27" s="203"/>
      <c r="F27" s="203"/>
      <c r="G27" s="203"/>
      <c r="H27" s="203"/>
      <c r="I27" s="203"/>
      <c r="J27" s="22"/>
      <c r="K27" s="8"/>
      <c r="L27" s="8"/>
      <c r="M27" s="8"/>
    </row>
    <row r="28" spans="1:13" ht="15.75" customHeight="1">
      <c r="A28" s="96"/>
      <c r="B28" s="104" t="s">
        <v>28</v>
      </c>
      <c r="C28" s="98"/>
      <c r="D28" s="97"/>
      <c r="E28" s="99"/>
      <c r="F28" s="100"/>
      <c r="G28" s="100"/>
      <c r="H28" s="105"/>
      <c r="I28" s="106"/>
      <c r="J28" s="22"/>
      <c r="K28" s="8"/>
      <c r="L28" s="8"/>
      <c r="M28" s="8"/>
    </row>
    <row r="29" spans="1:13" ht="15.75" customHeight="1">
      <c r="A29" s="29">
        <v>7</v>
      </c>
      <c r="B29" s="71" t="s">
        <v>103</v>
      </c>
      <c r="C29" s="72" t="s">
        <v>104</v>
      </c>
      <c r="D29" s="71" t="s">
        <v>200</v>
      </c>
      <c r="E29" s="74">
        <v>317.7</v>
      </c>
      <c r="F29" s="74">
        <f>SUM(E29*52/1000)</f>
        <v>16.520399999999999</v>
      </c>
      <c r="G29" s="74">
        <v>204.44</v>
      </c>
      <c r="H29" s="78">
        <f t="shared" ref="H29:H34" si="1">SUM(F29*G29/1000)</f>
        <v>3.3774305759999996</v>
      </c>
      <c r="I29" s="13">
        <f t="shared" ref="I29:I32" si="2">F29/6*G29</f>
        <v>562.90509599999996</v>
      </c>
      <c r="J29" s="22"/>
      <c r="K29" s="8"/>
      <c r="L29" s="8"/>
      <c r="M29" s="8"/>
    </row>
    <row r="30" spans="1:13" ht="31.5" customHeight="1">
      <c r="A30" s="29">
        <v>8</v>
      </c>
      <c r="B30" s="71" t="s">
        <v>128</v>
      </c>
      <c r="C30" s="72" t="s">
        <v>104</v>
      </c>
      <c r="D30" s="71" t="s">
        <v>199</v>
      </c>
      <c r="E30" s="74">
        <v>146.1</v>
      </c>
      <c r="F30" s="74">
        <f>SUM(E30*78/1000)</f>
        <v>11.395799999999999</v>
      </c>
      <c r="G30" s="74">
        <v>339.21</v>
      </c>
      <c r="H30" s="78">
        <f t="shared" si="1"/>
        <v>3.8655693179999995</v>
      </c>
      <c r="I30" s="13">
        <f t="shared" si="2"/>
        <v>644.26155299999994</v>
      </c>
      <c r="J30" s="22"/>
      <c r="K30" s="8"/>
      <c r="L30" s="8"/>
      <c r="M30" s="8"/>
    </row>
    <row r="31" spans="1:13" ht="15.75" hidden="1" customHeight="1">
      <c r="A31" s="29">
        <v>11</v>
      </c>
      <c r="B31" s="71" t="s">
        <v>27</v>
      </c>
      <c r="C31" s="72" t="s">
        <v>104</v>
      </c>
      <c r="D31" s="71" t="s">
        <v>54</v>
      </c>
      <c r="E31" s="74">
        <f>E29</f>
        <v>317.7</v>
      </c>
      <c r="F31" s="74">
        <f>SUM(E31/1000)</f>
        <v>0.31769999999999998</v>
      </c>
      <c r="G31" s="74">
        <v>3961.23</v>
      </c>
      <c r="H31" s="78">
        <f t="shared" si="1"/>
        <v>1.2584827709999999</v>
      </c>
      <c r="I31" s="13">
        <f>F31*G31</f>
        <v>1258.482771</v>
      </c>
      <c r="J31" s="22"/>
      <c r="K31" s="8"/>
      <c r="L31" s="8"/>
      <c r="M31" s="8"/>
    </row>
    <row r="32" spans="1:13" ht="15.75" customHeight="1">
      <c r="A32" s="29">
        <v>9</v>
      </c>
      <c r="B32" s="71" t="s">
        <v>143</v>
      </c>
      <c r="C32" s="72" t="s">
        <v>40</v>
      </c>
      <c r="D32" s="71" t="s">
        <v>203</v>
      </c>
      <c r="E32" s="74">
        <v>5</v>
      </c>
      <c r="F32" s="74">
        <f>E32*155/100</f>
        <v>7.75</v>
      </c>
      <c r="G32" s="74">
        <v>1707.63</v>
      </c>
      <c r="H32" s="78">
        <f t="shared" si="1"/>
        <v>13.234132500000001</v>
      </c>
      <c r="I32" s="13">
        <f t="shared" si="2"/>
        <v>2205.6887500000003</v>
      </c>
      <c r="J32" s="22"/>
      <c r="K32" s="8"/>
      <c r="L32" s="8"/>
      <c r="M32" s="8"/>
    </row>
    <row r="33" spans="1:14" ht="15.75" hidden="1" customHeight="1">
      <c r="A33" s="29"/>
      <c r="B33" s="34" t="s">
        <v>64</v>
      </c>
      <c r="C33" s="44" t="s">
        <v>32</v>
      </c>
      <c r="D33" s="34" t="s">
        <v>66</v>
      </c>
      <c r="E33" s="121"/>
      <c r="F33" s="33">
        <v>2</v>
      </c>
      <c r="G33" s="33">
        <v>250.92</v>
      </c>
      <c r="H33" s="119">
        <f t="shared" si="1"/>
        <v>0.50183999999999995</v>
      </c>
      <c r="I33" s="13">
        <v>0</v>
      </c>
      <c r="J33" s="22"/>
      <c r="K33" s="8"/>
    </row>
    <row r="34" spans="1:14" ht="15.75" hidden="1" customHeight="1">
      <c r="A34" s="29"/>
      <c r="B34" s="34" t="s">
        <v>65</v>
      </c>
      <c r="C34" s="44" t="s">
        <v>31</v>
      </c>
      <c r="D34" s="34" t="s">
        <v>66</v>
      </c>
      <c r="E34" s="121"/>
      <c r="F34" s="33">
        <v>1</v>
      </c>
      <c r="G34" s="33">
        <v>1490.31</v>
      </c>
      <c r="H34" s="119">
        <f t="shared" si="1"/>
        <v>1.49031</v>
      </c>
      <c r="I34" s="13"/>
      <c r="J34" s="22"/>
      <c r="K34" s="8"/>
    </row>
    <row r="35" spans="1:14" ht="15.75" hidden="1" customHeight="1">
      <c r="A35" s="29"/>
      <c r="B35" s="93" t="s">
        <v>5</v>
      </c>
      <c r="C35" s="72"/>
      <c r="D35" s="71"/>
      <c r="E35" s="73"/>
      <c r="F35" s="74"/>
      <c r="G35" s="74"/>
      <c r="H35" s="78" t="s">
        <v>123</v>
      </c>
      <c r="I35" s="79"/>
      <c r="J35" s="23"/>
    </row>
    <row r="36" spans="1:14" ht="15.75" hidden="1" customHeight="1">
      <c r="A36" s="29">
        <v>9</v>
      </c>
      <c r="B36" s="71" t="s">
        <v>26</v>
      </c>
      <c r="C36" s="72" t="s">
        <v>31</v>
      </c>
      <c r="D36" s="71"/>
      <c r="E36" s="73"/>
      <c r="F36" s="74">
        <v>3</v>
      </c>
      <c r="G36" s="74">
        <v>2003</v>
      </c>
      <c r="H36" s="78">
        <f t="shared" ref="H36:H42" si="3">SUM(F36*G36/1000)</f>
        <v>6.0090000000000003</v>
      </c>
      <c r="I36" s="13">
        <f t="shared" ref="I36:I42" si="4">F36/6*G36</f>
        <v>1001.5</v>
      </c>
      <c r="J36" s="23"/>
    </row>
    <row r="37" spans="1:14" ht="15.75" hidden="1" customHeight="1">
      <c r="A37" s="29">
        <v>10</v>
      </c>
      <c r="B37" s="71" t="s">
        <v>67</v>
      </c>
      <c r="C37" s="72" t="s">
        <v>29</v>
      </c>
      <c r="D37" s="71" t="s">
        <v>144</v>
      </c>
      <c r="E37" s="74">
        <v>160.6</v>
      </c>
      <c r="F37" s="74">
        <f>SUM(E37*18/1000)</f>
        <v>2.8907999999999996</v>
      </c>
      <c r="G37" s="74">
        <v>2757.78</v>
      </c>
      <c r="H37" s="78">
        <f t="shared" si="3"/>
        <v>7.972190423999999</v>
      </c>
      <c r="I37" s="13">
        <f t="shared" si="4"/>
        <v>1328.698404</v>
      </c>
      <c r="J37" s="23"/>
    </row>
    <row r="38" spans="1:14" ht="15.75" hidden="1" customHeight="1">
      <c r="A38" s="29">
        <v>11</v>
      </c>
      <c r="B38" s="71" t="s">
        <v>68</v>
      </c>
      <c r="C38" s="72" t="s">
        <v>29</v>
      </c>
      <c r="D38" s="71" t="s">
        <v>120</v>
      </c>
      <c r="E38" s="73">
        <v>89.1</v>
      </c>
      <c r="F38" s="74">
        <f>SUM(E38*155/1000)</f>
        <v>13.810499999999999</v>
      </c>
      <c r="G38" s="74">
        <v>460.02</v>
      </c>
      <c r="H38" s="78">
        <f t="shared" si="3"/>
        <v>6.3531062099999991</v>
      </c>
      <c r="I38" s="13">
        <f t="shared" si="4"/>
        <v>1058.8510349999999</v>
      </c>
      <c r="J38" s="23"/>
    </row>
    <row r="39" spans="1:14" ht="15.75" hidden="1" customHeight="1">
      <c r="A39" s="29">
        <v>12</v>
      </c>
      <c r="B39" s="71" t="s">
        <v>145</v>
      </c>
      <c r="C39" s="72" t="s">
        <v>146</v>
      </c>
      <c r="D39" s="71" t="s">
        <v>66</v>
      </c>
      <c r="E39" s="73"/>
      <c r="F39" s="74">
        <v>39</v>
      </c>
      <c r="G39" s="74">
        <v>301.70999999999998</v>
      </c>
      <c r="H39" s="78">
        <f t="shared" si="3"/>
        <v>11.766689999999999</v>
      </c>
      <c r="I39" s="13">
        <v>0</v>
      </c>
      <c r="J39" s="23"/>
    </row>
    <row r="40" spans="1:14" ht="47.25" hidden="1" customHeight="1">
      <c r="A40" s="29">
        <v>13</v>
      </c>
      <c r="B40" s="71" t="s">
        <v>83</v>
      </c>
      <c r="C40" s="72" t="s">
        <v>104</v>
      </c>
      <c r="D40" s="71" t="s">
        <v>147</v>
      </c>
      <c r="E40" s="74">
        <v>46.5</v>
      </c>
      <c r="F40" s="74">
        <f>SUM(E40*35/1000)</f>
        <v>1.6274999999999999</v>
      </c>
      <c r="G40" s="74">
        <v>7611.16</v>
      </c>
      <c r="H40" s="78">
        <f t="shared" si="3"/>
        <v>12.3871629</v>
      </c>
      <c r="I40" s="13">
        <f t="shared" si="4"/>
        <v>2064.5271499999999</v>
      </c>
      <c r="J40" s="23"/>
      <c r="L40" s="19"/>
      <c r="M40" s="20"/>
      <c r="N40" s="21"/>
    </row>
    <row r="41" spans="1:14" ht="15.75" hidden="1" customHeight="1">
      <c r="A41" s="94">
        <v>14</v>
      </c>
      <c r="B41" s="71" t="s">
        <v>106</v>
      </c>
      <c r="C41" s="72" t="s">
        <v>104</v>
      </c>
      <c r="D41" s="71" t="s">
        <v>69</v>
      </c>
      <c r="E41" s="74">
        <v>89.1</v>
      </c>
      <c r="F41" s="74">
        <f>SUM(E41*45/1000)</f>
        <v>4.0094999999999992</v>
      </c>
      <c r="G41" s="74">
        <v>562.25</v>
      </c>
      <c r="H41" s="78">
        <f t="shared" si="3"/>
        <v>2.2543413749999996</v>
      </c>
      <c r="I41" s="13">
        <f t="shared" si="4"/>
        <v>375.72356249999996</v>
      </c>
      <c r="J41" s="23"/>
      <c r="L41" s="19"/>
      <c r="M41" s="20"/>
      <c r="N41" s="21"/>
    </row>
    <row r="42" spans="1:14" ht="15.75" hidden="1" customHeight="1">
      <c r="A42" s="122"/>
      <c r="B42" s="71" t="s">
        <v>70</v>
      </c>
      <c r="C42" s="72" t="s">
        <v>32</v>
      </c>
      <c r="D42" s="71"/>
      <c r="E42" s="73"/>
      <c r="F42" s="74">
        <v>0.9</v>
      </c>
      <c r="G42" s="74">
        <v>974.83</v>
      </c>
      <c r="H42" s="78">
        <f t="shared" si="3"/>
        <v>0.8773470000000001</v>
      </c>
      <c r="I42" s="13">
        <f t="shared" si="4"/>
        <v>146.22450000000001</v>
      </c>
      <c r="J42" s="23"/>
      <c r="L42" s="19"/>
      <c r="M42" s="20"/>
      <c r="N42" s="21"/>
    </row>
    <row r="43" spans="1:14" ht="15.75" customHeight="1">
      <c r="A43" s="194" t="s">
        <v>129</v>
      </c>
      <c r="B43" s="195"/>
      <c r="C43" s="195"/>
      <c r="D43" s="195"/>
      <c r="E43" s="195"/>
      <c r="F43" s="195"/>
      <c r="G43" s="195"/>
      <c r="H43" s="195"/>
      <c r="I43" s="196"/>
      <c r="J43" s="23"/>
      <c r="L43" s="19"/>
      <c r="M43" s="20"/>
      <c r="N43" s="21"/>
    </row>
    <row r="44" spans="1:14" ht="15.75" customHeight="1">
      <c r="A44" s="96">
        <v>10</v>
      </c>
      <c r="B44" s="34" t="s">
        <v>107</v>
      </c>
      <c r="C44" s="44" t="s">
        <v>104</v>
      </c>
      <c r="D44" s="34" t="s">
        <v>201</v>
      </c>
      <c r="E44" s="121">
        <v>1632.75</v>
      </c>
      <c r="F44" s="33">
        <f>SUM(E44*2/1000)</f>
        <v>3.2654999999999998</v>
      </c>
      <c r="G44" s="36">
        <v>1062</v>
      </c>
      <c r="H44" s="119">
        <f t="shared" ref="H44:H53" si="5">SUM(F44*G44/1000)</f>
        <v>3.4679609999999998</v>
      </c>
      <c r="I44" s="13">
        <f>F44/2*G44</f>
        <v>1733.9804999999999</v>
      </c>
      <c r="J44" s="23"/>
      <c r="L44" s="19"/>
      <c r="M44" s="20"/>
      <c r="N44" s="21"/>
    </row>
    <row r="45" spans="1:14" ht="15.75" customHeight="1">
      <c r="A45" s="29">
        <v>11</v>
      </c>
      <c r="B45" s="34" t="s">
        <v>35</v>
      </c>
      <c r="C45" s="44" t="s">
        <v>104</v>
      </c>
      <c r="D45" s="34" t="s">
        <v>201</v>
      </c>
      <c r="E45" s="121">
        <v>53.75</v>
      </c>
      <c r="F45" s="33">
        <f>SUM(E45*2/1000)</f>
        <v>0.1075</v>
      </c>
      <c r="G45" s="36">
        <v>759.98</v>
      </c>
      <c r="H45" s="119">
        <f t="shared" si="5"/>
        <v>8.1697850000000002E-2</v>
      </c>
      <c r="I45" s="13">
        <f t="shared" ref="I45:I52" si="6">F45/2*G45</f>
        <v>40.848925000000001</v>
      </c>
      <c r="J45" s="23"/>
      <c r="L45" s="19"/>
      <c r="M45" s="20"/>
      <c r="N45" s="21"/>
    </row>
    <row r="46" spans="1:14" ht="15.75" customHeight="1">
      <c r="A46" s="29">
        <v>12</v>
      </c>
      <c r="B46" s="34" t="s">
        <v>36</v>
      </c>
      <c r="C46" s="44" t="s">
        <v>104</v>
      </c>
      <c r="D46" s="34" t="s">
        <v>201</v>
      </c>
      <c r="E46" s="121">
        <v>2285.6</v>
      </c>
      <c r="F46" s="33">
        <f>SUM(E46*2/1000)</f>
        <v>4.5712000000000002</v>
      </c>
      <c r="G46" s="36">
        <v>759.98</v>
      </c>
      <c r="H46" s="119">
        <f t="shared" si="5"/>
        <v>3.4740205760000005</v>
      </c>
      <c r="I46" s="13">
        <f t="shared" si="6"/>
        <v>1737.0102880000002</v>
      </c>
      <c r="J46" s="23"/>
      <c r="L46" s="19"/>
      <c r="M46" s="20"/>
      <c r="N46" s="21"/>
    </row>
    <row r="47" spans="1:14" ht="15.75" customHeight="1">
      <c r="A47" s="29">
        <v>13</v>
      </c>
      <c r="B47" s="34" t="s">
        <v>37</v>
      </c>
      <c r="C47" s="44" t="s">
        <v>104</v>
      </c>
      <c r="D47" s="34" t="s">
        <v>201</v>
      </c>
      <c r="E47" s="121">
        <v>1860</v>
      </c>
      <c r="F47" s="33">
        <f>SUM(E47*2/1000)</f>
        <v>3.72</v>
      </c>
      <c r="G47" s="36">
        <v>795.82</v>
      </c>
      <c r="H47" s="119">
        <f t="shared" si="5"/>
        <v>2.9604504</v>
      </c>
      <c r="I47" s="13">
        <f t="shared" si="6"/>
        <v>1480.2252000000001</v>
      </c>
      <c r="J47" s="23"/>
      <c r="L47" s="19"/>
      <c r="M47" s="20"/>
      <c r="N47" s="21"/>
    </row>
    <row r="48" spans="1:14" ht="15.75" customHeight="1">
      <c r="A48" s="29">
        <v>14</v>
      </c>
      <c r="B48" s="34" t="s">
        <v>33</v>
      </c>
      <c r="C48" s="44" t="s">
        <v>34</v>
      </c>
      <c r="D48" s="34" t="s">
        <v>201</v>
      </c>
      <c r="E48" s="121">
        <v>120.5</v>
      </c>
      <c r="F48" s="33">
        <f>SUM(E48*2/100)</f>
        <v>2.41</v>
      </c>
      <c r="G48" s="36">
        <v>95.49</v>
      </c>
      <c r="H48" s="119">
        <f t="shared" si="5"/>
        <v>0.2301309</v>
      </c>
      <c r="I48" s="13">
        <f t="shared" si="6"/>
        <v>115.06545</v>
      </c>
      <c r="J48" s="23"/>
      <c r="L48" s="19"/>
      <c r="M48" s="20"/>
      <c r="N48" s="21"/>
    </row>
    <row r="49" spans="1:14" ht="15.75" customHeight="1">
      <c r="A49" s="29">
        <v>15</v>
      </c>
      <c r="B49" s="34" t="s">
        <v>56</v>
      </c>
      <c r="C49" s="44" t="s">
        <v>104</v>
      </c>
      <c r="D49" s="34" t="s">
        <v>201</v>
      </c>
      <c r="E49" s="121">
        <v>3053.4</v>
      </c>
      <c r="F49" s="33">
        <f>SUM(E49*5/1000)</f>
        <v>15.266999999999999</v>
      </c>
      <c r="G49" s="36">
        <v>1591.6</v>
      </c>
      <c r="H49" s="119">
        <f t="shared" si="5"/>
        <v>24.298957199999997</v>
      </c>
      <c r="I49" s="13">
        <f>F49/5*G49</f>
        <v>4859.79144</v>
      </c>
      <c r="J49" s="23"/>
      <c r="L49" s="19"/>
      <c r="M49" s="20"/>
      <c r="N49" s="21"/>
    </row>
    <row r="50" spans="1:14" ht="31.5" customHeight="1">
      <c r="A50" s="29">
        <v>16</v>
      </c>
      <c r="B50" s="34" t="s">
        <v>108</v>
      </c>
      <c r="C50" s="44" t="s">
        <v>104</v>
      </c>
      <c r="D50" s="34" t="s">
        <v>201</v>
      </c>
      <c r="E50" s="121">
        <f>E49</f>
        <v>3053.4</v>
      </c>
      <c r="F50" s="33">
        <f>SUM(E50*2/1000)</f>
        <v>6.1067999999999998</v>
      </c>
      <c r="G50" s="36">
        <v>1591.6</v>
      </c>
      <c r="H50" s="119">
        <f t="shared" si="5"/>
        <v>9.7195828800000008</v>
      </c>
      <c r="I50" s="13">
        <f t="shared" si="6"/>
        <v>4859.79144</v>
      </c>
      <c r="J50" s="23"/>
      <c r="L50" s="19"/>
      <c r="M50" s="20"/>
      <c r="N50" s="21"/>
    </row>
    <row r="51" spans="1:14" ht="31.5" customHeight="1">
      <c r="A51" s="29">
        <v>17</v>
      </c>
      <c r="B51" s="34" t="s">
        <v>124</v>
      </c>
      <c r="C51" s="44" t="s">
        <v>38</v>
      </c>
      <c r="D51" s="34" t="s">
        <v>201</v>
      </c>
      <c r="E51" s="121">
        <v>20</v>
      </c>
      <c r="F51" s="33">
        <f>SUM(E51*2/100)</f>
        <v>0.4</v>
      </c>
      <c r="G51" s="36">
        <v>3581.13</v>
      </c>
      <c r="H51" s="119">
        <f t="shared" si="5"/>
        <v>1.4324520000000003</v>
      </c>
      <c r="I51" s="13">
        <f t="shared" si="6"/>
        <v>716.22600000000011</v>
      </c>
      <c r="J51" s="23"/>
      <c r="L51" s="19"/>
      <c r="M51" s="20"/>
      <c r="N51" s="21"/>
    </row>
    <row r="52" spans="1:14" ht="15.75" customHeight="1">
      <c r="A52" s="29">
        <v>18</v>
      </c>
      <c r="B52" s="34" t="s">
        <v>39</v>
      </c>
      <c r="C52" s="44" t="s">
        <v>40</v>
      </c>
      <c r="D52" s="34" t="s">
        <v>201</v>
      </c>
      <c r="E52" s="121">
        <v>1</v>
      </c>
      <c r="F52" s="33">
        <v>0.02</v>
      </c>
      <c r="G52" s="36">
        <v>7412.92</v>
      </c>
      <c r="H52" s="119">
        <f t="shared" si="5"/>
        <v>0.14825839999999998</v>
      </c>
      <c r="I52" s="13">
        <f t="shared" si="6"/>
        <v>74.129199999999997</v>
      </c>
      <c r="J52" s="23"/>
      <c r="L52" s="19"/>
      <c r="M52" s="20"/>
      <c r="N52" s="21"/>
    </row>
    <row r="53" spans="1:14" ht="15.75" hidden="1" customHeight="1">
      <c r="A53" s="29">
        <v>18</v>
      </c>
      <c r="B53" s="34" t="s">
        <v>41</v>
      </c>
      <c r="C53" s="44" t="s">
        <v>89</v>
      </c>
      <c r="D53" s="34" t="s">
        <v>71</v>
      </c>
      <c r="E53" s="121">
        <v>128</v>
      </c>
      <c r="F53" s="33">
        <f>SUM(E53)*3</f>
        <v>384</v>
      </c>
      <c r="G53" s="37">
        <v>86.15</v>
      </c>
      <c r="H53" s="119">
        <f t="shared" si="5"/>
        <v>33.081600000000009</v>
      </c>
      <c r="I53" s="13">
        <f>E53*G53</f>
        <v>11027.2</v>
      </c>
      <c r="J53" s="23"/>
      <c r="L53" s="19"/>
      <c r="M53" s="20"/>
      <c r="N53" s="21"/>
    </row>
    <row r="54" spans="1:14" ht="15.75" customHeight="1">
      <c r="A54" s="204" t="s">
        <v>130</v>
      </c>
      <c r="B54" s="205"/>
      <c r="C54" s="205"/>
      <c r="D54" s="205"/>
      <c r="E54" s="205"/>
      <c r="F54" s="205"/>
      <c r="G54" s="205"/>
      <c r="H54" s="205"/>
      <c r="I54" s="206"/>
      <c r="J54" s="23"/>
      <c r="L54" s="19"/>
      <c r="M54" s="20"/>
      <c r="N54" s="21"/>
    </row>
    <row r="55" spans="1:14" ht="15.75" hidden="1" customHeight="1">
      <c r="A55" s="29"/>
      <c r="B55" s="93" t="s">
        <v>43</v>
      </c>
      <c r="C55" s="72"/>
      <c r="D55" s="71"/>
      <c r="E55" s="73"/>
      <c r="F55" s="74"/>
      <c r="G55" s="74"/>
      <c r="H55" s="78"/>
      <c r="I55" s="79"/>
      <c r="J55" s="23"/>
      <c r="L55" s="19"/>
      <c r="M55" s="20"/>
      <c r="N55" s="21"/>
    </row>
    <row r="56" spans="1:14" ht="31.5" hidden="1" customHeight="1">
      <c r="A56" s="29">
        <v>17</v>
      </c>
      <c r="B56" s="71" t="s">
        <v>109</v>
      </c>
      <c r="C56" s="72" t="s">
        <v>93</v>
      </c>
      <c r="D56" s="71" t="s">
        <v>110</v>
      </c>
      <c r="E56" s="73">
        <v>92.7</v>
      </c>
      <c r="F56" s="74">
        <f>SUM(E56*6/100)</f>
        <v>5.5620000000000003</v>
      </c>
      <c r="G56" s="13">
        <v>2431.1799999999998</v>
      </c>
      <c r="H56" s="78">
        <f>SUM(F56*G56/1000)</f>
        <v>13.522223159999999</v>
      </c>
      <c r="I56" s="13">
        <f>F56/6*G56</f>
        <v>2253.7038600000001</v>
      </c>
      <c r="J56" s="23"/>
      <c r="L56" s="19"/>
      <c r="M56" s="20"/>
      <c r="N56" s="21"/>
    </row>
    <row r="57" spans="1:14" ht="15.75" hidden="1" customHeight="1">
      <c r="A57" s="29">
        <v>19</v>
      </c>
      <c r="B57" s="71" t="s">
        <v>125</v>
      </c>
      <c r="C57" s="72" t="s">
        <v>126</v>
      </c>
      <c r="D57" s="14" t="s">
        <v>66</v>
      </c>
      <c r="E57" s="73"/>
      <c r="F57" s="74">
        <v>2</v>
      </c>
      <c r="G57" s="67">
        <v>1582.05</v>
      </c>
      <c r="H57" s="78">
        <f>SUM(F57*G57/1000)</f>
        <v>3.1640999999999999</v>
      </c>
      <c r="I57" s="13">
        <f>G57*2</f>
        <v>3164.1</v>
      </c>
      <c r="J57" s="23"/>
      <c r="L57" s="19"/>
      <c r="M57" s="20"/>
      <c r="N57" s="21"/>
    </row>
    <row r="58" spans="1:14" ht="15.75" customHeight="1">
      <c r="A58" s="29"/>
      <c r="B58" s="93" t="s">
        <v>44</v>
      </c>
      <c r="C58" s="72"/>
      <c r="D58" s="71"/>
      <c r="E58" s="73"/>
      <c r="F58" s="74"/>
      <c r="G58" s="74"/>
      <c r="H58" s="75" t="s">
        <v>123</v>
      </c>
      <c r="I58" s="79"/>
      <c r="J58" s="23"/>
      <c r="L58" s="19"/>
      <c r="M58" s="20"/>
      <c r="N58" s="21"/>
    </row>
    <row r="59" spans="1:14" ht="15.75" hidden="1" customHeight="1">
      <c r="A59" s="29"/>
      <c r="B59" s="34" t="s">
        <v>45</v>
      </c>
      <c r="C59" s="44" t="s">
        <v>93</v>
      </c>
      <c r="D59" s="34" t="s">
        <v>54</v>
      </c>
      <c r="E59" s="123">
        <v>145</v>
      </c>
      <c r="F59" s="33">
        <f>SUM(E59/100)</f>
        <v>1.45</v>
      </c>
      <c r="G59" s="36">
        <v>1040.8399999999999</v>
      </c>
      <c r="H59" s="124">
        <v>9.1679999999999993</v>
      </c>
      <c r="I59" s="13">
        <v>0</v>
      </c>
      <c r="J59" s="23"/>
      <c r="L59" s="19"/>
      <c r="M59" s="20"/>
      <c r="N59" s="21"/>
    </row>
    <row r="60" spans="1:14" ht="15.75" customHeight="1">
      <c r="A60" s="29">
        <v>19</v>
      </c>
      <c r="B60" s="125" t="s">
        <v>90</v>
      </c>
      <c r="C60" s="126" t="s">
        <v>25</v>
      </c>
      <c r="D60" s="125" t="s">
        <v>201</v>
      </c>
      <c r="E60" s="123">
        <v>255.2</v>
      </c>
      <c r="F60" s="33">
        <v>2400</v>
      </c>
      <c r="G60" s="127">
        <v>1.4</v>
      </c>
      <c r="H60" s="128">
        <f>G60*F60/1000</f>
        <v>3.36</v>
      </c>
      <c r="I60" s="13">
        <f>F60/12*G60</f>
        <v>280</v>
      </c>
      <c r="J60" s="23"/>
      <c r="L60" s="19"/>
      <c r="M60" s="20"/>
      <c r="N60" s="21"/>
    </row>
    <row r="61" spans="1:14" ht="15.75" customHeight="1">
      <c r="A61" s="29"/>
      <c r="B61" s="102" t="s">
        <v>46</v>
      </c>
      <c r="C61" s="84"/>
      <c r="D61" s="83"/>
      <c r="E61" s="81"/>
      <c r="F61" s="85"/>
      <c r="G61" s="85"/>
      <c r="H61" s="86" t="s">
        <v>123</v>
      </c>
      <c r="I61" s="79"/>
      <c r="J61" s="23"/>
      <c r="L61" s="19"/>
      <c r="M61" s="20"/>
      <c r="N61" s="21"/>
    </row>
    <row r="62" spans="1:14" ht="15.75" customHeight="1">
      <c r="A62" s="29">
        <v>20</v>
      </c>
      <c r="B62" s="56" t="s">
        <v>47</v>
      </c>
      <c r="C62" s="40" t="s">
        <v>89</v>
      </c>
      <c r="D62" s="39"/>
      <c r="E62" s="17">
        <v>6</v>
      </c>
      <c r="F62" s="33">
        <f>SUM(E62)</f>
        <v>6</v>
      </c>
      <c r="G62" s="36">
        <v>291.68</v>
      </c>
      <c r="H62" s="114">
        <f t="shared" ref="H62:H70" si="7">SUM(F62*G62/1000)</f>
        <v>1.7500799999999999</v>
      </c>
      <c r="I62" s="13">
        <f>G62*4</f>
        <v>1166.72</v>
      </c>
      <c r="J62" s="23"/>
      <c r="L62" s="19"/>
    </row>
    <row r="63" spans="1:14" ht="15.75" hidden="1" customHeight="1">
      <c r="A63" s="29"/>
      <c r="B63" s="56" t="s">
        <v>48</v>
      </c>
      <c r="C63" s="40" t="s">
        <v>89</v>
      </c>
      <c r="D63" s="39" t="s">
        <v>66</v>
      </c>
      <c r="E63" s="17">
        <v>4</v>
      </c>
      <c r="F63" s="33">
        <f>SUM(E63)</f>
        <v>4</v>
      </c>
      <c r="G63" s="36">
        <v>100.01</v>
      </c>
      <c r="H63" s="114">
        <f t="shared" si="7"/>
        <v>0.40004000000000001</v>
      </c>
      <c r="I63" s="13">
        <v>0</v>
      </c>
      <c r="J63" s="23"/>
      <c r="L63" s="19"/>
    </row>
    <row r="64" spans="1:14" ht="15.75" hidden="1" customHeight="1">
      <c r="A64" s="29"/>
      <c r="B64" s="56" t="s">
        <v>49</v>
      </c>
      <c r="C64" s="42" t="s">
        <v>111</v>
      </c>
      <c r="D64" s="39" t="s">
        <v>54</v>
      </c>
      <c r="E64" s="121">
        <v>15552</v>
      </c>
      <c r="F64" s="37">
        <f>SUM(E64/100)</f>
        <v>155.52000000000001</v>
      </c>
      <c r="G64" s="36">
        <v>278.24</v>
      </c>
      <c r="H64" s="114">
        <f t="shared" si="7"/>
        <v>43.271884800000009</v>
      </c>
      <c r="I64" s="13">
        <v>0</v>
      </c>
    </row>
    <row r="65" spans="1:22" ht="15.75" hidden="1" customHeight="1">
      <c r="A65" s="29"/>
      <c r="B65" s="56" t="s">
        <v>50</v>
      </c>
      <c r="C65" s="40" t="s">
        <v>112</v>
      </c>
      <c r="D65" s="39"/>
      <c r="E65" s="121">
        <v>15552</v>
      </c>
      <c r="F65" s="36">
        <f>SUM(E65/1000)</f>
        <v>15.552</v>
      </c>
      <c r="G65" s="36">
        <v>216.68</v>
      </c>
      <c r="H65" s="114">
        <f t="shared" si="7"/>
        <v>3.3698073600000003</v>
      </c>
      <c r="I65" s="13">
        <v>0</v>
      </c>
    </row>
    <row r="66" spans="1:22" ht="15.75" hidden="1" customHeight="1">
      <c r="A66" s="29"/>
      <c r="B66" s="56" t="s">
        <v>51</v>
      </c>
      <c r="C66" s="40" t="s">
        <v>78</v>
      </c>
      <c r="D66" s="39" t="s">
        <v>54</v>
      </c>
      <c r="E66" s="121">
        <v>2432</v>
      </c>
      <c r="F66" s="36">
        <f>SUM(E66/100)</f>
        <v>24.32</v>
      </c>
      <c r="G66" s="36">
        <v>2720.94</v>
      </c>
      <c r="H66" s="114">
        <f t="shared" si="7"/>
        <v>66.173260800000008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/>
      <c r="B67" s="53" t="s">
        <v>72</v>
      </c>
      <c r="C67" s="40" t="s">
        <v>32</v>
      </c>
      <c r="D67" s="39"/>
      <c r="E67" s="121">
        <v>14.8</v>
      </c>
      <c r="F67" s="36">
        <f>SUM(E67)</f>
        <v>14.8</v>
      </c>
      <c r="G67" s="36">
        <v>42.61</v>
      </c>
      <c r="H67" s="114">
        <f t="shared" si="7"/>
        <v>0.63062800000000008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31.5" hidden="1" customHeight="1">
      <c r="A68" s="29"/>
      <c r="B68" s="53" t="s">
        <v>73</v>
      </c>
      <c r="C68" s="40" t="s">
        <v>32</v>
      </c>
      <c r="D68" s="39"/>
      <c r="E68" s="121">
        <f>E67</f>
        <v>14.8</v>
      </c>
      <c r="F68" s="36">
        <f>SUM(E68)</f>
        <v>14.8</v>
      </c>
      <c r="G68" s="36">
        <v>46.04</v>
      </c>
      <c r="H68" s="114">
        <f t="shared" si="7"/>
        <v>0.681392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customHeight="1">
      <c r="A69" s="29">
        <v>21</v>
      </c>
      <c r="B69" s="39" t="s">
        <v>57</v>
      </c>
      <c r="C69" s="40" t="s">
        <v>58</v>
      </c>
      <c r="D69" s="39" t="s">
        <v>206</v>
      </c>
      <c r="E69" s="17">
        <v>5</v>
      </c>
      <c r="F69" s="33">
        <f>SUM(E69)</f>
        <v>5</v>
      </c>
      <c r="G69" s="36">
        <v>65.42</v>
      </c>
      <c r="H69" s="114">
        <f t="shared" si="7"/>
        <v>0.3271</v>
      </c>
      <c r="I69" s="13">
        <f>G69*4</f>
        <v>261.68</v>
      </c>
      <c r="J69" s="5"/>
      <c r="K69" s="5"/>
      <c r="L69" s="5"/>
      <c r="M69" s="5"/>
      <c r="N69" s="5"/>
      <c r="O69" s="5"/>
      <c r="P69" s="5"/>
      <c r="Q69" s="5"/>
      <c r="R69" s="182"/>
      <c r="S69" s="182"/>
      <c r="T69" s="182"/>
      <c r="U69" s="182"/>
    </row>
    <row r="70" spans="1:22" ht="15.75" customHeight="1">
      <c r="A70" s="29">
        <v>22</v>
      </c>
      <c r="B70" s="39" t="s">
        <v>148</v>
      </c>
      <c r="C70" s="45" t="s">
        <v>149</v>
      </c>
      <c r="D70" s="39"/>
      <c r="E70" s="17">
        <f>E49</f>
        <v>3053.4</v>
      </c>
      <c r="F70" s="33">
        <f>SUM(E70*12)</f>
        <v>36640.800000000003</v>
      </c>
      <c r="G70" s="36">
        <v>2.2799999999999998</v>
      </c>
      <c r="H70" s="114">
        <f t="shared" si="7"/>
        <v>83.541024000000007</v>
      </c>
      <c r="I70" s="13">
        <f>F70/12*G70</f>
        <v>6961.7519999999995</v>
      </c>
      <c r="J70" s="5"/>
      <c r="K70" s="5"/>
      <c r="L70" s="5"/>
      <c r="M70" s="5"/>
      <c r="N70" s="5"/>
      <c r="O70" s="5"/>
      <c r="P70" s="5"/>
      <c r="Q70" s="5"/>
      <c r="R70" s="60"/>
      <c r="S70" s="60"/>
      <c r="T70" s="60"/>
      <c r="U70" s="60"/>
    </row>
    <row r="71" spans="1:22" ht="15.75" customHeight="1">
      <c r="A71" s="29"/>
      <c r="B71" s="66" t="s">
        <v>74</v>
      </c>
      <c r="C71" s="16"/>
      <c r="D71" s="14"/>
      <c r="E71" s="18"/>
      <c r="F71" s="13"/>
      <c r="G71" s="13"/>
      <c r="H71" s="87" t="s">
        <v>123</v>
      </c>
      <c r="I71" s="79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29">
        <v>19</v>
      </c>
      <c r="B72" s="39" t="s">
        <v>150</v>
      </c>
      <c r="C72" s="40" t="s">
        <v>151</v>
      </c>
      <c r="D72" s="39" t="s">
        <v>66</v>
      </c>
      <c r="E72" s="17">
        <v>1</v>
      </c>
      <c r="F72" s="36">
        <f>E72</f>
        <v>1</v>
      </c>
      <c r="G72" s="36">
        <v>1029.1199999999999</v>
      </c>
      <c r="H72" s="113">
        <f t="shared" ref="H72:H73" si="8">SUM(F72*G72/1000)</f>
        <v>1.0291199999999998</v>
      </c>
      <c r="I72" s="13">
        <v>0</v>
      </c>
    </row>
    <row r="73" spans="1:22" ht="15.75" hidden="1" customHeight="1">
      <c r="A73" s="29"/>
      <c r="B73" s="39" t="s">
        <v>152</v>
      </c>
      <c r="C73" s="40" t="s">
        <v>153</v>
      </c>
      <c r="D73" s="129"/>
      <c r="E73" s="17">
        <v>1</v>
      </c>
      <c r="F73" s="36">
        <v>1</v>
      </c>
      <c r="G73" s="36">
        <v>735</v>
      </c>
      <c r="H73" s="113">
        <f t="shared" si="8"/>
        <v>0.73499999999999999</v>
      </c>
      <c r="I73" s="13">
        <v>0</v>
      </c>
    </row>
    <row r="74" spans="1:22" ht="16.5" hidden="1" customHeight="1">
      <c r="A74" s="29">
        <v>23</v>
      </c>
      <c r="B74" s="39" t="s">
        <v>75</v>
      </c>
      <c r="C74" s="40" t="s">
        <v>76</v>
      </c>
      <c r="D74" s="39" t="s">
        <v>66</v>
      </c>
      <c r="E74" s="17">
        <v>5</v>
      </c>
      <c r="F74" s="33">
        <f>SUM(E74/10)</f>
        <v>0.5</v>
      </c>
      <c r="G74" s="36">
        <v>657.87</v>
      </c>
      <c r="H74" s="113">
        <f>SUM(F74*G74/1000)</f>
        <v>0.32893499999999998</v>
      </c>
      <c r="I74" s="13">
        <f>G74*0.2</f>
        <v>131.57400000000001</v>
      </c>
    </row>
    <row r="75" spans="1:22" ht="17.25" hidden="1" customHeight="1">
      <c r="A75" s="29"/>
      <c r="B75" s="39" t="s">
        <v>121</v>
      </c>
      <c r="C75" s="40" t="s">
        <v>89</v>
      </c>
      <c r="D75" s="39" t="s">
        <v>66</v>
      </c>
      <c r="E75" s="17">
        <v>1</v>
      </c>
      <c r="F75" s="36">
        <f>E75</f>
        <v>1</v>
      </c>
      <c r="G75" s="36">
        <v>1118.72</v>
      </c>
      <c r="H75" s="113">
        <f>SUM(F75*G75/1000)</f>
        <v>1.1187199999999999</v>
      </c>
      <c r="I75" s="13">
        <v>0</v>
      </c>
    </row>
    <row r="76" spans="1:22" ht="15.75" customHeight="1">
      <c r="A76" s="29">
        <v>23</v>
      </c>
      <c r="B76" s="115" t="s">
        <v>154</v>
      </c>
      <c r="C76" s="116" t="s">
        <v>89</v>
      </c>
      <c r="D76" s="39" t="s">
        <v>201</v>
      </c>
      <c r="E76" s="17">
        <v>2</v>
      </c>
      <c r="F76" s="33">
        <f>E76*12</f>
        <v>24</v>
      </c>
      <c r="G76" s="36">
        <v>53.42</v>
      </c>
      <c r="H76" s="113">
        <f t="shared" ref="H76:H77" si="9">SUM(F76*G76/1000)</f>
        <v>1.2820799999999999</v>
      </c>
      <c r="I76" s="13">
        <f>G76*2</f>
        <v>106.84</v>
      </c>
    </row>
    <row r="77" spans="1:22" ht="31.5" customHeight="1">
      <c r="A77" s="29">
        <v>24</v>
      </c>
      <c r="B77" s="115" t="s">
        <v>155</v>
      </c>
      <c r="C77" s="116" t="s">
        <v>89</v>
      </c>
      <c r="D77" s="39" t="s">
        <v>206</v>
      </c>
      <c r="E77" s="17">
        <v>1</v>
      </c>
      <c r="F77" s="33">
        <f>E77*12</f>
        <v>12</v>
      </c>
      <c r="G77" s="36">
        <v>1194</v>
      </c>
      <c r="H77" s="113">
        <f t="shared" si="9"/>
        <v>14.327999999999999</v>
      </c>
      <c r="I77" s="13">
        <f>G77</f>
        <v>1194</v>
      </c>
    </row>
    <row r="78" spans="1:22" ht="15.75" hidden="1" customHeight="1">
      <c r="A78" s="29"/>
      <c r="B78" s="90" t="s">
        <v>77</v>
      </c>
      <c r="C78" s="16"/>
      <c r="D78" s="14"/>
      <c r="E78" s="18"/>
      <c r="F78" s="18"/>
      <c r="G78" s="18"/>
      <c r="H78" s="18"/>
      <c r="I78" s="79"/>
    </row>
    <row r="79" spans="1:22" ht="15.75" hidden="1" customHeight="1">
      <c r="A79" s="29"/>
      <c r="B79" s="41" t="s">
        <v>115</v>
      </c>
      <c r="C79" s="42" t="s">
        <v>78</v>
      </c>
      <c r="D79" s="56"/>
      <c r="E79" s="59"/>
      <c r="F79" s="37">
        <v>0.3</v>
      </c>
      <c r="G79" s="37">
        <v>3619.09</v>
      </c>
      <c r="H79" s="114">
        <f t="shared" ref="H79" si="10">SUM(F79*G79/1000)</f>
        <v>1.0857270000000001</v>
      </c>
      <c r="I79" s="13">
        <v>0</v>
      </c>
    </row>
    <row r="80" spans="1:22" ht="15.75" hidden="1" customHeight="1">
      <c r="A80" s="29"/>
      <c r="B80" s="66" t="s">
        <v>113</v>
      </c>
      <c r="C80" s="90"/>
      <c r="D80" s="31"/>
      <c r="E80" s="32"/>
      <c r="F80" s="91"/>
      <c r="G80" s="91"/>
      <c r="H80" s="92">
        <f>SUM(H56:H79)</f>
        <v>249.26712212000004</v>
      </c>
      <c r="I80" s="77"/>
    </row>
    <row r="81" spans="1:9" ht="15.75" hidden="1" customHeight="1">
      <c r="A81" s="94"/>
      <c r="B81" s="34" t="s">
        <v>114</v>
      </c>
      <c r="C81" s="130"/>
      <c r="D81" s="131"/>
      <c r="E81" s="132"/>
      <c r="F81" s="38">
        <f>232/10</f>
        <v>23.2</v>
      </c>
      <c r="G81" s="38">
        <v>12361.2</v>
      </c>
      <c r="H81" s="114">
        <f>G81*F81/1000</f>
        <v>286.77984000000004</v>
      </c>
      <c r="I81" s="95">
        <v>0</v>
      </c>
    </row>
    <row r="82" spans="1:9" ht="15.75" customHeight="1">
      <c r="A82" s="194" t="s">
        <v>131</v>
      </c>
      <c r="B82" s="195"/>
      <c r="C82" s="195"/>
      <c r="D82" s="195"/>
      <c r="E82" s="195"/>
      <c r="F82" s="195"/>
      <c r="G82" s="195"/>
      <c r="H82" s="195"/>
      <c r="I82" s="196"/>
    </row>
    <row r="83" spans="1:9" ht="15.75" customHeight="1">
      <c r="A83" s="96">
        <v>25</v>
      </c>
      <c r="B83" s="34" t="s">
        <v>116</v>
      </c>
      <c r="C83" s="40" t="s">
        <v>55</v>
      </c>
      <c r="D83" s="103"/>
      <c r="E83" s="36">
        <v>3053.4</v>
      </c>
      <c r="F83" s="36">
        <f>SUM(E83*12)</f>
        <v>36640.800000000003</v>
      </c>
      <c r="G83" s="36">
        <v>3.1</v>
      </c>
      <c r="H83" s="114">
        <f>SUM(F83*G83/1000)</f>
        <v>113.58648000000001</v>
      </c>
      <c r="I83" s="101">
        <f>F83/12*G83</f>
        <v>9465.5400000000009</v>
      </c>
    </row>
    <row r="84" spans="1:9" ht="31.5" customHeight="1">
      <c r="A84" s="29">
        <v>26</v>
      </c>
      <c r="B84" s="39" t="s">
        <v>79</v>
      </c>
      <c r="C84" s="40"/>
      <c r="D84" s="103"/>
      <c r="E84" s="121">
        <v>3053.4</v>
      </c>
      <c r="F84" s="36">
        <f>E84*12</f>
        <v>36640.800000000003</v>
      </c>
      <c r="G84" s="36">
        <v>3.5</v>
      </c>
      <c r="H84" s="114">
        <f>F84*G84/1000</f>
        <v>128.24280000000002</v>
      </c>
      <c r="I84" s="13">
        <f>F84/12*G84</f>
        <v>10686.9</v>
      </c>
    </row>
    <row r="85" spans="1:9" ht="15.75" customHeight="1">
      <c r="A85" s="29"/>
      <c r="B85" s="43" t="s">
        <v>81</v>
      </c>
      <c r="C85" s="90"/>
      <c r="D85" s="88"/>
      <c r="E85" s="91"/>
      <c r="F85" s="91"/>
      <c r="G85" s="91"/>
      <c r="H85" s="92">
        <f>SUM(H84)</f>
        <v>128.24280000000002</v>
      </c>
      <c r="I85" s="91">
        <f>I84+I83+I77+I76+I70+I69+I60+I52+I51+I50+I49+I48+I47+I46+I45+I44+I32+I30+I29+I26+I21+I20+I18+I17+I16+I62</f>
        <v>62024.847400666658</v>
      </c>
    </row>
    <row r="86" spans="1:9" ht="15.75" customHeight="1">
      <c r="A86" s="183" t="s">
        <v>60</v>
      </c>
      <c r="B86" s="184"/>
      <c r="C86" s="184"/>
      <c r="D86" s="184"/>
      <c r="E86" s="184"/>
      <c r="F86" s="184"/>
      <c r="G86" s="184"/>
      <c r="H86" s="184"/>
      <c r="I86" s="185"/>
    </row>
    <row r="87" spans="1:9" ht="29.25" customHeight="1">
      <c r="A87" s="29">
        <v>27</v>
      </c>
      <c r="B87" s="115" t="s">
        <v>182</v>
      </c>
      <c r="C87" s="116" t="s">
        <v>183</v>
      </c>
      <c r="D87" s="117"/>
      <c r="E87" s="36"/>
      <c r="F87" s="36">
        <v>4</v>
      </c>
      <c r="G87" s="13">
        <v>59.21</v>
      </c>
      <c r="H87" s="114">
        <f>F87*G87/1000</f>
        <v>0.23683999999999999</v>
      </c>
      <c r="I87" s="13">
        <f>G87*1</f>
        <v>59.21</v>
      </c>
    </row>
    <row r="88" spans="1:9" ht="15.75" customHeight="1">
      <c r="A88" s="29">
        <v>28</v>
      </c>
      <c r="B88" s="115" t="s">
        <v>159</v>
      </c>
      <c r="C88" s="116" t="s">
        <v>127</v>
      </c>
      <c r="D88" s="117"/>
      <c r="E88" s="36"/>
      <c r="F88" s="36"/>
      <c r="G88" s="13">
        <v>273</v>
      </c>
      <c r="H88" s="114"/>
      <c r="I88" s="13">
        <f>G88*8</f>
        <v>2184</v>
      </c>
    </row>
    <row r="89" spans="1:9" ht="15.75" customHeight="1">
      <c r="A89" s="29">
        <v>29</v>
      </c>
      <c r="B89" s="115" t="s">
        <v>229</v>
      </c>
      <c r="C89" s="116" t="s">
        <v>230</v>
      </c>
      <c r="D89" s="117" t="s">
        <v>231</v>
      </c>
      <c r="E89" s="36"/>
      <c r="F89" s="36"/>
      <c r="G89" s="13">
        <v>225.75</v>
      </c>
      <c r="H89" s="114"/>
      <c r="I89" s="13">
        <f>G89*1</f>
        <v>225.75</v>
      </c>
    </row>
    <row r="90" spans="1:9" ht="31.5" customHeight="1">
      <c r="A90" s="29">
        <v>30</v>
      </c>
      <c r="B90" s="115" t="s">
        <v>87</v>
      </c>
      <c r="C90" s="116" t="s">
        <v>97</v>
      </c>
      <c r="D90" s="117"/>
      <c r="E90" s="36"/>
      <c r="F90" s="36"/>
      <c r="G90" s="177">
        <v>644.72</v>
      </c>
      <c r="H90" s="114"/>
      <c r="I90" s="13">
        <f>G90*1</f>
        <v>644.72</v>
      </c>
    </row>
    <row r="91" spans="1:9" ht="15.75" customHeight="1">
      <c r="A91" s="29"/>
      <c r="B91" s="50" t="s">
        <v>52</v>
      </c>
      <c r="C91" s="46"/>
      <c r="D91" s="54"/>
      <c r="E91" s="46">
        <v>1</v>
      </c>
      <c r="F91" s="46"/>
      <c r="G91" s="46"/>
      <c r="H91" s="46"/>
      <c r="I91" s="32">
        <f>SUM(I87:I90)</f>
        <v>3113.6800000000003</v>
      </c>
    </row>
    <row r="92" spans="1:9" ht="15.75" customHeight="1">
      <c r="A92" s="29"/>
      <c r="B92" s="52" t="s">
        <v>80</v>
      </c>
      <c r="C92" s="15"/>
      <c r="D92" s="15"/>
      <c r="E92" s="47"/>
      <c r="F92" s="47"/>
      <c r="G92" s="48"/>
      <c r="H92" s="48"/>
      <c r="I92" s="17">
        <v>0</v>
      </c>
    </row>
    <row r="93" spans="1:9" ht="15.75" customHeight="1">
      <c r="A93" s="55"/>
      <c r="B93" s="51" t="s">
        <v>141</v>
      </c>
      <c r="C93" s="35"/>
      <c r="D93" s="35"/>
      <c r="E93" s="35"/>
      <c r="F93" s="35"/>
      <c r="G93" s="35"/>
      <c r="H93" s="35"/>
      <c r="I93" s="49">
        <f>I85+I91</f>
        <v>65138.527400666659</v>
      </c>
    </row>
    <row r="94" spans="1:9" ht="15.75">
      <c r="A94" s="186" t="s">
        <v>237</v>
      </c>
      <c r="B94" s="186"/>
      <c r="C94" s="186"/>
      <c r="D94" s="186"/>
      <c r="E94" s="186"/>
      <c r="F94" s="186"/>
      <c r="G94" s="186"/>
      <c r="H94" s="186"/>
      <c r="I94" s="186"/>
    </row>
    <row r="95" spans="1:9" ht="15.75">
      <c r="A95" s="62"/>
      <c r="B95" s="187" t="s">
        <v>238</v>
      </c>
      <c r="C95" s="187"/>
      <c r="D95" s="187"/>
      <c r="E95" s="187"/>
      <c r="F95" s="187"/>
      <c r="G95" s="187"/>
      <c r="H95" s="70"/>
      <c r="I95" s="3"/>
    </row>
    <row r="96" spans="1:9">
      <c r="A96" s="60"/>
      <c r="B96" s="188" t="s">
        <v>6</v>
      </c>
      <c r="C96" s="188"/>
      <c r="D96" s="188"/>
      <c r="E96" s="188"/>
      <c r="F96" s="188"/>
      <c r="G96" s="188"/>
      <c r="H96" s="24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89" t="s">
        <v>7</v>
      </c>
      <c r="B98" s="189"/>
      <c r="C98" s="189"/>
      <c r="D98" s="189"/>
      <c r="E98" s="189"/>
      <c r="F98" s="189"/>
      <c r="G98" s="189"/>
      <c r="H98" s="189"/>
      <c r="I98" s="189"/>
    </row>
    <row r="99" spans="1:9" ht="15.75" customHeight="1">
      <c r="A99" s="189" t="s">
        <v>8</v>
      </c>
      <c r="B99" s="189"/>
      <c r="C99" s="189"/>
      <c r="D99" s="189"/>
      <c r="E99" s="189"/>
      <c r="F99" s="189"/>
      <c r="G99" s="189"/>
      <c r="H99" s="189"/>
      <c r="I99" s="189"/>
    </row>
    <row r="100" spans="1:9" ht="15.75" customHeight="1">
      <c r="A100" s="190" t="s">
        <v>61</v>
      </c>
      <c r="B100" s="190"/>
      <c r="C100" s="190"/>
      <c r="D100" s="190"/>
      <c r="E100" s="190"/>
      <c r="F100" s="190"/>
      <c r="G100" s="190"/>
      <c r="H100" s="190"/>
      <c r="I100" s="190"/>
    </row>
    <row r="101" spans="1:9" ht="15.75" customHeight="1">
      <c r="A101" s="11"/>
    </row>
    <row r="102" spans="1:9" ht="15.75" customHeight="1">
      <c r="A102" s="191" t="s">
        <v>9</v>
      </c>
      <c r="B102" s="191"/>
      <c r="C102" s="191"/>
      <c r="D102" s="191"/>
      <c r="E102" s="191"/>
      <c r="F102" s="191"/>
      <c r="G102" s="191"/>
      <c r="H102" s="191"/>
      <c r="I102" s="191"/>
    </row>
    <row r="103" spans="1:9" ht="15.75" customHeight="1">
      <c r="A103" s="4"/>
    </row>
    <row r="104" spans="1:9" ht="15.75" customHeight="1">
      <c r="B104" s="61" t="s">
        <v>10</v>
      </c>
      <c r="C104" s="192" t="s">
        <v>88</v>
      </c>
      <c r="D104" s="192"/>
      <c r="E104" s="192"/>
      <c r="F104" s="68"/>
      <c r="I104" s="64"/>
    </row>
    <row r="105" spans="1:9" ht="15.75" customHeight="1">
      <c r="A105" s="60"/>
      <c r="C105" s="188" t="s">
        <v>11</v>
      </c>
      <c r="D105" s="188"/>
      <c r="E105" s="188"/>
      <c r="F105" s="24"/>
      <c r="I105" s="63" t="s">
        <v>12</v>
      </c>
    </row>
    <row r="106" spans="1:9" ht="15.75" customHeight="1">
      <c r="A106" s="25"/>
      <c r="C106" s="12"/>
      <c r="D106" s="12"/>
      <c r="G106" s="12"/>
      <c r="H106" s="12"/>
    </row>
    <row r="107" spans="1:9" ht="15.75" customHeight="1">
      <c r="B107" s="61" t="s">
        <v>13</v>
      </c>
      <c r="C107" s="193"/>
      <c r="D107" s="193"/>
      <c r="E107" s="193"/>
      <c r="F107" s="69"/>
      <c r="I107" s="64"/>
    </row>
    <row r="108" spans="1:9" ht="15.75" customHeight="1">
      <c r="A108" s="60"/>
      <c r="C108" s="182" t="s">
        <v>11</v>
      </c>
      <c r="D108" s="182"/>
      <c r="E108" s="182"/>
      <c r="F108" s="60"/>
      <c r="I108" s="63" t="s">
        <v>12</v>
      </c>
    </row>
    <row r="109" spans="1:9" ht="15.75" customHeight="1">
      <c r="A109" s="4" t="s">
        <v>14</v>
      </c>
    </row>
    <row r="110" spans="1:9">
      <c r="A110" s="180" t="s">
        <v>15</v>
      </c>
      <c r="B110" s="180"/>
      <c r="C110" s="180"/>
      <c r="D110" s="180"/>
      <c r="E110" s="180"/>
      <c r="F110" s="180"/>
      <c r="G110" s="180"/>
      <c r="H110" s="180"/>
      <c r="I110" s="180"/>
    </row>
    <row r="111" spans="1:9" ht="45" customHeight="1">
      <c r="A111" s="181" t="s">
        <v>16</v>
      </c>
      <c r="B111" s="181"/>
      <c r="C111" s="181"/>
      <c r="D111" s="181"/>
      <c r="E111" s="181"/>
      <c r="F111" s="181"/>
      <c r="G111" s="181"/>
      <c r="H111" s="181"/>
      <c r="I111" s="181"/>
    </row>
    <row r="112" spans="1:9" ht="30" customHeight="1">
      <c r="A112" s="181" t="s">
        <v>17</v>
      </c>
      <c r="B112" s="181"/>
      <c r="C112" s="181"/>
      <c r="D112" s="181"/>
      <c r="E112" s="181"/>
      <c r="F112" s="181"/>
      <c r="G112" s="181"/>
      <c r="H112" s="181"/>
      <c r="I112" s="181"/>
    </row>
    <row r="113" spans="1:9" ht="30" customHeight="1">
      <c r="A113" s="181" t="s">
        <v>21</v>
      </c>
      <c r="B113" s="181"/>
      <c r="C113" s="181"/>
      <c r="D113" s="181"/>
      <c r="E113" s="181"/>
      <c r="F113" s="181"/>
      <c r="G113" s="181"/>
      <c r="H113" s="181"/>
      <c r="I113" s="181"/>
    </row>
    <row r="114" spans="1:9" ht="15" customHeight="1">
      <c r="A114" s="181" t="s">
        <v>20</v>
      </c>
      <c r="B114" s="181"/>
      <c r="C114" s="181"/>
      <c r="D114" s="181"/>
      <c r="E114" s="181"/>
      <c r="F114" s="181"/>
      <c r="G114" s="181"/>
      <c r="H114" s="181"/>
      <c r="I114" s="181"/>
    </row>
  </sheetData>
  <autoFilter ref="I12:I64"/>
  <mergeCells count="29">
    <mergeCell ref="A110:I110"/>
    <mergeCell ref="A111:I111"/>
    <mergeCell ref="A112:I112"/>
    <mergeCell ref="A113:I113"/>
    <mergeCell ref="A114:I114"/>
    <mergeCell ref="R69:U69"/>
    <mergeCell ref="C108:E108"/>
    <mergeCell ref="A86:I86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2:I82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01.19</vt:lpstr>
      <vt:lpstr>02.19</vt:lpstr>
      <vt:lpstr>03.19</vt:lpstr>
      <vt:lpstr>04.19</vt:lpstr>
      <vt:lpstr>05.19</vt:lpstr>
      <vt:lpstr>06.19</vt:lpstr>
      <vt:lpstr>07.19</vt:lpstr>
      <vt:lpstr>08.19</vt:lpstr>
      <vt:lpstr>09.19</vt:lpstr>
      <vt:lpstr>10.19</vt:lpstr>
      <vt:lpstr>11.19</vt:lpstr>
      <vt:lpstr>12.19</vt:lpstr>
      <vt:lpstr>'01.19'!Область_печати</vt:lpstr>
      <vt:lpstr>'02.19'!Область_печати</vt:lpstr>
      <vt:lpstr>'03.19'!Область_печати</vt:lpstr>
      <vt:lpstr>'07.19'!Область_печати</vt:lpstr>
      <vt:lpstr>'08.19'!Область_печати</vt:lpstr>
      <vt:lpstr>'09.19'!Область_печати</vt:lpstr>
      <vt:lpstr>'10.19'!Область_печати</vt:lpstr>
      <vt:lpstr>'11.19'!Область_печати</vt:lpstr>
      <vt:lpstr>'12.19'!Область_печати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2020-02-20T12:05:51Z</cp:lastPrinted>
  <dcterms:created xsi:type="dcterms:W3CDTF">2016-03-25T08:33:47Z</dcterms:created>
  <dcterms:modified xsi:type="dcterms:W3CDTF">2020-02-20T12:08:21Z</dcterms:modified>
</cp:coreProperties>
</file>