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17" r:id="rId1"/>
    <sheet name="02.19" sheetId="18" r:id="rId2"/>
    <sheet name="03.19" sheetId="19" r:id="rId3"/>
    <sheet name="04.19" sheetId="20" r:id="rId4"/>
    <sheet name="05.19" sheetId="21" r:id="rId5"/>
    <sheet name="06.19" sheetId="22" r:id="rId6"/>
    <sheet name="07.19" sheetId="23" r:id="rId7"/>
    <sheet name="08.19" sheetId="24" r:id="rId8"/>
    <sheet name="09.19" sheetId="25" r:id="rId9"/>
    <sheet name="10.19" sheetId="26" r:id="rId10"/>
    <sheet name="11.19" sheetId="28" r:id="rId11"/>
    <sheet name="12.19" sheetId="29" r:id="rId12"/>
  </sheets>
  <definedNames>
    <definedName name="_xlnm._FilterDatabase" localSheetId="0" hidden="1">'01.19'!$I$12:$I$62</definedName>
    <definedName name="_xlnm._FilterDatabase" localSheetId="1" hidden="1">'02.19'!$I$12:$I$62</definedName>
    <definedName name="_xlnm._FilterDatabase" localSheetId="2" hidden="1">'03.19'!$I$12:$I$62</definedName>
    <definedName name="_xlnm._FilterDatabase" localSheetId="3" hidden="1">'04.19'!$I$12:$I$62</definedName>
    <definedName name="_xlnm._FilterDatabase" localSheetId="4" hidden="1">'05.19'!$I$12:$I$61</definedName>
    <definedName name="_xlnm._FilterDatabase" localSheetId="5" hidden="1">'06.19'!$I$12:$I$60</definedName>
    <definedName name="_xlnm._FilterDatabase" localSheetId="6" hidden="1">'07.19'!$I$12:$I$60</definedName>
    <definedName name="_xlnm._FilterDatabase" localSheetId="7" hidden="1">'08.19'!$I$12:$I$60</definedName>
    <definedName name="_xlnm._FilterDatabase" localSheetId="8" hidden="1">'09.19'!$I$12:$I$60</definedName>
    <definedName name="_xlnm._FilterDatabase" localSheetId="9" hidden="1">'10.19'!$I$12:$I$61</definedName>
    <definedName name="_xlnm._FilterDatabase" localSheetId="10" hidden="1">'11.19'!$I$12:$I$64</definedName>
    <definedName name="_xlnm._FilterDatabase" localSheetId="11" hidden="1">'12.19'!$I$12:$I$63</definedName>
    <definedName name="_xlnm.Print_Area" localSheetId="0">'01.19'!$A$1:$I$117</definedName>
    <definedName name="_xlnm.Print_Area" localSheetId="1">'02.19'!$A$1:$I$117</definedName>
    <definedName name="_xlnm.Print_Area" localSheetId="2">'03.19'!$A$1:$I$125</definedName>
    <definedName name="_xlnm.Print_Area" localSheetId="3">'04.19'!$A$1:$I$130</definedName>
    <definedName name="_xlnm.Print_Area" localSheetId="4">'05.19'!$A$1:$I$124</definedName>
    <definedName name="_xlnm.Print_Area" localSheetId="5">'06.19'!$A$1:$I$112</definedName>
    <definedName name="_xlnm.Print_Area" localSheetId="6">'07.19'!$A$1:$I$120</definedName>
    <definedName name="_xlnm.Print_Area" localSheetId="7">'08.19'!$A$1:$I$113</definedName>
    <definedName name="_xlnm.Print_Area" localSheetId="8">'09.19'!$A$1:$I$111</definedName>
    <definedName name="_xlnm.Print_Area" localSheetId="9">'10.19'!$A$1:$I$125</definedName>
    <definedName name="_xlnm.Print_Area" localSheetId="10">'11.19'!$A$1:$I$121</definedName>
    <definedName name="_xlnm.Print_Area" localSheetId="11">'12.19'!$A$1:$I$118</definedName>
  </definedNames>
  <calcPr calcId="124519"/>
</workbook>
</file>

<file path=xl/calcChain.xml><?xml version="1.0" encoding="utf-8"?>
<calcChain xmlns="http://schemas.openxmlformats.org/spreadsheetml/2006/main">
  <c r="I94" i="29"/>
  <c r="I93"/>
  <c r="I92"/>
  <c r="I91"/>
  <c r="I90"/>
  <c r="I89"/>
  <c r="I95" s="1"/>
  <c r="E86"/>
  <c r="F86" s="1"/>
  <c r="F85"/>
  <c r="H85" s="1"/>
  <c r="I81"/>
  <c r="F74"/>
  <c r="I74" s="1"/>
  <c r="I79"/>
  <c r="F79"/>
  <c r="I60"/>
  <c r="I59"/>
  <c r="I38"/>
  <c r="F45"/>
  <c r="I45" s="1"/>
  <c r="I44"/>
  <c r="H44"/>
  <c r="F43"/>
  <c r="I43" s="1"/>
  <c r="F42"/>
  <c r="I42" s="1"/>
  <c r="F41"/>
  <c r="I41" s="1"/>
  <c r="H40"/>
  <c r="F39"/>
  <c r="I39" s="1"/>
  <c r="H38"/>
  <c r="F21"/>
  <c r="I21" s="1"/>
  <c r="F26"/>
  <c r="H26" s="1"/>
  <c r="F25"/>
  <c r="H25" s="1"/>
  <c r="H24"/>
  <c r="F23"/>
  <c r="H23" s="1"/>
  <c r="F22"/>
  <c r="H22" s="1"/>
  <c r="F20"/>
  <c r="I20" s="1"/>
  <c r="F19"/>
  <c r="H19" s="1"/>
  <c r="E18"/>
  <c r="F18" s="1"/>
  <c r="F17"/>
  <c r="H17" s="1"/>
  <c r="F16"/>
  <c r="I16" s="1"/>
  <c r="H20" l="1"/>
  <c r="H41"/>
  <c r="H86"/>
  <c r="I86"/>
  <c r="I85"/>
  <c r="H39"/>
  <c r="H43"/>
  <c r="H42"/>
  <c r="H21"/>
  <c r="H18"/>
  <c r="I18"/>
  <c r="H16"/>
  <c r="I17"/>
  <c r="I26"/>
  <c r="I89" i="28" l="1"/>
  <c r="I78"/>
  <c r="I98"/>
  <c r="I97"/>
  <c r="I86" i="26"/>
  <c r="I58"/>
  <c r="I99"/>
  <c r="F63" i="28"/>
  <c r="I60"/>
  <c r="I96"/>
  <c r="I95"/>
  <c r="I93"/>
  <c r="I94"/>
  <c r="I92"/>
  <c r="I91"/>
  <c r="I67"/>
  <c r="E88"/>
  <c r="F88" s="1"/>
  <c r="F87"/>
  <c r="H87" s="1"/>
  <c r="I81"/>
  <c r="F81"/>
  <c r="F76"/>
  <c r="I76" s="1"/>
  <c r="F45"/>
  <c r="I45" s="1"/>
  <c r="F43"/>
  <c r="F42"/>
  <c r="F41"/>
  <c r="F39"/>
  <c r="F26"/>
  <c r="H26" s="1"/>
  <c r="F25"/>
  <c r="H25" s="1"/>
  <c r="H24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H16" l="1"/>
  <c r="H18"/>
  <c r="I18"/>
  <c r="H20"/>
  <c r="H88"/>
  <c r="I88"/>
  <c r="I87"/>
  <c r="I17"/>
  <c r="I21"/>
  <c r="I26"/>
  <c r="I101" i="26" l="1"/>
  <c r="I43" l="1"/>
  <c r="F43"/>
  <c r="I100"/>
  <c r="I98"/>
  <c r="I97"/>
  <c r="I96"/>
  <c r="I95"/>
  <c r="I94"/>
  <c r="I93"/>
  <c r="F81"/>
  <c r="I81" s="1"/>
  <c r="I92"/>
  <c r="I91"/>
  <c r="I90"/>
  <c r="I89"/>
  <c r="I88"/>
  <c r="I75"/>
  <c r="F85"/>
  <c r="I85" s="1"/>
  <c r="E84"/>
  <c r="F84" s="1"/>
  <c r="F83"/>
  <c r="F75"/>
  <c r="F61"/>
  <c r="F30"/>
  <c r="F29"/>
  <c r="F26"/>
  <c r="H26" s="1"/>
  <c r="F20"/>
  <c r="E18"/>
  <c r="F18" s="1"/>
  <c r="I18" s="1"/>
  <c r="F17"/>
  <c r="F16"/>
  <c r="I52" i="25"/>
  <c r="I87"/>
  <c r="I86"/>
  <c r="I85"/>
  <c r="I84"/>
  <c r="I88" s="1"/>
  <c r="I63"/>
  <c r="I32"/>
  <c r="F31"/>
  <c r="I31" s="1"/>
  <c r="F30"/>
  <c r="I30" s="1"/>
  <c r="F29"/>
  <c r="I29" s="1"/>
  <c r="F26"/>
  <c r="H26" s="1"/>
  <c r="F25"/>
  <c r="I25" s="1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102" i="26" l="1"/>
  <c r="I26"/>
  <c r="H30" i="25"/>
  <c r="H29"/>
  <c r="H31"/>
  <c r="I18"/>
  <c r="H18"/>
  <c r="I16"/>
  <c r="H17"/>
  <c r="I19"/>
  <c r="H20"/>
  <c r="I21"/>
  <c r="H22"/>
  <c r="I23"/>
  <c r="H25"/>
  <c r="I26"/>
  <c r="I90" i="24"/>
  <c r="I82"/>
  <c r="I89"/>
  <c r="I88"/>
  <c r="I87"/>
  <c r="I86"/>
  <c r="I85"/>
  <c r="I84"/>
  <c r="I32"/>
  <c r="F31"/>
  <c r="I31" s="1"/>
  <c r="F30"/>
  <c r="I30" s="1"/>
  <c r="F29"/>
  <c r="I29" s="1"/>
  <c r="F26"/>
  <c r="H26" s="1"/>
  <c r="F25"/>
  <c r="I25" s="1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30" l="1"/>
  <c r="H17"/>
  <c r="H29"/>
  <c r="H31"/>
  <c r="I18"/>
  <c r="H18"/>
  <c r="I19"/>
  <c r="H20"/>
  <c r="I21"/>
  <c r="H22"/>
  <c r="I23"/>
  <c r="H25"/>
  <c r="I26"/>
  <c r="I16"/>
  <c r="I97" i="23"/>
  <c r="I96"/>
  <c r="I95"/>
  <c r="I84"/>
  <c r="I94"/>
  <c r="I93"/>
  <c r="I92"/>
  <c r="I91"/>
  <c r="I90"/>
  <c r="I89"/>
  <c r="I88"/>
  <c r="I87"/>
  <c r="I86"/>
  <c r="I85"/>
  <c r="I72"/>
  <c r="F26"/>
  <c r="H26" s="1"/>
  <c r="F25"/>
  <c r="I25" s="1"/>
  <c r="I24"/>
  <c r="H24"/>
  <c r="F23"/>
  <c r="I23" s="1"/>
  <c r="F22"/>
  <c r="I22" s="1"/>
  <c r="F21"/>
  <c r="I21" s="1"/>
  <c r="F20"/>
  <c r="I20" s="1"/>
  <c r="F19"/>
  <c r="H19" s="1"/>
  <c r="E18"/>
  <c r="F18" s="1"/>
  <c r="F17"/>
  <c r="I17" s="1"/>
  <c r="F16"/>
  <c r="H16" s="1"/>
  <c r="I82" i="22"/>
  <c r="I89"/>
  <c r="I88"/>
  <c r="F26"/>
  <c r="H26" s="1"/>
  <c r="F25"/>
  <c r="H25" s="1"/>
  <c r="H24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3" i="21"/>
  <c r="I101"/>
  <c r="I100"/>
  <c r="F26"/>
  <c r="H26" s="1"/>
  <c r="F20"/>
  <c r="H20" s="1"/>
  <c r="E18"/>
  <c r="F18" s="1"/>
  <c r="H18" s="1"/>
  <c r="F17"/>
  <c r="H17" s="1"/>
  <c r="F16"/>
  <c r="I16" s="1"/>
  <c r="I107" i="20"/>
  <c r="I106"/>
  <c r="F26"/>
  <c r="H26" s="1"/>
  <c r="F25"/>
  <c r="H25" s="1"/>
  <c r="H24"/>
  <c r="H23"/>
  <c r="F23"/>
  <c r="H22"/>
  <c r="F22"/>
  <c r="F21"/>
  <c r="H21" s="1"/>
  <c r="H20"/>
  <c r="F20"/>
  <c r="I20" s="1"/>
  <c r="H19"/>
  <c r="F19"/>
  <c r="E18"/>
  <c r="F18" s="1"/>
  <c r="F17"/>
  <c r="H17" s="1"/>
  <c r="F16"/>
  <c r="I16" s="1"/>
  <c r="I102" i="19"/>
  <c r="I101"/>
  <c r="F26"/>
  <c r="H26" s="1"/>
  <c r="F25"/>
  <c r="H25" s="1"/>
  <c r="H24"/>
  <c r="F23"/>
  <c r="H23" s="1"/>
  <c r="F22"/>
  <c r="H22" s="1"/>
  <c r="F21"/>
  <c r="H21" s="1"/>
  <c r="H20"/>
  <c r="F20"/>
  <c r="I20" s="1"/>
  <c r="H19"/>
  <c r="F19"/>
  <c r="E18"/>
  <c r="F18" s="1"/>
  <c r="F17"/>
  <c r="H17" s="1"/>
  <c r="F16"/>
  <c r="I16" s="1"/>
  <c r="I94" i="18"/>
  <c r="I93"/>
  <c r="F26"/>
  <c r="H26" s="1"/>
  <c r="F25"/>
  <c r="H25" s="1"/>
  <c r="H24"/>
  <c r="H23"/>
  <c r="F23"/>
  <c r="H22"/>
  <c r="F22"/>
  <c r="F21"/>
  <c r="H21" s="1"/>
  <c r="H20"/>
  <c r="F20"/>
  <c r="I20" s="1"/>
  <c r="H19"/>
  <c r="F19"/>
  <c r="F18"/>
  <c r="H18" s="1"/>
  <c r="E18"/>
  <c r="F17"/>
  <c r="H17" s="1"/>
  <c r="H16"/>
  <c r="F16"/>
  <c r="I16" s="1"/>
  <c r="I94" i="17"/>
  <c r="I93"/>
  <c r="F26"/>
  <c r="H23" i="23" l="1"/>
  <c r="H21"/>
  <c r="I18"/>
  <c r="H18"/>
  <c r="I16"/>
  <c r="H17"/>
  <c r="I19"/>
  <c r="H20"/>
  <c r="H22"/>
  <c r="H25"/>
  <c r="I26"/>
  <c r="H20" i="22"/>
  <c r="H18"/>
  <c r="I18"/>
  <c r="H16"/>
  <c r="I17"/>
  <c r="I21"/>
  <c r="I26"/>
  <c r="H16" i="21"/>
  <c r="I26"/>
  <c r="I20"/>
  <c r="I17"/>
  <c r="I18"/>
  <c r="H18" i="20"/>
  <c r="I18"/>
  <c r="H16"/>
  <c r="I17"/>
  <c r="I21"/>
  <c r="I26"/>
  <c r="H18" i="19"/>
  <c r="I18"/>
  <c r="H16"/>
  <c r="I17"/>
  <c r="I21"/>
  <c r="I26"/>
  <c r="I17" i="18"/>
  <c r="I18"/>
  <c r="I21"/>
  <c r="I26"/>
  <c r="I87" i="22" l="1"/>
  <c r="I86"/>
  <c r="I85"/>
  <c r="I84"/>
  <c r="I105" i="20"/>
  <c r="I104"/>
  <c r="I93" i="21"/>
  <c r="I99" l="1"/>
  <c r="I97"/>
  <c r="I96"/>
  <c r="I95"/>
  <c r="I94"/>
  <c r="I92"/>
  <c r="I91"/>
  <c r="I90"/>
  <c r="I89"/>
  <c r="I88"/>
  <c r="I87"/>
  <c r="I86"/>
  <c r="I85"/>
  <c r="I37" i="19"/>
  <c r="I37" i="20"/>
  <c r="I103" l="1"/>
  <c r="I95"/>
  <c r="I94"/>
  <c r="I88"/>
  <c r="I102"/>
  <c r="I101"/>
  <c r="I100"/>
  <c r="I99"/>
  <c r="I98"/>
  <c r="I97"/>
  <c r="I96"/>
  <c r="I93"/>
  <c r="I92"/>
  <c r="I91"/>
  <c r="I90"/>
  <c r="I58"/>
  <c r="I57"/>
  <c r="I84" i="18"/>
  <c r="I86" i="19"/>
  <c r="I88" l="1"/>
  <c r="I100" l="1"/>
  <c r="I99"/>
  <c r="I98"/>
  <c r="I97"/>
  <c r="I96"/>
  <c r="I95"/>
  <c r="I94"/>
  <c r="I93"/>
  <c r="I92"/>
  <c r="I91" l="1"/>
  <c r="I90"/>
  <c r="I89"/>
  <c r="I87"/>
  <c r="I65"/>
  <c r="I58"/>
  <c r="I57"/>
  <c r="I86" i="18"/>
  <c r="I86" i="17"/>
  <c r="I92" i="18" l="1"/>
  <c r="I91"/>
  <c r="I90"/>
  <c r="I89"/>
  <c r="I88"/>
  <c r="I87"/>
  <c r="I58"/>
  <c r="I57"/>
  <c r="F57"/>
  <c r="I37"/>
  <c r="I37" i="17"/>
  <c r="I90" l="1"/>
  <c r="I92"/>
  <c r="I91"/>
  <c r="I89"/>
  <c r="I88"/>
  <c r="I87"/>
  <c r="I74"/>
  <c r="I65"/>
  <c r="I58"/>
  <c r="I57"/>
  <c r="F89" i="29"/>
  <c r="H89" s="1"/>
  <c r="I76"/>
  <c r="I44" i="28" l="1"/>
  <c r="F44" i="25" l="1"/>
  <c r="I63" i="24"/>
  <c r="I72" l="1"/>
  <c r="I38" i="21" l="1"/>
  <c r="I60"/>
  <c r="I57"/>
  <c r="I53" i="20" l="1"/>
  <c r="I61" l="1"/>
  <c r="I84"/>
  <c r="I82"/>
  <c r="I43"/>
  <c r="H91" i="19"/>
  <c r="H90"/>
  <c r="H89"/>
  <c r="H88"/>
  <c r="H87"/>
  <c r="H86"/>
  <c r="I43"/>
  <c r="I43" i="18"/>
  <c r="I43" i="17"/>
  <c r="H92" i="18" l="1"/>
  <c r="H91"/>
  <c r="H90"/>
  <c r="H89"/>
  <c r="H88"/>
  <c r="H87"/>
  <c r="H86"/>
  <c r="I74"/>
  <c r="H90" i="17"/>
  <c r="H89"/>
  <c r="H88"/>
  <c r="H87"/>
  <c r="H86"/>
  <c r="H61"/>
  <c r="H92" i="29" l="1"/>
  <c r="H91"/>
  <c r="H90"/>
  <c r="H83"/>
  <c r="H81"/>
  <c r="H78"/>
  <c r="F77"/>
  <c r="H77" s="1"/>
  <c r="F72"/>
  <c r="I72" s="1"/>
  <c r="F71"/>
  <c r="H71" s="1"/>
  <c r="F70"/>
  <c r="I70" s="1"/>
  <c r="F69"/>
  <c r="H69" s="1"/>
  <c r="F68"/>
  <c r="I68" s="1"/>
  <c r="F67"/>
  <c r="H67" s="1"/>
  <c r="H66"/>
  <c r="I65"/>
  <c r="H65"/>
  <c r="I63"/>
  <c r="H63"/>
  <c r="F62"/>
  <c r="H62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36"/>
  <c r="H35"/>
  <c r="H34"/>
  <c r="F34"/>
  <c r="I34" s="1"/>
  <c r="I33"/>
  <c r="F32"/>
  <c r="H32" s="1"/>
  <c r="F31"/>
  <c r="I31" s="1"/>
  <c r="F30"/>
  <c r="H30" s="1"/>
  <c r="F27"/>
  <c r="I27" s="1"/>
  <c r="H93" i="28"/>
  <c r="H92"/>
  <c r="F91"/>
  <c r="H91" s="1"/>
  <c r="H85"/>
  <c r="H83"/>
  <c r="H80"/>
  <c r="F79"/>
  <c r="H79" s="1"/>
  <c r="F74"/>
  <c r="I74" s="1"/>
  <c r="F73"/>
  <c r="H73" s="1"/>
  <c r="F72"/>
  <c r="I72" s="1"/>
  <c r="F71"/>
  <c r="H71" s="1"/>
  <c r="F70"/>
  <c r="I70" s="1"/>
  <c r="F69"/>
  <c r="H69" s="1"/>
  <c r="H68"/>
  <c r="H67"/>
  <c r="I63"/>
  <c r="H63"/>
  <c r="F62"/>
  <c r="H62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44"/>
  <c r="I43"/>
  <c r="H42"/>
  <c r="I41"/>
  <c r="H40"/>
  <c r="I39"/>
  <c r="I38"/>
  <c r="H38"/>
  <c r="H36"/>
  <c r="H35"/>
  <c r="H34"/>
  <c r="F34"/>
  <c r="I34" s="1"/>
  <c r="I33"/>
  <c r="F32"/>
  <c r="H32" s="1"/>
  <c r="F31"/>
  <c r="I31" s="1"/>
  <c r="F30"/>
  <c r="H30" s="1"/>
  <c r="F27"/>
  <c r="I27" s="1"/>
  <c r="H90" i="26"/>
  <c r="H89"/>
  <c r="H88"/>
  <c r="I72"/>
  <c r="I63"/>
  <c r="F98" i="20"/>
  <c r="H98" s="1"/>
  <c r="H27" i="29" l="1"/>
  <c r="I30"/>
  <c r="H31"/>
  <c r="I32"/>
  <c r="I52"/>
  <c r="I87" s="1"/>
  <c r="H53"/>
  <c r="I54"/>
  <c r="I67"/>
  <c r="H68"/>
  <c r="I69"/>
  <c r="H70"/>
  <c r="I71"/>
  <c r="H72"/>
  <c r="H27" i="28"/>
  <c r="I30"/>
  <c r="H31"/>
  <c r="I32"/>
  <c r="H39"/>
  <c r="H41"/>
  <c r="I42"/>
  <c r="H43"/>
  <c r="I52"/>
  <c r="H53"/>
  <c r="I54"/>
  <c r="I59"/>
  <c r="I69"/>
  <c r="H70"/>
  <c r="I71"/>
  <c r="H72"/>
  <c r="I73"/>
  <c r="H74"/>
  <c r="H82" i="29" l="1"/>
  <c r="I97"/>
  <c r="H84" i="28"/>
  <c r="I100"/>
  <c r="H87" i="25" l="1"/>
  <c r="H86"/>
  <c r="H85"/>
  <c r="F84"/>
  <c r="H84" s="1"/>
  <c r="H87" i="24"/>
  <c r="H86"/>
  <c r="H85"/>
  <c r="F84"/>
  <c r="H84" s="1"/>
  <c r="H85" i="23"/>
  <c r="H84"/>
  <c r="H86" i="22"/>
  <c r="H85"/>
  <c r="F84"/>
  <c r="H84" s="1"/>
  <c r="I63"/>
  <c r="F87" i="21"/>
  <c r="H87" s="1"/>
  <c r="H86"/>
  <c r="H85"/>
  <c r="F97" i="20"/>
  <c r="H97" s="1"/>
  <c r="H96"/>
  <c r="H95"/>
  <c r="F94"/>
  <c r="H94" s="1"/>
  <c r="H93"/>
  <c r="H92"/>
  <c r="H91"/>
  <c r="F90"/>
  <c r="H90" s="1"/>
  <c r="I53" i="26" l="1"/>
  <c r="H83"/>
  <c r="H79"/>
  <c r="H77"/>
  <c r="H74"/>
  <c r="F73"/>
  <c r="H73" s="1"/>
  <c r="F70"/>
  <c r="I70" s="1"/>
  <c r="F69"/>
  <c r="H69" s="1"/>
  <c r="F68"/>
  <c r="I68" s="1"/>
  <c r="F67"/>
  <c r="H67" s="1"/>
  <c r="F66"/>
  <c r="I66" s="1"/>
  <c r="F65"/>
  <c r="H65" s="1"/>
  <c r="H64"/>
  <c r="H63"/>
  <c r="I61"/>
  <c r="H61"/>
  <c r="F60"/>
  <c r="H60" s="1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2"/>
  <c r="H42"/>
  <c r="F41"/>
  <c r="I41" s="1"/>
  <c r="F40"/>
  <c r="H40" s="1"/>
  <c r="F39"/>
  <c r="I39" s="1"/>
  <c r="H38"/>
  <c r="F37"/>
  <c r="I37" s="1"/>
  <c r="I36"/>
  <c r="H36"/>
  <c r="H34"/>
  <c r="H33"/>
  <c r="I32"/>
  <c r="F31"/>
  <c r="H31" s="1"/>
  <c r="I30"/>
  <c r="H29"/>
  <c r="F25"/>
  <c r="H25" s="1"/>
  <c r="H24"/>
  <c r="F23"/>
  <c r="H23" s="1"/>
  <c r="F22"/>
  <c r="H22" s="1"/>
  <c r="F21"/>
  <c r="H21" s="1"/>
  <c r="I20"/>
  <c r="F19"/>
  <c r="H19" s="1"/>
  <c r="I17"/>
  <c r="I16"/>
  <c r="E81" i="25"/>
  <c r="F81" s="1"/>
  <c r="F80"/>
  <c r="H80" s="1"/>
  <c r="H78"/>
  <c r="H76"/>
  <c r="H74"/>
  <c r="F73"/>
  <c r="H73" s="1"/>
  <c r="F70"/>
  <c r="I70" s="1"/>
  <c r="F69"/>
  <c r="H69" s="1"/>
  <c r="F68"/>
  <c r="I68" s="1"/>
  <c r="F67"/>
  <c r="H67" s="1"/>
  <c r="F66"/>
  <c r="I66" s="1"/>
  <c r="F65"/>
  <c r="H65" s="1"/>
  <c r="H64"/>
  <c r="H63"/>
  <c r="I59"/>
  <c r="H59"/>
  <c r="F58"/>
  <c r="H58" s="1"/>
  <c r="F56"/>
  <c r="I56" s="1"/>
  <c r="I53"/>
  <c r="F53"/>
  <c r="H53" s="1"/>
  <c r="H52"/>
  <c r="F51"/>
  <c r="F50"/>
  <c r="F49"/>
  <c r="H49" s="1"/>
  <c r="F48"/>
  <c r="H48" s="1"/>
  <c r="F47"/>
  <c r="H47" s="1"/>
  <c r="F46"/>
  <c r="H46" s="1"/>
  <c r="F45"/>
  <c r="H45" s="1"/>
  <c r="H44"/>
  <c r="I42"/>
  <c r="H42"/>
  <c r="F41"/>
  <c r="I41" s="1"/>
  <c r="F40"/>
  <c r="H40" s="1"/>
  <c r="F39"/>
  <c r="I39" s="1"/>
  <c r="H38"/>
  <c r="F37"/>
  <c r="I37" s="1"/>
  <c r="I36"/>
  <c r="H36"/>
  <c r="H34"/>
  <c r="H33"/>
  <c r="H51" l="1"/>
  <c r="I51"/>
  <c r="H50"/>
  <c r="I50"/>
  <c r="H68" i="26"/>
  <c r="H17"/>
  <c r="H66"/>
  <c r="H70"/>
  <c r="I51"/>
  <c r="I52"/>
  <c r="H18"/>
  <c r="H84"/>
  <c r="I84"/>
  <c r="H16"/>
  <c r="H20"/>
  <c r="I21"/>
  <c r="I29"/>
  <c r="H30"/>
  <c r="I31"/>
  <c r="H37"/>
  <c r="H39"/>
  <c r="I40"/>
  <c r="H41"/>
  <c r="I50"/>
  <c r="H57"/>
  <c r="I65"/>
  <c r="I67"/>
  <c r="I69"/>
  <c r="I83"/>
  <c r="I47" i="25"/>
  <c r="I45"/>
  <c r="I48"/>
  <c r="I46"/>
  <c r="I44"/>
  <c r="H68"/>
  <c r="H66"/>
  <c r="H70"/>
  <c r="H81"/>
  <c r="I81"/>
  <c r="H37"/>
  <c r="H39"/>
  <c r="I40"/>
  <c r="H41"/>
  <c r="I49"/>
  <c r="H56"/>
  <c r="H77" s="1"/>
  <c r="I65"/>
  <c r="I67"/>
  <c r="I69"/>
  <c r="I80"/>
  <c r="E81" i="24"/>
  <c r="F81" s="1"/>
  <c r="H81" s="1"/>
  <c r="F80"/>
  <c r="H80" s="1"/>
  <c r="H78"/>
  <c r="H76"/>
  <c r="H74"/>
  <c r="F73"/>
  <c r="H73" s="1"/>
  <c r="F70"/>
  <c r="I70" s="1"/>
  <c r="F69"/>
  <c r="H69" s="1"/>
  <c r="F68"/>
  <c r="I68" s="1"/>
  <c r="F67"/>
  <c r="H67" s="1"/>
  <c r="F66"/>
  <c r="I66" s="1"/>
  <c r="F65"/>
  <c r="H65" s="1"/>
  <c r="H64"/>
  <c r="H63"/>
  <c r="I59"/>
  <c r="H59"/>
  <c r="F58"/>
  <c r="H58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I78" i="23"/>
  <c r="I63"/>
  <c r="E81"/>
  <c r="F81" s="1"/>
  <c r="F80"/>
  <c r="H80" s="1"/>
  <c r="H78"/>
  <c r="H76"/>
  <c r="H74"/>
  <c r="F73"/>
  <c r="H73" s="1"/>
  <c r="F70"/>
  <c r="I70" s="1"/>
  <c r="F69"/>
  <c r="H69" s="1"/>
  <c r="F68"/>
  <c r="I68" s="1"/>
  <c r="F67"/>
  <c r="H67" s="1"/>
  <c r="F66"/>
  <c r="I66" s="1"/>
  <c r="F65"/>
  <c r="H65" s="1"/>
  <c r="H64"/>
  <c r="H63"/>
  <c r="I59"/>
  <c r="H59"/>
  <c r="F58"/>
  <c r="H58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I32"/>
  <c r="F31"/>
  <c r="H31" s="1"/>
  <c r="F30"/>
  <c r="I30" s="1"/>
  <c r="F29"/>
  <c r="H29" s="1"/>
  <c r="I72" i="22"/>
  <c r="E81"/>
  <c r="F81" s="1"/>
  <c r="F80"/>
  <c r="H80" s="1"/>
  <c r="H78"/>
  <c r="H76"/>
  <c r="H74"/>
  <c r="F73"/>
  <c r="H73" s="1"/>
  <c r="F70"/>
  <c r="I70" s="1"/>
  <c r="F69"/>
  <c r="H69" s="1"/>
  <c r="F68"/>
  <c r="I68" s="1"/>
  <c r="F67"/>
  <c r="H67" s="1"/>
  <c r="F66"/>
  <c r="I66" s="1"/>
  <c r="F65"/>
  <c r="H65" s="1"/>
  <c r="H64"/>
  <c r="H63"/>
  <c r="I59"/>
  <c r="H59"/>
  <c r="F58"/>
  <c r="H58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I32"/>
  <c r="F31"/>
  <c r="H31" s="1"/>
  <c r="F30"/>
  <c r="I30" s="1"/>
  <c r="F29"/>
  <c r="H29" s="1"/>
  <c r="H78" i="26" l="1"/>
  <c r="I104"/>
  <c r="I82" i="25"/>
  <c r="I82" i="23"/>
  <c r="I90" i="25"/>
  <c r="H68" i="24"/>
  <c r="H37"/>
  <c r="H66"/>
  <c r="H70"/>
  <c r="H56"/>
  <c r="H39"/>
  <c r="H41"/>
  <c r="I40"/>
  <c r="I49"/>
  <c r="I65"/>
  <c r="I67"/>
  <c r="I69"/>
  <c r="I80"/>
  <c r="I81"/>
  <c r="H70" i="23"/>
  <c r="H81"/>
  <c r="I81"/>
  <c r="I29"/>
  <c r="H30"/>
  <c r="I31"/>
  <c r="H37"/>
  <c r="H39"/>
  <c r="I40"/>
  <c r="H41"/>
  <c r="I49"/>
  <c r="H56"/>
  <c r="I65"/>
  <c r="H66"/>
  <c r="I67"/>
  <c r="H68"/>
  <c r="I69"/>
  <c r="I80"/>
  <c r="H70" i="22"/>
  <c r="H68"/>
  <c r="H81"/>
  <c r="I81"/>
  <c r="I29"/>
  <c r="H30"/>
  <c r="I31"/>
  <c r="H37"/>
  <c r="H39"/>
  <c r="I40"/>
  <c r="H41"/>
  <c r="I49"/>
  <c r="H56"/>
  <c r="I65"/>
  <c r="H66"/>
  <c r="I67"/>
  <c r="I69"/>
  <c r="I80"/>
  <c r="I99" i="23" l="1"/>
  <c r="I91" i="22"/>
  <c r="I92" i="24"/>
  <c r="H77"/>
  <c r="H77" i="23"/>
  <c r="H77" i="22"/>
  <c r="I52" i="21" l="1"/>
  <c r="I24"/>
  <c r="H90"/>
  <c r="H89"/>
  <c r="H88"/>
  <c r="E82"/>
  <c r="F82" s="1"/>
  <c r="F81"/>
  <c r="H81" s="1"/>
  <c r="H79"/>
  <c r="H77"/>
  <c r="H75"/>
  <c r="F74"/>
  <c r="H74" s="1"/>
  <c r="F71"/>
  <c r="I71" s="1"/>
  <c r="F70"/>
  <c r="H70" s="1"/>
  <c r="F69"/>
  <c r="I69" s="1"/>
  <c r="F68"/>
  <c r="H68" s="1"/>
  <c r="F67"/>
  <c r="I67" s="1"/>
  <c r="F66"/>
  <c r="H66" s="1"/>
  <c r="H65"/>
  <c r="H64"/>
  <c r="H60"/>
  <c r="F59"/>
  <c r="H59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I32"/>
  <c r="F31"/>
  <c r="H31" s="1"/>
  <c r="F30"/>
  <c r="I30" s="1"/>
  <c r="F29"/>
  <c r="H29" s="1"/>
  <c r="F25"/>
  <c r="H25" s="1"/>
  <c r="H24"/>
  <c r="F23"/>
  <c r="H23" s="1"/>
  <c r="F22"/>
  <c r="H22" s="1"/>
  <c r="F21"/>
  <c r="H21" s="1"/>
  <c r="F19"/>
  <c r="E87" i="20"/>
  <c r="F87" s="1"/>
  <c r="F86"/>
  <c r="H86" s="1"/>
  <c r="H80"/>
  <c r="H78"/>
  <c r="H76"/>
  <c r="F75"/>
  <c r="H75" s="1"/>
  <c r="F72"/>
  <c r="I72" s="1"/>
  <c r="F71"/>
  <c r="H71" s="1"/>
  <c r="F70"/>
  <c r="I70" s="1"/>
  <c r="F69"/>
  <c r="H69" s="1"/>
  <c r="F68"/>
  <c r="I68" s="1"/>
  <c r="F67"/>
  <c r="H67" s="1"/>
  <c r="H66"/>
  <c r="H65"/>
  <c r="H61"/>
  <c r="F60"/>
  <c r="H60" s="1"/>
  <c r="F57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H39"/>
  <c r="F38"/>
  <c r="I38" s="1"/>
  <c r="H37"/>
  <c r="H35"/>
  <c r="H34"/>
  <c r="H33"/>
  <c r="F33"/>
  <c r="I33" s="1"/>
  <c r="I32"/>
  <c r="F31"/>
  <c r="H31" s="1"/>
  <c r="F30"/>
  <c r="I30" s="1"/>
  <c r="F29"/>
  <c r="H29" s="1"/>
  <c r="E83" i="19"/>
  <c r="F83" s="1"/>
  <c r="F82"/>
  <c r="H82" s="1"/>
  <c r="H80"/>
  <c r="H78"/>
  <c r="H76"/>
  <c r="F75"/>
  <c r="H75" s="1"/>
  <c r="F72"/>
  <c r="I72" s="1"/>
  <c r="F71"/>
  <c r="H71" s="1"/>
  <c r="F70"/>
  <c r="I70" s="1"/>
  <c r="F69"/>
  <c r="H69" s="1"/>
  <c r="F68"/>
  <c r="I68" s="1"/>
  <c r="F67"/>
  <c r="H67" s="1"/>
  <c r="H66"/>
  <c r="H65"/>
  <c r="I61"/>
  <c r="H61"/>
  <c r="F60"/>
  <c r="H60" s="1"/>
  <c r="F57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H39"/>
  <c r="F38"/>
  <c r="I38" s="1"/>
  <c r="H37"/>
  <c r="H35"/>
  <c r="H34"/>
  <c r="H33"/>
  <c r="F33"/>
  <c r="I33" s="1"/>
  <c r="I32"/>
  <c r="F31"/>
  <c r="H31" s="1"/>
  <c r="F30"/>
  <c r="I30" s="1"/>
  <c r="F29"/>
  <c r="H29" s="1"/>
  <c r="E83" i="18"/>
  <c r="F83" s="1"/>
  <c r="F82"/>
  <c r="H82" s="1"/>
  <c r="H80"/>
  <c r="H78"/>
  <c r="H76"/>
  <c r="F75"/>
  <c r="H75" s="1"/>
  <c r="F72"/>
  <c r="I72" s="1"/>
  <c r="F71"/>
  <c r="H71" s="1"/>
  <c r="F70"/>
  <c r="I70" s="1"/>
  <c r="F69"/>
  <c r="H69" s="1"/>
  <c r="F68"/>
  <c r="I68" s="1"/>
  <c r="F67"/>
  <c r="H67" s="1"/>
  <c r="H66"/>
  <c r="H65"/>
  <c r="I61"/>
  <c r="H61"/>
  <c r="F60"/>
  <c r="H60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H39"/>
  <c r="F38"/>
  <c r="I38" s="1"/>
  <c r="H37"/>
  <c r="H35"/>
  <c r="H34"/>
  <c r="H33"/>
  <c r="F33"/>
  <c r="I33" s="1"/>
  <c r="I32"/>
  <c r="F31"/>
  <c r="H31" s="1"/>
  <c r="F30"/>
  <c r="I30" s="1"/>
  <c r="F29"/>
  <c r="H29" s="1"/>
  <c r="H52" i="20" l="1"/>
  <c r="I52"/>
  <c r="H51"/>
  <c r="I51"/>
  <c r="H19" i="21"/>
  <c r="I19"/>
  <c r="I22"/>
  <c r="I47"/>
  <c r="I45"/>
  <c r="I48"/>
  <c r="I25"/>
  <c r="I23"/>
  <c r="I46"/>
  <c r="I44"/>
  <c r="I50"/>
  <c r="I51"/>
  <c r="H82"/>
  <c r="I82"/>
  <c r="I21"/>
  <c r="I29"/>
  <c r="H30"/>
  <c r="I31"/>
  <c r="H37"/>
  <c r="H39"/>
  <c r="I40"/>
  <c r="H41"/>
  <c r="I49"/>
  <c r="H56"/>
  <c r="I66"/>
  <c r="H67"/>
  <c r="I68"/>
  <c r="H69"/>
  <c r="I70"/>
  <c r="H71"/>
  <c r="I81"/>
  <c r="H70" i="20"/>
  <c r="H68"/>
  <c r="H72"/>
  <c r="H87"/>
  <c r="I87"/>
  <c r="I29"/>
  <c r="H30"/>
  <c r="I31"/>
  <c r="H38"/>
  <c r="H40"/>
  <c r="I41"/>
  <c r="H42"/>
  <c r="I50"/>
  <c r="H57"/>
  <c r="I67"/>
  <c r="I69"/>
  <c r="I71"/>
  <c r="I86"/>
  <c r="H83" i="19"/>
  <c r="I83"/>
  <c r="I29"/>
  <c r="H30"/>
  <c r="I31"/>
  <c r="H38"/>
  <c r="H40"/>
  <c r="I41"/>
  <c r="H42"/>
  <c r="I50"/>
  <c r="H57"/>
  <c r="I67"/>
  <c r="H68"/>
  <c r="I69"/>
  <c r="H70"/>
  <c r="I71"/>
  <c r="H72"/>
  <c r="I82"/>
  <c r="H70" i="18"/>
  <c r="H68"/>
  <c r="H72"/>
  <c r="H83"/>
  <c r="I83"/>
  <c r="I29"/>
  <c r="H30"/>
  <c r="I31"/>
  <c r="H38"/>
  <c r="H40"/>
  <c r="I41"/>
  <c r="H42"/>
  <c r="I50"/>
  <c r="H57"/>
  <c r="H79" s="1"/>
  <c r="I67"/>
  <c r="I69"/>
  <c r="I71"/>
  <c r="I82"/>
  <c r="I103" i="21" l="1"/>
  <c r="I109" i="20"/>
  <c r="I84" i="19"/>
  <c r="I104" s="1"/>
  <c r="I96" i="18"/>
  <c r="H79" i="20"/>
  <c r="H78" i="21"/>
  <c r="H79" i="19"/>
  <c r="I32" i="17" l="1"/>
  <c r="E83"/>
  <c r="F83" s="1"/>
  <c r="F82"/>
  <c r="I82" s="1"/>
  <c r="H80"/>
  <c r="H78"/>
  <c r="H76"/>
  <c r="F75"/>
  <c r="H75" s="1"/>
  <c r="F72"/>
  <c r="H72" s="1"/>
  <c r="F71"/>
  <c r="H71" s="1"/>
  <c r="F70"/>
  <c r="H70" s="1"/>
  <c r="F69"/>
  <c r="H69" s="1"/>
  <c r="F68"/>
  <c r="H68" s="1"/>
  <c r="F67"/>
  <c r="H67" s="1"/>
  <c r="H66"/>
  <c r="H65"/>
  <c r="I61"/>
  <c r="F60"/>
  <c r="H60" s="1"/>
  <c r="F57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H39"/>
  <c r="F38"/>
  <c r="I38" s="1"/>
  <c r="H37"/>
  <c r="H35"/>
  <c r="H34"/>
  <c r="H26"/>
  <c r="H33"/>
  <c r="F33"/>
  <c r="I33" s="1"/>
  <c r="F31"/>
  <c r="H31" s="1"/>
  <c r="F30"/>
  <c r="H30" s="1"/>
  <c r="F29"/>
  <c r="H29" s="1"/>
  <c r="F25"/>
  <c r="H25" s="1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72" l="1"/>
  <c r="I70"/>
  <c r="I68"/>
  <c r="I67"/>
  <c r="I71"/>
  <c r="I69"/>
  <c r="I29"/>
  <c r="I31"/>
  <c r="I30"/>
  <c r="H82"/>
  <c r="H38"/>
  <c r="I18"/>
  <c r="H18"/>
  <c r="I83"/>
  <c r="H83"/>
  <c r="I16"/>
  <c r="H17"/>
  <c r="I20"/>
  <c r="H21"/>
  <c r="I26"/>
  <c r="I84" s="1"/>
  <c r="H40"/>
  <c r="I41"/>
  <c r="H42"/>
  <c r="H50"/>
  <c r="H57"/>
  <c r="H79" s="1"/>
  <c r="I96" l="1"/>
</calcChain>
</file>

<file path=xl/sharedStrings.xml><?xml version="1.0" encoding="utf-8"?>
<sst xmlns="http://schemas.openxmlformats.org/spreadsheetml/2006/main" count="2772" uniqueCount="336">
  <si>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</si>
  <si>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</si>
  <si>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</si>
  <si>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</si>
  <si>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</si>
  <si>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</si>
  <si>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</si>
  <si>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</si>
  <si>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</si>
  <si>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</si>
  <si>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</si>
  <si>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</si>
  <si>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</si>
  <si>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</si>
  <si>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</si>
  <si>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</si>
  <si>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</si>
  <si>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</si>
  <si>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</si>
  <si>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</si>
  <si>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</si>
  <si>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</si>
  <si>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</si>
  <si>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</si>
  <si>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</si>
  <si>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</si>
  <si>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</si>
  <si>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</si>
  <si>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</si>
  <si>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</si>
  <si>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</si>
  <si>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</si>
  <si>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</si>
  <si>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</si>
  <si>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</si>
  <si>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</si>
  <si>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</si>
  <si>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</si>
  <si>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</si>
  <si>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</si>
  <si>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</si>
  <si>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</si>
  <si>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</si>
  <si>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</si>
  <si>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</si>
  <si>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</si>
  <si>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</si>
  <si>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</si>
  <si>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</si>
  <si>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</si>
  <si>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</si>
  <si>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</si>
  <si>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</si>
  <si>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</si>
  <si>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</si>
  <si>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</si>
  <si>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</si>
  <si>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</si>
  <si>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</si>
  <si>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</si>
  <si>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</si>
  <si>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</si>
  <si>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</si>
  <si>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</si>
  <si>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</si>
  <si>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</si>
  <si>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</si>
  <si>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</si>
  <si>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</si>
  <si>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</si>
  <si>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</si>
  <si>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</si>
  <si>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</si>
  <si>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</si>
  <si>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</si>
  <si>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</si>
  <si>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</si>
  <si>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</si>
  <si>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</si>
  <si>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</si>
  <si>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</si>
  <si>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</si>
  <si>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</si>
  <si>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</si>
  <si>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</si>
  <si>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</si>
  <si>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</si>
  <si>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</si>
  <si>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Работа автовышки</t>
  </si>
  <si>
    <t>Замена ламп ДРЛ</t>
  </si>
  <si>
    <t>генеральный директор Куканов Ю.Л.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</si>
  <si>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</si>
  <si>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</si>
  <si>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</si>
  <si>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</si>
  <si>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</si>
  <si>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</si>
  <si>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Влажная протирка перил</t>
  </si>
  <si>
    <t>Влажная протирка почтовых ящиков</t>
  </si>
  <si>
    <t>маш/час</t>
  </si>
  <si>
    <t>Влажная протирка подоконников</t>
  </si>
  <si>
    <t>Влажная протирка отопительных приборов</t>
  </si>
  <si>
    <t>1 раз в 2 месяца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</si>
  <si>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</si>
  <si>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</si>
  <si>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</si>
  <si>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</si>
  <si>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</si>
  <si>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</si>
  <si>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</si>
  <si>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</si>
  <si>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</si>
  <si>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</si>
  <si>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</si>
  <si>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</si>
  <si>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1м3</t>
  </si>
  <si>
    <t>155 раз за сезон</t>
  </si>
  <si>
    <t>35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</si>
  <si>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</si>
  <si>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</si>
  <si>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</si>
  <si>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</si>
  <si>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</si>
  <si>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</si>
  <si>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</si>
  <si>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</si>
  <si>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</si>
  <si>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</si>
  <si>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</si>
  <si>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</si>
  <si>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</si>
  <si>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</si>
  <si>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№13 по ул.Нефтяников пгт.Ярега
</t>
  </si>
  <si>
    <t>Осмотр шиферной кровли</t>
  </si>
  <si>
    <t>Лестничная клетка</t>
  </si>
  <si>
    <t>Установка пружин на входных дверях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</si>
  <si>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</si>
  <si>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</si>
  <si>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</si>
  <si>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</si>
  <si>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</si>
  <si>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Сдвигание снега в дни снегопада (тротуар, крыльца)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</si>
  <si>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</si>
  <si>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</si>
  <si>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</si>
  <si>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</si>
  <si>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</si>
  <si>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</si>
  <si>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</si>
  <si>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</si>
  <si>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</si>
  <si>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</si>
  <si>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</si>
  <si>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</si>
  <si>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</si>
  <si>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Итого месячные затраты</t>
  </si>
  <si>
    <t>АКТ №11</t>
  </si>
  <si>
    <t>АКТ №12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</si>
  <si>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д.13</t>
    </r>
  </si>
  <si>
    <t>Установка хомута диаметром до 50 мм</t>
  </si>
  <si>
    <t>Итого затраты за месяц</t>
  </si>
  <si>
    <t>Очистка канализационной сети внутренней</t>
  </si>
  <si>
    <t>1м</t>
  </si>
  <si>
    <t>маш-час</t>
  </si>
  <si>
    <t>Смена дверных приборов-ручки-собы</t>
  </si>
  <si>
    <t>по  необходимости</t>
  </si>
  <si>
    <t>Муфта 25</t>
  </si>
  <si>
    <t>мач/час</t>
  </si>
  <si>
    <t>2 ч</t>
  </si>
  <si>
    <t>м</t>
  </si>
  <si>
    <t>ООО «Движение»</t>
  </si>
  <si>
    <r>
      <t xml:space="preserve">    Собственники помещений в многоквартирном доме,  расположенном по адресу:  пгт.Ярега, ул.Нефтяников, д.13,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28.02.2014г.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</si>
  <si>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34,6м2</t>
  </si>
  <si>
    <t>233,3 м2</t>
  </si>
  <si>
    <t>Снятие показаний эл.счетчика коммунального назначения</t>
  </si>
  <si>
    <t>Очистка вручную от снега и наледи люков каналиационных и водопроводных колодцев</t>
  </si>
  <si>
    <t>по мере необходимости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</si>
  <si>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</si>
  <si>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</si>
  <si>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r>
      <t xml:space="preserve">    Собственники помещений в многоквартирном доме,  расположенном по адресу:  пгт.Ярега, ул.Нефтяников, д.13,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28.02.2014г.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Уставаение,  с другой стороны,  совместно именуемые "Стороны", составили настоящий Акт о нижеследующем:</t>
    </r>
  </si>
  <si>
    <t>за период с 01.01.2019 г. по 31.01.2019 г.</t>
  </si>
  <si>
    <t xml:space="preserve">Смена внутренних трубопроводов на полипропиленовые трубы PN 25 Dу 25 </t>
  </si>
  <si>
    <t xml:space="preserve">Смена внутренних трубопроводов на полипропиленовые трубы 32*5,4 </t>
  </si>
  <si>
    <t xml:space="preserve">Смена внутренних трубопроводов на полипропиленовые трубы PN 20 Dу 25 </t>
  </si>
  <si>
    <t xml:space="preserve">Смена внутренних трубопроводов на полипропиленовые трубы PN 20 Dу 20 </t>
  </si>
  <si>
    <t>за период с 01.02.2019 г. по 28.02.2019 г.</t>
  </si>
  <si>
    <t>Установка заглушек диаметром трубопроводов до 100 мм</t>
  </si>
  <si>
    <t>заглушка</t>
  </si>
  <si>
    <t>Манжета Dу 110</t>
  </si>
  <si>
    <t>Внеплановый осмотр кровель из штучных материалов</t>
  </si>
  <si>
    <t>Смена арматуры - вентилей и клапанов обратных муфтовых диаметром до 20 мм (без материалов)</t>
  </si>
  <si>
    <t>за период с 01.03.2019 г. по 31.03.2019 г.</t>
  </si>
  <si>
    <t>Смена арматуры - задвижек диаметром 50 мм</t>
  </si>
  <si>
    <t>Ремонт и регулировка доводчика (без стоимости доводчика)</t>
  </si>
  <si>
    <t>1шт.</t>
  </si>
  <si>
    <t>Ремонт и регулировка доводчика (со стоимостью доводчика)</t>
  </si>
  <si>
    <t>Смена внутренних канализационных труб ПП Dу 50 *2000</t>
  </si>
  <si>
    <t>Ревизия 50</t>
  </si>
  <si>
    <t>Переход чугун-пластик 50</t>
  </si>
  <si>
    <t>Отвод 50-90</t>
  </si>
  <si>
    <t>Муфта ремонтная 50</t>
  </si>
  <si>
    <t>Манжета 50</t>
  </si>
  <si>
    <t>Патрубок компенсационный 50</t>
  </si>
  <si>
    <t>за период с 01.04.2019 г. по 30.04.2019 г.</t>
  </si>
  <si>
    <t>Смена внутренних трубопроводов из стальных труб диаметром до 80 мм (без стоимости креплений)</t>
  </si>
  <si>
    <t>Муфта разъемная 25*25 ВР</t>
  </si>
  <si>
    <t>Муфта разъемная 25*25 НР</t>
  </si>
  <si>
    <t>Колено 25-90</t>
  </si>
  <si>
    <t>Колено 25-45</t>
  </si>
  <si>
    <t>Вентиль (ш) 32</t>
  </si>
  <si>
    <t>Вентиль (ш) 25</t>
  </si>
  <si>
    <t>4м</t>
  </si>
  <si>
    <t>Смена арматуры - вентилей и клапанов обратных муфтовых диаметром до 20 мм</t>
  </si>
  <si>
    <t>Смена арматуры - вентилей и клапанов обратных муфтовых диаметром до 32 мм</t>
  </si>
  <si>
    <t>Ремонт окна</t>
  </si>
  <si>
    <t>126м2</t>
  </si>
  <si>
    <t xml:space="preserve">1 раз </t>
  </si>
  <si>
    <t>за период с 01.05.2019 г. по 31.05.2019 г.</t>
  </si>
  <si>
    <t>Смена внутренних канализационных труб ПП Dу 100 *2000</t>
  </si>
  <si>
    <t>Смена внутренних канализационных труб ПП Dу 100 *1000</t>
  </si>
  <si>
    <t>Патрубок компенсационный 110</t>
  </si>
  <si>
    <t>Ревизия 110</t>
  </si>
  <si>
    <t>Переход чугун-пластик 1100</t>
  </si>
  <si>
    <t>Осмотр электросетей, армазуры и электрооборудования на лестничных клетках</t>
  </si>
  <si>
    <t xml:space="preserve">Осмотр водопроводов, канализации, отопления </t>
  </si>
  <si>
    <t>под.№6</t>
  </si>
  <si>
    <t>Внеплановый осмотр деревянных перекрытий</t>
  </si>
  <si>
    <t>Смена арматуры - задвижек диаметром 80 мм</t>
  </si>
  <si>
    <t xml:space="preserve"> ( в распред. узле)</t>
  </si>
  <si>
    <t>установка траппа</t>
  </si>
  <si>
    <t>100 м</t>
  </si>
  <si>
    <t>Установка деревянного короба</t>
  </si>
  <si>
    <t>Заделка слуховых окон фанерой</t>
  </si>
  <si>
    <t>за период с 01.06.2019 г. по 30.06.2019 г.</t>
  </si>
  <si>
    <t>ВДГО</t>
  </si>
  <si>
    <t>руб</t>
  </si>
  <si>
    <t>Организация и содержание мест накопления ТКО</t>
  </si>
  <si>
    <t>13 раз</t>
  </si>
  <si>
    <t>8 раз</t>
  </si>
  <si>
    <t>2 раза</t>
  </si>
  <si>
    <t>1 раз</t>
  </si>
  <si>
    <t>21 раз</t>
  </si>
  <si>
    <t>5 раз</t>
  </si>
  <si>
    <t>25 раз</t>
  </si>
  <si>
    <t>6 раз</t>
  </si>
  <si>
    <t>7 раз</t>
  </si>
  <si>
    <t>1 маш-час</t>
  </si>
  <si>
    <t>2 шт.</t>
  </si>
  <si>
    <t>2. Всего за период с 01.01.2019 по 31.01.2019 выполнено работ (оказано услуг) на общую сумму: 76903,44 руб.</t>
  </si>
  <si>
    <t>(семьдесят шесть тысяч девятьсот три рубля 44 копейки)</t>
  </si>
  <si>
    <t>7 маш-час</t>
  </si>
  <si>
    <t>2. Всего за период с 01.02.2019 по 28.02.2019 выполнено работ (оказано услуг) на общую сумму: 97833,26 руб.</t>
  </si>
  <si>
    <t>(девяносто семь тысяч восемьсот тридцать три рубля 26 копеек )</t>
  </si>
  <si>
    <t>14,5 маш-час</t>
  </si>
  <si>
    <t>2. Всего за период с 01.03.2019 по 31.03.2019 выполнено работ (оказано услуг) на общую сумму: 97589,94 руб.</t>
  </si>
  <si>
    <t>(девяносто семь тысяч пятьсот восемьдесят девять рублей 94 копеек)</t>
  </si>
  <si>
    <t>2,5 маш-час</t>
  </si>
  <si>
    <t>2. Всего за период с 01.04.2019 по 30.04.2019 выполнено работ (оказано услуг) на общую сумму: 76094,19 руб.</t>
  </si>
  <si>
    <t>(семьдесят шесть тысяч девяносто четыре рубля 19 копеек)</t>
  </si>
  <si>
    <t xml:space="preserve">1 раз     </t>
  </si>
  <si>
    <t xml:space="preserve">1 раз    </t>
  </si>
  <si>
    <t xml:space="preserve">1 раз      </t>
  </si>
  <si>
    <t>2. Всего за период с 01.05.2019 по 31.05.2019 выполнено работ (оказано услуг) на общую сумму: 80969,07 руб.</t>
  </si>
  <si>
    <t>(восемьдесят тысяч девятьсот шестьдесят девять рублей 07 копеек)</t>
  </si>
  <si>
    <t>2. Всего за период с 01.06.2019 по 30.06.2019 выполнено работ (оказано услуг) на общую сумму: 204480,94 руб.</t>
  </si>
  <si>
    <t>(двести четыре тысячи четыреста восемьдесят рублей 94 копейки)</t>
  </si>
  <si>
    <t>за период с 01.07.2019 г. по 31.07.2019 г.</t>
  </si>
  <si>
    <t>Смена выключателей</t>
  </si>
  <si>
    <t>Смена патронов</t>
  </si>
  <si>
    <t>Соединение жил проводов холодной сваркой или опрессованием сечением 2,5 мм2, количество концов жил в коробах до 8</t>
  </si>
  <si>
    <t>1шт</t>
  </si>
  <si>
    <t>Кладка отдельных участков внутренних стен из кирпича</t>
  </si>
  <si>
    <t>100 мЗ</t>
  </si>
  <si>
    <t>Внеплановая проверка вентканалов</t>
  </si>
  <si>
    <t>Закрыли чердачный люк ( под.№8)</t>
  </si>
  <si>
    <t>2. Всего за период с 01.07.2019 по 31.07.2019 выполнено работ (оказано услуг) на общую сумму: 53581,61 руб.</t>
  </si>
  <si>
    <t>(пятьдесят три тысячи пятьсот восемьдесят один рубль 61 копейка)</t>
  </si>
  <si>
    <t>за период с 01.08.2019 г. по 31.08.2019 г.</t>
  </si>
  <si>
    <t>кв.70</t>
  </si>
  <si>
    <t xml:space="preserve">Смена внутренних трубопроводов на полипропиленовые трубы PN 25 Dу 20 </t>
  </si>
  <si>
    <t>Резьба Dу15</t>
  </si>
  <si>
    <t>Смена автомата на ток до 25А</t>
  </si>
  <si>
    <t>2. Всего за период с 01.08.2019 по 31.08.2019 выполнено работ (оказано услуг) на общую сумму: 52509,61 руб.</t>
  </si>
  <si>
    <t>(пятьдесят две тысячи пятьсот девять рублей 61 копейка)</t>
  </si>
  <si>
    <t>за период с 01.09.2019 г. по 30.09.2019 г.</t>
  </si>
  <si>
    <t>Смена оконных приборов - ручки</t>
  </si>
  <si>
    <t>2. Всего за период с 01.09.2019 по 30.09.2019 выполнено работ (оказано услуг) на общую сумму: 73213,71 руб.</t>
  </si>
  <si>
    <t>(семьдесят три тысячи двести тринадцать рублей 71 копейка)</t>
  </si>
  <si>
    <t>за период с 01.10.2019 г. по 31.10.2019 г.</t>
  </si>
  <si>
    <r>
      <t xml:space="preserve">    Собственники помещений в многоквартирном доме,  расположенном по адресу:  пгт.Ярега, ул.Нефтяников, д.13,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27.09.2019г.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</si>
  <si>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4 раза</t>
  </si>
  <si>
    <t>Снятие покааний с общедомовых приборов учета холодной воды и электрической энергии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</si>
  <si>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</si>
  <si>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</si>
  <si>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Устройство стяжек цементных толщиной 20 мм</t>
  </si>
  <si>
    <t>1 мЗ</t>
  </si>
  <si>
    <t>Очиста канализационной сети внутренней</t>
  </si>
  <si>
    <t>кв.26</t>
  </si>
  <si>
    <t>под.№4</t>
  </si>
  <si>
    <t>Водоснабжение и канализация</t>
  </si>
  <si>
    <t>Техническое обслуживание  внутренних сетей водопровода и канализации</t>
  </si>
  <si>
    <t>рум/м2 в мес.</t>
  </si>
  <si>
    <t>Валка сухостойных и больных деревьев в городских условиях -сосна, кедр, тополь диаметром до 300 мм</t>
  </si>
  <si>
    <t>Демонтаж асбоцементных  труб и вывод их в венткороб (2шт.)</t>
  </si>
  <si>
    <t>Утепление венткоробов (5 шт)</t>
  </si>
  <si>
    <t>Изготовление( 8 шт) и вывод на кровлю вент.коробов (6 шт)</t>
  </si>
  <si>
    <t>Устройство слуховых окон ( 4 шт)</t>
  </si>
  <si>
    <t>Ремонт вент.короба над кв.80</t>
  </si>
  <si>
    <t>Выведение фановой трубы Dу 110 на кровлю над кв.80</t>
  </si>
  <si>
    <t>Ремонт шиферной кровли</t>
  </si>
  <si>
    <t>Смена дверных приборов /замки навесные)</t>
  </si>
  <si>
    <t>под.№1</t>
  </si>
  <si>
    <t>Очистка вручную от снега и наледи люков канализационных и водопроводных колодцев</t>
  </si>
  <si>
    <t>Герметизация температурного шва ( гл.фасад)</t>
  </si>
  <si>
    <t>м.п.</t>
  </si>
  <si>
    <t>14 м.п.</t>
  </si>
  <si>
    <t>за период с 01.11.2019 г. по 30.11.2019 г.</t>
  </si>
  <si>
    <t xml:space="preserve">Сдвигание снега в дни снегопада </t>
  </si>
  <si>
    <t xml:space="preserve">2 раза </t>
  </si>
  <si>
    <t>1 маш/час</t>
  </si>
  <si>
    <t>Установка хомута диаметром до 76 мм</t>
  </si>
  <si>
    <t>Смена внутренних трубопроводов на полипропиленовые трубы PN 25 Dу 25</t>
  </si>
  <si>
    <t>Смена внутренних трубопроводов на полипропиленовые трубы PN 25 Dу 20</t>
  </si>
  <si>
    <t>ГВС, подвал</t>
  </si>
  <si>
    <t>ГВС, кв.13</t>
  </si>
  <si>
    <t>2. Всего за период с 01.10.2019 по 31.10.2019 выполнено работ (оказано услуг) на общую сумму: 284738,36 руб.</t>
  </si>
  <si>
    <t>(двести восемьдесят четыре тысячи семьсот тридцать восемь рублей 36 копеек)</t>
  </si>
  <si>
    <t>2. Всего за период с 01.11.2019 по 30.11.2019 выполнено работ (оказано услуг) на общую сумму: 91477,13 руб.</t>
  </si>
  <si>
    <t>(девяносто одна тысяча четыреста семьдесят семь рублей 13 копеек)</t>
  </si>
  <si>
    <t>Осмотр кровель из штучных материалов</t>
  </si>
  <si>
    <t>Ремонт групповых щитков на лестничной клетке без ремонта автоматов</t>
  </si>
  <si>
    <t>внеплановая проверка вентканалов</t>
  </si>
  <si>
    <t>Смена плавкой вставки</t>
  </si>
  <si>
    <t>2. Всего за период с 01.12.2019 по 31.12.2019 выполнено работ (оказано услуг) на общую сумму: 91577,55 руб.</t>
  </si>
  <si>
    <t>(девяносто одна тысяча пятьсот семьдесят семь рублей 55 копеек)</t>
  </si>
  <si>
    <t>за период с 01.12.2019 г. по 31.12.2019 г.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</si>
</sst>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4" fontId="1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11" fillId="4" borderId="18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/>
    </xf>
    <xf numFmtId="4" fontId="11" fillId="2" borderId="19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4" fontId="20" fillId="2" borderId="12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7"/>
  <sheetViews>
    <sheetView topLeftCell="A9" workbookViewId="0">
      <selection activeCell="B16" sqref="B16:I2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139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180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43496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25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si="0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customHeight="1">
      <c r="A21" s="29">
        <v>5</v>
      </c>
      <c r="B21" s="62" t="s">
        <v>98</v>
      </c>
      <c r="C21" s="63" t="s">
        <v>103</v>
      </c>
      <c r="D21" s="62" t="s">
        <v>240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hidden="1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109</v>
      </c>
      <c r="C29" s="63" t="s">
        <v>110</v>
      </c>
      <c r="D29" s="62" t="s">
        <v>111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142</v>
      </c>
      <c r="C30" s="63" t="s">
        <v>110</v>
      </c>
      <c r="D30" s="62" t="s">
        <v>112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140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113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4" t="s">
        <v>5</v>
      </c>
      <c r="C36" s="63"/>
      <c r="D36" s="62"/>
      <c r="E36" s="48"/>
      <c r="F36" s="64"/>
      <c r="G36" s="64"/>
      <c r="H36" s="65" t="s">
        <v>129</v>
      </c>
      <c r="I36" s="13"/>
      <c r="J36" s="23"/>
    </row>
    <row r="37" spans="1:14" ht="15.75" customHeight="1">
      <c r="A37" s="29">
        <v>7</v>
      </c>
      <c r="B37" s="62" t="s">
        <v>26</v>
      </c>
      <c r="C37" s="63" t="s">
        <v>32</v>
      </c>
      <c r="D37" s="62"/>
      <c r="E37" s="48"/>
      <c r="F37" s="64">
        <v>10</v>
      </c>
      <c r="G37" s="64">
        <v>1632.6</v>
      </c>
      <c r="H37" s="65">
        <f t="shared" ref="H37:H43" si="3">SUM(F37*G37/1000)</f>
        <v>16.326000000000001</v>
      </c>
      <c r="I37" s="13">
        <f>G37*2.1</f>
        <v>3428.46</v>
      </c>
      <c r="J37" s="23"/>
    </row>
    <row r="38" spans="1:14" ht="15.75" customHeight="1">
      <c r="A38" s="29">
        <v>8</v>
      </c>
      <c r="B38" s="62" t="s">
        <v>141</v>
      </c>
      <c r="C38" s="63" t="s">
        <v>29</v>
      </c>
      <c r="D38" s="62" t="s">
        <v>242</v>
      </c>
      <c r="E38" s="64">
        <v>254.8</v>
      </c>
      <c r="F38" s="64">
        <f>SUM(E38*30/1000)</f>
        <v>7.6440000000000001</v>
      </c>
      <c r="G38" s="64">
        <v>2247.8000000000002</v>
      </c>
      <c r="H38" s="65">
        <f t="shared" si="3"/>
        <v>17.182183200000004</v>
      </c>
      <c r="I38" s="13">
        <f>F38/6*G38</f>
        <v>2863.6972000000001</v>
      </c>
      <c r="J38" s="23"/>
      <c r="L38" s="19"/>
      <c r="M38" s="20"/>
      <c r="N38" s="21"/>
    </row>
    <row r="39" spans="1:14" ht="15.75" hidden="1" customHeight="1">
      <c r="A39" s="29"/>
      <c r="B39" s="62" t="s">
        <v>95</v>
      </c>
      <c r="C39" s="63" t="s">
        <v>115</v>
      </c>
      <c r="D39" s="62" t="s">
        <v>68</v>
      </c>
      <c r="E39" s="48"/>
      <c r="F39" s="64">
        <v>40</v>
      </c>
      <c r="G39" s="64">
        <v>213.2</v>
      </c>
      <c r="H39" s="65">
        <f t="shared" si="3"/>
        <v>8.5280000000000005</v>
      </c>
      <c r="I39" s="13">
        <v>0</v>
      </c>
      <c r="J39" s="23"/>
      <c r="L39" s="19"/>
      <c r="M39" s="20"/>
      <c r="N39" s="21"/>
    </row>
    <row r="40" spans="1:14" ht="15.75" customHeight="1">
      <c r="A40" s="29">
        <v>9</v>
      </c>
      <c r="B40" s="62" t="s">
        <v>69</v>
      </c>
      <c r="C40" s="63" t="s">
        <v>29</v>
      </c>
      <c r="D40" s="62" t="s">
        <v>243</v>
      </c>
      <c r="E40" s="64">
        <v>260.13</v>
      </c>
      <c r="F40" s="64">
        <f>SUM(E40*155/1000)</f>
        <v>40.320149999999998</v>
      </c>
      <c r="G40" s="64">
        <v>374.95</v>
      </c>
      <c r="H40" s="65">
        <f t="shared" si="3"/>
        <v>15.118040242499999</v>
      </c>
      <c r="I40" s="13">
        <f>F40/6*G40</f>
        <v>2519.6733737499999</v>
      </c>
      <c r="J40" s="23"/>
      <c r="L40" s="19"/>
      <c r="M40" s="20"/>
      <c r="N40" s="21"/>
    </row>
    <row r="41" spans="1:14" ht="47.25" customHeight="1">
      <c r="A41" s="29">
        <v>10</v>
      </c>
      <c r="B41" s="62" t="s">
        <v>84</v>
      </c>
      <c r="C41" s="63" t="s">
        <v>110</v>
      </c>
      <c r="D41" s="62" t="s">
        <v>244</v>
      </c>
      <c r="E41" s="64">
        <v>132.72999999999999</v>
      </c>
      <c r="F41" s="64">
        <f>SUM(E41*35/1000)</f>
        <v>4.6455499999999992</v>
      </c>
      <c r="G41" s="64">
        <v>6203.7</v>
      </c>
      <c r="H41" s="65">
        <f t="shared" si="3"/>
        <v>28.819598534999994</v>
      </c>
      <c r="I41" s="13">
        <f>F41/6*G41</f>
        <v>4803.266422499999</v>
      </c>
      <c r="J41" s="23"/>
      <c r="L41" s="19"/>
      <c r="M41" s="20"/>
      <c r="N41" s="21"/>
    </row>
    <row r="42" spans="1:14" ht="15.75" customHeight="1">
      <c r="A42" s="29">
        <v>11</v>
      </c>
      <c r="B42" s="62" t="s">
        <v>118</v>
      </c>
      <c r="C42" s="63" t="s">
        <v>110</v>
      </c>
      <c r="D42" s="62" t="s">
        <v>245</v>
      </c>
      <c r="E42" s="64">
        <v>254.8</v>
      </c>
      <c r="F42" s="64">
        <f>SUM(E42*45/1000)</f>
        <v>11.465999999999999</v>
      </c>
      <c r="G42" s="64">
        <v>458.28</v>
      </c>
      <c r="H42" s="65">
        <f t="shared" si="3"/>
        <v>5.2546384799999997</v>
      </c>
      <c r="I42" s="13">
        <f>F42/7.5*G42</f>
        <v>700.6184639999999</v>
      </c>
      <c r="J42" s="23"/>
      <c r="L42" s="19"/>
      <c r="M42" s="20"/>
      <c r="N42" s="21"/>
    </row>
    <row r="43" spans="1:14" ht="15.75" customHeight="1">
      <c r="A43" s="29">
        <v>12</v>
      </c>
      <c r="B43" s="62" t="s">
        <v>71</v>
      </c>
      <c r="C43" s="63" t="s">
        <v>33</v>
      </c>
      <c r="D43" s="62"/>
      <c r="E43" s="48"/>
      <c r="F43" s="64">
        <v>0.9</v>
      </c>
      <c r="G43" s="64">
        <v>853.06</v>
      </c>
      <c r="H43" s="65">
        <f t="shared" si="3"/>
        <v>0.76775400000000005</v>
      </c>
      <c r="I43" s="13">
        <f>F43/7.5*G43</f>
        <v>102.3672</v>
      </c>
      <c r="J43" s="23"/>
      <c r="L43" s="19"/>
      <c r="M43" s="20"/>
      <c r="N43" s="21"/>
    </row>
    <row r="44" spans="1:14" ht="15.75" customHeight="1">
      <c r="A44" s="171" t="s">
        <v>136</v>
      </c>
      <c r="B44" s="172"/>
      <c r="C44" s="172"/>
      <c r="D44" s="172"/>
      <c r="E44" s="172"/>
      <c r="F44" s="172"/>
      <c r="G44" s="172"/>
      <c r="H44" s="172"/>
      <c r="I44" s="173"/>
      <c r="J44" s="23"/>
      <c r="L44" s="19"/>
      <c r="M44" s="20"/>
      <c r="N44" s="21"/>
    </row>
    <row r="45" spans="1:14" ht="15.75" hidden="1" customHeight="1">
      <c r="A45" s="29"/>
      <c r="B45" s="62" t="s">
        <v>133</v>
      </c>
      <c r="C45" s="63" t="s">
        <v>110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4">SUM(F45*G45/1000)</f>
        <v>3.1090979980000002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36</v>
      </c>
      <c r="C46" s="63" t="s">
        <v>110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4"/>
        <v>0.12884767999999999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37</v>
      </c>
      <c r="C47" s="63" t="s">
        <v>110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4"/>
        <v>2.4739621804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38</v>
      </c>
      <c r="C48" s="63" t="s">
        <v>110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4"/>
        <v>3.4123004479999999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4"/>
        <v>0.20467249599999998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14</v>
      </c>
      <c r="B50" s="62" t="s">
        <v>58</v>
      </c>
      <c r="C50" s="63" t="s">
        <v>110</v>
      </c>
      <c r="D50" s="62" t="s">
        <v>240</v>
      </c>
      <c r="E50" s="48">
        <v>2872.4</v>
      </c>
      <c r="F50" s="64">
        <f>SUM(E50*5/1000)</f>
        <v>14.362</v>
      </c>
      <c r="G50" s="13">
        <v>1297.28</v>
      </c>
      <c r="H50" s="65">
        <f t="shared" si="4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22" ht="31.5" hidden="1" customHeight="1">
      <c r="A51" s="29"/>
      <c r="B51" s="62" t="s">
        <v>119</v>
      </c>
      <c r="C51" s="63" t="s">
        <v>110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4"/>
        <v>7.4526141440000009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62" t="s">
        <v>120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4"/>
        <v>2.3351120000000001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4"/>
        <v>0.1208424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15</v>
      </c>
      <c r="B54" s="62" t="s">
        <v>42</v>
      </c>
      <c r="C54" s="63" t="s">
        <v>30</v>
      </c>
      <c r="D54" s="62" t="s">
        <v>72</v>
      </c>
      <c r="E54" s="48">
        <v>160</v>
      </c>
      <c r="F54" s="64">
        <f>SUM(E54)*3</f>
        <v>480</v>
      </c>
      <c r="G54" s="13">
        <v>70.209999999999994</v>
      </c>
      <c r="H54" s="65">
        <f t="shared" si="4"/>
        <v>33.700799999999994</v>
      </c>
      <c r="I54" s="13">
        <f>E54*G54</f>
        <v>11233.599999999999</v>
      </c>
      <c r="J54" s="23"/>
      <c r="L54" s="19"/>
      <c r="M54" s="20"/>
      <c r="N54" s="21"/>
    </row>
    <row r="55" spans="1:22" ht="15.75" customHeight="1">
      <c r="A55" s="171" t="s">
        <v>137</v>
      </c>
      <c r="B55" s="172"/>
      <c r="C55" s="172"/>
      <c r="D55" s="172"/>
      <c r="E55" s="172"/>
      <c r="F55" s="172"/>
      <c r="G55" s="172"/>
      <c r="H55" s="172"/>
      <c r="I55" s="173"/>
      <c r="J55" s="23"/>
      <c r="L55" s="19"/>
      <c r="M55" s="20"/>
      <c r="N55" s="21"/>
    </row>
    <row r="56" spans="1:22" ht="15.75" customHeight="1">
      <c r="A56" s="29"/>
      <c r="B56" s="84" t="s">
        <v>44</v>
      </c>
      <c r="C56" s="63"/>
      <c r="D56" s="62"/>
      <c r="E56" s="48"/>
      <c r="F56" s="64"/>
      <c r="G56" s="64"/>
      <c r="H56" s="65"/>
      <c r="I56" s="13"/>
      <c r="J56" s="23"/>
      <c r="L56" s="19"/>
      <c r="M56" s="20"/>
      <c r="N56" s="21"/>
    </row>
    <row r="57" spans="1:22" ht="31.5" customHeight="1">
      <c r="A57" s="29">
        <v>16</v>
      </c>
      <c r="B57" s="62" t="s">
        <v>122</v>
      </c>
      <c r="C57" s="63" t="s">
        <v>103</v>
      </c>
      <c r="D57" s="62" t="s">
        <v>172</v>
      </c>
      <c r="E57" s="48">
        <v>239.59</v>
      </c>
      <c r="F57" s="64">
        <f>E57*6/100</f>
        <v>14.375399999999999</v>
      </c>
      <c r="G57" s="71">
        <v>1654.04</v>
      </c>
      <c r="H57" s="65">
        <f>F57*G57/1000</f>
        <v>23.777486615999997</v>
      </c>
      <c r="I57" s="13">
        <f>G57*1.063</f>
        <v>1758.24452</v>
      </c>
      <c r="J57" s="23"/>
      <c r="L57" s="19"/>
      <c r="M57" s="20"/>
      <c r="N57" s="21"/>
    </row>
    <row r="58" spans="1:22" ht="16.5" customHeight="1">
      <c r="A58" s="29"/>
      <c r="B58" s="100" t="s">
        <v>88</v>
      </c>
      <c r="C58" s="101" t="s">
        <v>163</v>
      </c>
      <c r="D58" s="100" t="s">
        <v>246</v>
      </c>
      <c r="E58" s="102">
        <v>2</v>
      </c>
      <c r="F58" s="103">
        <v>2</v>
      </c>
      <c r="G58" s="110">
        <v>1501</v>
      </c>
      <c r="H58" s="78"/>
      <c r="I58" s="13">
        <f>G58*1</f>
        <v>1501</v>
      </c>
      <c r="J58" s="23"/>
      <c r="L58" s="19"/>
      <c r="M58" s="20"/>
      <c r="N58" s="21"/>
    </row>
    <row r="59" spans="1:22" ht="15.75" customHeight="1">
      <c r="A59" s="29"/>
      <c r="B59" s="85" t="s">
        <v>45</v>
      </c>
      <c r="C59" s="72"/>
      <c r="D59" s="73"/>
      <c r="E59" s="74"/>
      <c r="F59" s="76"/>
      <c r="G59" s="13"/>
      <c r="H59" s="78"/>
      <c r="I59" s="13"/>
      <c r="J59" s="23"/>
      <c r="L59" s="19"/>
      <c r="M59" s="20"/>
      <c r="N59" s="21"/>
    </row>
    <row r="60" spans="1:22" ht="15.75" hidden="1" customHeight="1">
      <c r="A60" s="29"/>
      <c r="B60" s="73" t="s">
        <v>46</v>
      </c>
      <c r="C60" s="72" t="s">
        <v>55</v>
      </c>
      <c r="D60" s="73" t="s">
        <v>56</v>
      </c>
      <c r="E60" s="74">
        <v>2686</v>
      </c>
      <c r="F60" s="76">
        <f>E60/100</f>
        <v>26.86</v>
      </c>
      <c r="G60" s="13">
        <v>848.37</v>
      </c>
      <c r="H60" s="78">
        <f>G60*F60/1000</f>
        <v>22.787218199999998</v>
      </c>
      <c r="I60" s="13">
        <v>0</v>
      </c>
      <c r="J60" s="23"/>
      <c r="L60" s="19"/>
    </row>
    <row r="61" spans="1:22" ht="15.75" customHeight="1">
      <c r="A61" s="29">
        <v>17</v>
      </c>
      <c r="B61" s="100" t="s">
        <v>96</v>
      </c>
      <c r="C61" s="101" t="s">
        <v>25</v>
      </c>
      <c r="D61" s="100" t="s">
        <v>216</v>
      </c>
      <c r="E61" s="102">
        <v>200</v>
      </c>
      <c r="F61" s="103">
        <v>4116</v>
      </c>
      <c r="G61" s="104">
        <v>1.4</v>
      </c>
      <c r="H61" s="105">
        <f>F61*G61</f>
        <v>5762.4</v>
      </c>
      <c r="I61" s="13">
        <f>F61/12*G61</f>
        <v>480.2</v>
      </c>
    </row>
    <row r="62" spans="1:22" ht="15.75" hidden="1" customHeight="1">
      <c r="A62" s="29"/>
      <c r="B62" s="85" t="s">
        <v>134</v>
      </c>
      <c r="C62" s="72"/>
      <c r="D62" s="73"/>
      <c r="E62" s="74"/>
      <c r="F62" s="76"/>
      <c r="G62" s="13"/>
      <c r="H62" s="78"/>
      <c r="I62" s="13"/>
    </row>
    <row r="63" spans="1:22" ht="15.75" hidden="1" customHeight="1">
      <c r="A63" s="29"/>
      <c r="B63" s="73" t="s">
        <v>135</v>
      </c>
      <c r="C63" s="72" t="s">
        <v>30</v>
      </c>
      <c r="D63" s="73" t="s">
        <v>68</v>
      </c>
      <c r="E63" s="74">
        <v>3</v>
      </c>
      <c r="F63" s="75">
        <v>3</v>
      </c>
      <c r="G63" s="77">
        <v>254.16</v>
      </c>
      <c r="H63" s="76">
        <v>0.76200000000000001</v>
      </c>
      <c r="I63" s="13">
        <v>0</v>
      </c>
    </row>
    <row r="64" spans="1:22" ht="15.75" customHeight="1">
      <c r="A64" s="29"/>
      <c r="B64" s="85" t="s">
        <v>47</v>
      </c>
      <c r="C64" s="72"/>
      <c r="D64" s="73"/>
      <c r="E64" s="74"/>
      <c r="F64" s="75"/>
      <c r="G64" s="75"/>
      <c r="H64" s="76" t="s">
        <v>129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>
        <v>18</v>
      </c>
      <c r="B65" s="14" t="s">
        <v>48</v>
      </c>
      <c r="C65" s="16" t="s">
        <v>121</v>
      </c>
      <c r="D65" s="73" t="s">
        <v>239</v>
      </c>
      <c r="E65" s="18">
        <v>15</v>
      </c>
      <c r="F65" s="64">
        <v>15</v>
      </c>
      <c r="G65" s="13">
        <v>237.74</v>
      </c>
      <c r="H65" s="79">
        <f t="shared" ref="H65:H78" si="5">SUM(F65*G65/1000)</f>
        <v>3.5661000000000005</v>
      </c>
      <c r="I65" s="13">
        <f>G65*2</f>
        <v>475.48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/>
      <c r="B66" s="14" t="s">
        <v>49</v>
      </c>
      <c r="C66" s="16" t="s">
        <v>121</v>
      </c>
      <c r="D66" s="73" t="s">
        <v>68</v>
      </c>
      <c r="E66" s="18">
        <v>5</v>
      </c>
      <c r="F66" s="64">
        <v>5</v>
      </c>
      <c r="G66" s="13">
        <v>81.510000000000005</v>
      </c>
      <c r="H66" s="79">
        <f t="shared" si="5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50</v>
      </c>
      <c r="C67" s="16" t="s">
        <v>123</v>
      </c>
      <c r="D67" s="14" t="s">
        <v>56</v>
      </c>
      <c r="E67" s="48">
        <v>24123</v>
      </c>
      <c r="F67" s="13">
        <f>SUM(E67/100)</f>
        <v>241.23</v>
      </c>
      <c r="G67" s="13">
        <v>226.79</v>
      </c>
      <c r="H67" s="79">
        <f t="shared" si="5"/>
        <v>54.708551699999994</v>
      </c>
      <c r="I67" s="13">
        <f>F67*G67</f>
        <v>54708.551699999996</v>
      </c>
      <c r="J67" s="5"/>
      <c r="K67" s="5"/>
      <c r="L67" s="5"/>
      <c r="M67" s="5"/>
      <c r="N67" s="5"/>
      <c r="O67" s="5"/>
      <c r="P67" s="5"/>
      <c r="Q67" s="5"/>
      <c r="R67" s="159"/>
      <c r="S67" s="159"/>
      <c r="T67" s="159"/>
      <c r="U67" s="159"/>
    </row>
    <row r="68" spans="1:21" ht="15.75" hidden="1" customHeight="1">
      <c r="A68" s="29"/>
      <c r="B68" s="14" t="s">
        <v>51</v>
      </c>
      <c r="C68" s="16" t="s">
        <v>124</v>
      </c>
      <c r="D68" s="14"/>
      <c r="E68" s="48">
        <v>24123</v>
      </c>
      <c r="F68" s="13">
        <f>SUM(E68/1000)</f>
        <v>24.123000000000001</v>
      </c>
      <c r="G68" s="13">
        <v>176.61</v>
      </c>
      <c r="H68" s="79">
        <f t="shared" si="5"/>
        <v>4.2603630300000006</v>
      </c>
      <c r="I68" s="13">
        <f t="shared" ref="I68:I72" si="6">F68*G68</f>
        <v>4260.3630300000004</v>
      </c>
    </row>
    <row r="69" spans="1:21" ht="15.75" hidden="1" customHeight="1">
      <c r="A69" s="29"/>
      <c r="B69" s="14" t="s">
        <v>52</v>
      </c>
      <c r="C69" s="16" t="s">
        <v>78</v>
      </c>
      <c r="D69" s="14" t="s">
        <v>56</v>
      </c>
      <c r="E69" s="48">
        <v>2730</v>
      </c>
      <c r="F69" s="13">
        <f>SUM(E69/100)</f>
        <v>27.3</v>
      </c>
      <c r="G69" s="13">
        <v>2217.7800000000002</v>
      </c>
      <c r="H69" s="79">
        <f t="shared" si="5"/>
        <v>60.545394000000009</v>
      </c>
      <c r="I69" s="13">
        <f t="shared" si="6"/>
        <v>60545.394000000008</v>
      </c>
    </row>
    <row r="70" spans="1:21" ht="15.75" hidden="1" customHeight="1">
      <c r="A70" s="29"/>
      <c r="B70" s="80" t="s">
        <v>125</v>
      </c>
      <c r="C70" s="16" t="s">
        <v>33</v>
      </c>
      <c r="D70" s="14"/>
      <c r="E70" s="48">
        <v>23</v>
      </c>
      <c r="F70" s="13">
        <f>SUM(E70)</f>
        <v>23</v>
      </c>
      <c r="G70" s="13">
        <v>42.67</v>
      </c>
      <c r="H70" s="79">
        <f t="shared" si="5"/>
        <v>0.98141000000000012</v>
      </c>
      <c r="I70" s="13">
        <f t="shared" si="6"/>
        <v>981.41000000000008</v>
      </c>
    </row>
    <row r="71" spans="1:21" ht="15.75" hidden="1" customHeight="1">
      <c r="A71" s="29"/>
      <c r="B71" s="80" t="s">
        <v>126</v>
      </c>
      <c r="C71" s="16" t="s">
        <v>33</v>
      </c>
      <c r="D71" s="14"/>
      <c r="E71" s="48">
        <v>23</v>
      </c>
      <c r="F71" s="13">
        <f>SUM(E71)</f>
        <v>23</v>
      </c>
      <c r="G71" s="13">
        <v>39.81</v>
      </c>
      <c r="H71" s="79">
        <f t="shared" si="5"/>
        <v>0.91563000000000005</v>
      </c>
      <c r="I71" s="13">
        <f t="shared" si="6"/>
        <v>915.63000000000011</v>
      </c>
    </row>
    <row r="72" spans="1:21" ht="15.75" hidden="1" customHeight="1">
      <c r="A72" s="29"/>
      <c r="B72" s="14" t="s">
        <v>59</v>
      </c>
      <c r="C72" s="16" t="s">
        <v>60</v>
      </c>
      <c r="D72" s="14" t="s">
        <v>56</v>
      </c>
      <c r="E72" s="18">
        <v>10</v>
      </c>
      <c r="F72" s="64">
        <f>SUM(E72)</f>
        <v>10</v>
      </c>
      <c r="G72" s="13">
        <v>53.32</v>
      </c>
      <c r="H72" s="79">
        <f t="shared" si="5"/>
        <v>0.53320000000000001</v>
      </c>
      <c r="I72" s="13">
        <f t="shared" si="6"/>
        <v>533.20000000000005</v>
      </c>
    </row>
    <row r="73" spans="1:21" ht="14.25" customHeight="1">
      <c r="A73" s="29"/>
      <c r="B73" s="54" t="s">
        <v>74</v>
      </c>
      <c r="C73" s="16"/>
      <c r="D73" s="14"/>
      <c r="E73" s="18"/>
      <c r="F73" s="13"/>
      <c r="G73" s="13"/>
      <c r="H73" s="79" t="s">
        <v>129</v>
      </c>
      <c r="I73" s="13"/>
    </row>
    <row r="74" spans="1:21" ht="25.5" customHeight="1">
      <c r="A74" s="29"/>
      <c r="B74" s="14" t="s">
        <v>75</v>
      </c>
      <c r="C74" s="16" t="s">
        <v>31</v>
      </c>
      <c r="D74" s="14" t="s">
        <v>247</v>
      </c>
      <c r="E74" s="18">
        <v>2</v>
      </c>
      <c r="F74" s="56">
        <v>0.2</v>
      </c>
      <c r="G74" s="13">
        <v>536.23</v>
      </c>
      <c r="H74" s="79">
        <v>0.251</v>
      </c>
      <c r="I74" s="13">
        <f>G74*0.2</f>
        <v>107.24600000000001</v>
      </c>
    </row>
    <row r="75" spans="1:21" ht="22.5" hidden="1" customHeight="1">
      <c r="A75" s="29"/>
      <c r="B75" s="14" t="s">
        <v>89</v>
      </c>
      <c r="C75" s="16" t="s">
        <v>30</v>
      </c>
      <c r="D75" s="14"/>
      <c r="E75" s="18">
        <v>1</v>
      </c>
      <c r="F75" s="64">
        <f>SUM(E75)</f>
        <v>1</v>
      </c>
      <c r="G75" s="13">
        <v>383.25</v>
      </c>
      <c r="H75" s="79">
        <f t="shared" si="5"/>
        <v>0.38324999999999998</v>
      </c>
      <c r="I75" s="13">
        <v>0</v>
      </c>
    </row>
    <row r="76" spans="1:21" ht="24" hidden="1" customHeight="1">
      <c r="A76" s="29"/>
      <c r="B76" s="14" t="s">
        <v>76</v>
      </c>
      <c r="C76" s="16" t="s">
        <v>30</v>
      </c>
      <c r="D76" s="14"/>
      <c r="E76" s="18">
        <v>2</v>
      </c>
      <c r="F76" s="13">
        <v>2</v>
      </c>
      <c r="G76" s="13">
        <v>911.85</v>
      </c>
      <c r="H76" s="79">
        <f>F76*G76/1000</f>
        <v>1.8237000000000001</v>
      </c>
      <c r="I76" s="13">
        <v>0</v>
      </c>
    </row>
    <row r="77" spans="1:21" ht="24" hidden="1" customHeight="1">
      <c r="A77" s="29"/>
      <c r="B77" s="81" t="s">
        <v>77</v>
      </c>
      <c r="C77" s="16"/>
      <c r="D77" s="14"/>
      <c r="E77" s="18"/>
      <c r="F77" s="13"/>
      <c r="G77" s="13" t="s">
        <v>129</v>
      </c>
      <c r="H77" s="79" t="s">
        <v>129</v>
      </c>
      <c r="I77" s="13"/>
    </row>
    <row r="78" spans="1:21" ht="23.25" hidden="1" customHeight="1">
      <c r="A78" s="29"/>
      <c r="B78" s="44" t="s">
        <v>130</v>
      </c>
      <c r="C78" s="16" t="s">
        <v>78</v>
      </c>
      <c r="D78" s="14"/>
      <c r="E78" s="18"/>
      <c r="F78" s="13">
        <v>1.35</v>
      </c>
      <c r="G78" s="13">
        <v>2949.85</v>
      </c>
      <c r="H78" s="79">
        <f t="shared" si="5"/>
        <v>3.9822975</v>
      </c>
      <c r="I78" s="13">
        <v>0</v>
      </c>
    </row>
    <row r="79" spans="1:21" ht="18.75" hidden="1" customHeight="1">
      <c r="A79" s="29"/>
      <c r="B79" s="67" t="s">
        <v>127</v>
      </c>
      <c r="C79" s="81"/>
      <c r="D79" s="31"/>
      <c r="E79" s="32"/>
      <c r="F79" s="68"/>
      <c r="G79" s="68"/>
      <c r="H79" s="82">
        <f>SUM(H57:H78)</f>
        <v>5942.0851510459988</v>
      </c>
      <c r="I79" s="68"/>
    </row>
    <row r="80" spans="1:21" ht="18" hidden="1" customHeight="1">
      <c r="A80" s="29"/>
      <c r="B80" s="62" t="s">
        <v>128</v>
      </c>
      <c r="C80" s="16"/>
      <c r="D80" s="14"/>
      <c r="E80" s="57"/>
      <c r="F80" s="13">
        <v>1</v>
      </c>
      <c r="G80" s="13">
        <v>19342.2</v>
      </c>
      <c r="H80" s="79">
        <f>G80*F80/1000</f>
        <v>19.342200000000002</v>
      </c>
      <c r="I80" s="13">
        <v>0</v>
      </c>
    </row>
    <row r="81" spans="1:9" ht="15.75" customHeight="1">
      <c r="A81" s="160" t="s">
        <v>138</v>
      </c>
      <c r="B81" s="161"/>
      <c r="C81" s="161"/>
      <c r="D81" s="161"/>
      <c r="E81" s="161"/>
      <c r="F81" s="161"/>
      <c r="G81" s="161"/>
      <c r="H81" s="161"/>
      <c r="I81" s="162"/>
    </row>
    <row r="82" spans="1:9" ht="15.75" customHeight="1">
      <c r="A82" s="29">
        <v>19</v>
      </c>
      <c r="B82" s="62" t="s">
        <v>131</v>
      </c>
      <c r="C82" s="16" t="s">
        <v>57</v>
      </c>
      <c r="D82" s="83"/>
      <c r="E82" s="13">
        <v>4591.2</v>
      </c>
      <c r="F82" s="13">
        <f>SUM(E82*12)</f>
        <v>55094.399999999994</v>
      </c>
      <c r="G82" s="13">
        <v>2.54</v>
      </c>
      <c r="H82" s="79">
        <f>SUM(F82*G82/1000)</f>
        <v>139.93977599999999</v>
      </c>
      <c r="I82" s="13">
        <f>F82/12*G82</f>
        <v>11661.647999999999</v>
      </c>
    </row>
    <row r="83" spans="1:9" ht="31.5" customHeight="1">
      <c r="A83" s="29">
        <v>20</v>
      </c>
      <c r="B83" s="14" t="s">
        <v>79</v>
      </c>
      <c r="C83" s="16"/>
      <c r="D83" s="83"/>
      <c r="E83" s="48">
        <f>E82</f>
        <v>4591.2</v>
      </c>
      <c r="F83" s="13">
        <f>E83*12</f>
        <v>55094.399999999994</v>
      </c>
      <c r="G83" s="13">
        <v>2.0499999999999998</v>
      </c>
      <c r="H83" s="79">
        <f>F83*G83/1000</f>
        <v>112.94351999999998</v>
      </c>
      <c r="I83" s="13">
        <f>F83/12*G83</f>
        <v>9411.9599999999991</v>
      </c>
    </row>
    <row r="84" spans="1:9" ht="15.75" customHeight="1">
      <c r="A84" s="45"/>
      <c r="B84" s="36" t="s">
        <v>81</v>
      </c>
      <c r="C84" s="37"/>
      <c r="D84" s="15"/>
      <c r="E84" s="15"/>
      <c r="F84" s="15"/>
      <c r="G84" s="18"/>
      <c r="H84" s="18"/>
      <c r="I84" s="32">
        <f>I83+I82+I74+I65+I61+I58+I57+I50+I43+I42+I41+I40+I38+I37+I26+I21+I20+I18+I17+I16</f>
        <v>63338.969609583335</v>
      </c>
    </row>
    <row r="85" spans="1:9" ht="15.75" customHeight="1">
      <c r="A85" s="178" t="s">
        <v>62</v>
      </c>
      <c r="B85" s="179"/>
      <c r="C85" s="179"/>
      <c r="D85" s="179"/>
      <c r="E85" s="179"/>
      <c r="F85" s="179"/>
      <c r="G85" s="179"/>
      <c r="H85" s="179"/>
      <c r="I85" s="180"/>
    </row>
    <row r="86" spans="1:9" ht="31.5" customHeight="1">
      <c r="A86" s="29">
        <v>21</v>
      </c>
      <c r="B86" s="93" t="s">
        <v>175</v>
      </c>
      <c r="C86" s="94" t="s">
        <v>29</v>
      </c>
      <c r="D86" s="44"/>
      <c r="E86" s="13"/>
      <c r="F86" s="13">
        <v>3</v>
      </c>
      <c r="G86" s="34">
        <v>19757.060000000001</v>
      </c>
      <c r="H86" s="79">
        <f t="shared" ref="H86:H90" si="7">G86*F86/1000</f>
        <v>59.271180000000008</v>
      </c>
      <c r="I86" s="106">
        <f>G86*12*0.599/1000+0.001*G86</f>
        <v>161.77080728000001</v>
      </c>
    </row>
    <row r="87" spans="1:9" ht="32.25" customHeight="1">
      <c r="A87" s="29">
        <v>22</v>
      </c>
      <c r="B87" s="93" t="s">
        <v>177</v>
      </c>
      <c r="C87" s="94" t="s">
        <v>178</v>
      </c>
      <c r="D87" s="44"/>
      <c r="E87" s="13"/>
      <c r="F87" s="13">
        <v>1</v>
      </c>
      <c r="G87" s="34">
        <v>59.21</v>
      </c>
      <c r="H87" s="79">
        <f t="shared" si="7"/>
        <v>5.9209999999999999E-2</v>
      </c>
      <c r="I87" s="106">
        <f>G87*1</f>
        <v>59.21</v>
      </c>
    </row>
    <row r="88" spans="1:9" ht="31.5" customHeight="1">
      <c r="A88" s="29">
        <v>23</v>
      </c>
      <c r="B88" s="93" t="s">
        <v>181</v>
      </c>
      <c r="C88" s="94" t="s">
        <v>169</v>
      </c>
      <c r="D88" s="44"/>
      <c r="E88" s="13"/>
      <c r="F88" s="13">
        <v>5</v>
      </c>
      <c r="G88" s="34">
        <v>1465</v>
      </c>
      <c r="H88" s="79">
        <f t="shared" si="7"/>
        <v>7.3250000000000002</v>
      </c>
      <c r="I88" s="13">
        <f>G88*3</f>
        <v>4395</v>
      </c>
    </row>
    <row r="89" spans="1:9" ht="30.75" customHeight="1">
      <c r="A89" s="29">
        <v>24</v>
      </c>
      <c r="B89" s="93" t="s">
        <v>182</v>
      </c>
      <c r="C89" s="94" t="s">
        <v>169</v>
      </c>
      <c r="D89" s="14"/>
      <c r="E89" s="18"/>
      <c r="F89" s="13">
        <v>4</v>
      </c>
      <c r="G89" s="34">
        <v>1491</v>
      </c>
      <c r="H89" s="79">
        <f t="shared" si="7"/>
        <v>5.9640000000000004</v>
      </c>
      <c r="I89" s="13">
        <f>G89*2</f>
        <v>2982</v>
      </c>
    </row>
    <row r="90" spans="1:9" ht="15.75" customHeight="1">
      <c r="A90" s="29">
        <v>25</v>
      </c>
      <c r="B90" s="93" t="s">
        <v>83</v>
      </c>
      <c r="C90" s="94" t="s">
        <v>121</v>
      </c>
      <c r="D90" s="14"/>
      <c r="E90" s="18"/>
      <c r="F90" s="13">
        <v>3</v>
      </c>
      <c r="G90" s="34">
        <v>207.55</v>
      </c>
      <c r="H90" s="79">
        <f t="shared" si="7"/>
        <v>0.62265000000000004</v>
      </c>
      <c r="I90" s="13">
        <f>G90*2</f>
        <v>415.1</v>
      </c>
    </row>
    <row r="91" spans="1:9" ht="33.75" customHeight="1">
      <c r="A91" s="29">
        <v>26</v>
      </c>
      <c r="B91" s="93" t="s">
        <v>183</v>
      </c>
      <c r="C91" s="94" t="s">
        <v>169</v>
      </c>
      <c r="D91" s="29" t="s">
        <v>91</v>
      </c>
      <c r="E91" s="18"/>
      <c r="F91" s="13"/>
      <c r="G91" s="117">
        <v>1391</v>
      </c>
      <c r="H91" s="79"/>
      <c r="I91" s="13">
        <f>G91*3</f>
        <v>4173</v>
      </c>
    </row>
    <row r="92" spans="1:9" ht="29.25" customHeight="1">
      <c r="A92" s="29">
        <v>27</v>
      </c>
      <c r="B92" s="93" t="s">
        <v>184</v>
      </c>
      <c r="C92" s="94" t="s">
        <v>169</v>
      </c>
      <c r="D92" s="29" t="s">
        <v>162</v>
      </c>
      <c r="E92" s="18"/>
      <c r="F92" s="13"/>
      <c r="G92" s="117">
        <v>1320</v>
      </c>
      <c r="H92" s="79"/>
      <c r="I92" s="13">
        <f>G92*1</f>
        <v>1320</v>
      </c>
    </row>
    <row r="93" spans="1:9" ht="15.75" customHeight="1">
      <c r="A93" s="29">
        <v>28</v>
      </c>
      <c r="B93" s="93" t="s">
        <v>174</v>
      </c>
      <c r="C93" s="94" t="s">
        <v>121</v>
      </c>
      <c r="D93" s="29"/>
      <c r="E93" s="18"/>
      <c r="F93" s="13"/>
      <c r="G93" s="34">
        <v>58.39</v>
      </c>
      <c r="H93" s="79"/>
      <c r="I93" s="13">
        <f>G93*1</f>
        <v>58.39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SUM(I86:I93)</f>
        <v>13564.470807279999</v>
      </c>
    </row>
    <row r="95" spans="1:9" ht="15.75" customHeight="1">
      <c r="A95" s="29"/>
      <c r="B95" s="44" t="s">
        <v>80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160</v>
      </c>
      <c r="C96" s="33"/>
      <c r="D96" s="33"/>
      <c r="E96" s="33"/>
      <c r="F96" s="33"/>
      <c r="G96" s="33"/>
      <c r="H96" s="33"/>
      <c r="I96" s="41">
        <f>I84+I94</f>
        <v>76903.440416863334</v>
      </c>
    </row>
    <row r="97" spans="1:9" ht="15.75" customHeight="1">
      <c r="A97" s="174" t="s">
        <v>248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 customHeight="1">
      <c r="A98" s="55"/>
      <c r="B98" s="175" t="s">
        <v>249</v>
      </c>
      <c r="C98" s="175"/>
      <c r="D98" s="175"/>
      <c r="E98" s="175"/>
      <c r="F98" s="175"/>
      <c r="G98" s="175"/>
      <c r="H98" s="61"/>
      <c r="I98" s="3"/>
    </row>
    <row r="99" spans="1:9" ht="15.75" customHeight="1">
      <c r="A99" s="49"/>
      <c r="B99" s="176" t="s">
        <v>6</v>
      </c>
      <c r="C99" s="176"/>
      <c r="D99" s="176"/>
      <c r="E99" s="176"/>
      <c r="F99" s="176"/>
      <c r="G99" s="176"/>
      <c r="H99" s="24"/>
      <c r="I99" s="5"/>
    </row>
    <row r="100" spans="1:9" ht="7.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77" t="s">
        <v>7</v>
      </c>
      <c r="B101" s="177"/>
      <c r="C101" s="177"/>
      <c r="D101" s="177"/>
      <c r="E101" s="177"/>
      <c r="F101" s="177"/>
      <c r="G101" s="177"/>
      <c r="H101" s="177"/>
      <c r="I101" s="177"/>
    </row>
    <row r="102" spans="1:9" ht="15.75" customHeight="1">
      <c r="A102" s="177" t="s">
        <v>8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 customHeight="1">
      <c r="A103" s="169" t="s">
        <v>63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7.5" customHeight="1">
      <c r="A104" s="11"/>
    </row>
    <row r="105" spans="1:9" ht="15.75" customHeight="1">
      <c r="A105" s="182" t="s">
        <v>9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15.75" customHeight="1">
      <c r="A106" s="4"/>
    </row>
    <row r="107" spans="1:9" ht="15.75" customHeight="1">
      <c r="B107" s="52" t="s">
        <v>10</v>
      </c>
      <c r="C107" s="183" t="s">
        <v>90</v>
      </c>
      <c r="D107" s="183"/>
      <c r="E107" s="183"/>
      <c r="F107" s="59"/>
      <c r="I107" s="51"/>
    </row>
    <row r="108" spans="1:9" ht="15.75" customHeight="1">
      <c r="A108" s="49"/>
      <c r="C108" s="176" t="s">
        <v>11</v>
      </c>
      <c r="D108" s="176"/>
      <c r="E108" s="176"/>
      <c r="F108" s="24"/>
      <c r="I108" s="50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52" t="s">
        <v>13</v>
      </c>
      <c r="C110" s="184"/>
      <c r="D110" s="184"/>
      <c r="E110" s="184"/>
      <c r="F110" s="60"/>
      <c r="I110" s="51"/>
    </row>
    <row r="111" spans="1:9" ht="15.75" customHeight="1">
      <c r="A111" s="49"/>
      <c r="C111" s="159" t="s">
        <v>11</v>
      </c>
      <c r="D111" s="159"/>
      <c r="E111" s="159"/>
      <c r="F111" s="49"/>
      <c r="I111" s="50" t="s">
        <v>12</v>
      </c>
    </row>
    <row r="112" spans="1:9" ht="15.75" customHeight="1">
      <c r="A112" s="4" t="s">
        <v>14</v>
      </c>
    </row>
    <row r="113" spans="1:9" ht="15.75" customHeight="1">
      <c r="A113" s="185" t="s">
        <v>15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45" customHeight="1">
      <c r="A114" s="181" t="s">
        <v>16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30" customHeight="1">
      <c r="A115" s="181" t="s">
        <v>17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30" customHeight="1">
      <c r="A116" s="181" t="s">
        <v>21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15" customHeight="1">
      <c r="A117" s="181" t="s">
        <v>20</v>
      </c>
      <c r="B117" s="181"/>
      <c r="C117" s="181"/>
      <c r="D117" s="181"/>
      <c r="E117" s="181"/>
      <c r="F117" s="181"/>
      <c r="G117" s="181"/>
      <c r="H117" s="181"/>
      <c r="I117" s="181"/>
    </row>
  </sheetData>
  <autoFilter ref="I12:I62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7:I27"/>
    <mergeCell ref="A44:I44"/>
    <mergeCell ref="A55:I55"/>
    <mergeCell ref="A97:I97"/>
    <mergeCell ref="B98:G98"/>
    <mergeCell ref="B99:G99"/>
    <mergeCell ref="A101:I101"/>
    <mergeCell ref="A102:I102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topLeftCell="A14" workbookViewId="0">
      <selection activeCell="B16" sqref="B16:I2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144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185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43524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25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si="0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hidden="1" customHeight="1">
      <c r="A21" s="29">
        <v>5</v>
      </c>
      <c r="B21" s="62" t="s">
        <v>98</v>
      </c>
      <c r="C21" s="63" t="s">
        <v>103</v>
      </c>
      <c r="D21" s="62" t="s">
        <v>240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5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hidden="1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109</v>
      </c>
      <c r="C29" s="63" t="s">
        <v>110</v>
      </c>
      <c r="D29" s="62" t="s">
        <v>111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142</v>
      </c>
      <c r="C30" s="63" t="s">
        <v>110</v>
      </c>
      <c r="D30" s="62" t="s">
        <v>112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140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113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4" t="s">
        <v>5</v>
      </c>
      <c r="C36" s="63"/>
      <c r="D36" s="62"/>
      <c r="E36" s="48"/>
      <c r="F36" s="64"/>
      <c r="G36" s="64"/>
      <c r="H36" s="65" t="s">
        <v>129</v>
      </c>
      <c r="I36" s="13"/>
      <c r="J36" s="23"/>
    </row>
    <row r="37" spans="1:14" ht="15.75" customHeight="1">
      <c r="A37" s="29">
        <v>6</v>
      </c>
      <c r="B37" s="62" t="s">
        <v>26</v>
      </c>
      <c r="C37" s="63" t="s">
        <v>32</v>
      </c>
      <c r="D37" s="62"/>
      <c r="E37" s="48"/>
      <c r="F37" s="64">
        <v>10</v>
      </c>
      <c r="G37" s="64">
        <v>1632.6</v>
      </c>
      <c r="H37" s="65">
        <f t="shared" ref="H37:H43" si="3">SUM(F37*G37/1000)</f>
        <v>16.326000000000001</v>
      </c>
      <c r="I37" s="13">
        <f>G37*1.3</f>
        <v>2122.38</v>
      </c>
      <c r="J37" s="23"/>
    </row>
    <row r="38" spans="1:14" ht="15.75" customHeight="1">
      <c r="A38" s="29">
        <v>7</v>
      </c>
      <c r="B38" s="62" t="s">
        <v>141</v>
      </c>
      <c r="C38" s="63" t="s">
        <v>29</v>
      </c>
      <c r="D38" s="62" t="s">
        <v>242</v>
      </c>
      <c r="E38" s="64">
        <v>254.8</v>
      </c>
      <c r="F38" s="64">
        <f>SUM(E38*30/1000)</f>
        <v>7.6440000000000001</v>
      </c>
      <c r="G38" s="64">
        <v>2247.8000000000002</v>
      </c>
      <c r="H38" s="65">
        <f t="shared" si="3"/>
        <v>17.182183200000004</v>
      </c>
      <c r="I38" s="13">
        <f>F38/6*G38</f>
        <v>2863.6972000000001</v>
      </c>
      <c r="J38" s="23"/>
      <c r="L38" s="19"/>
      <c r="M38" s="20"/>
      <c r="N38" s="21"/>
    </row>
    <row r="39" spans="1:14" ht="15.75" hidden="1" customHeight="1">
      <c r="A39" s="29"/>
      <c r="B39" s="62" t="s">
        <v>95</v>
      </c>
      <c r="C39" s="63" t="s">
        <v>115</v>
      </c>
      <c r="D39" s="62" t="s">
        <v>68</v>
      </c>
      <c r="E39" s="48"/>
      <c r="F39" s="64">
        <v>40</v>
      </c>
      <c r="G39" s="64">
        <v>213.2</v>
      </c>
      <c r="H39" s="65">
        <f t="shared" si="3"/>
        <v>8.5280000000000005</v>
      </c>
      <c r="I39" s="13">
        <v>0</v>
      </c>
      <c r="J39" s="23"/>
      <c r="L39" s="19"/>
      <c r="M39" s="20"/>
      <c r="N39" s="21"/>
    </row>
    <row r="40" spans="1:14" ht="15.75" customHeight="1">
      <c r="A40" s="29">
        <v>8</v>
      </c>
      <c r="B40" s="62" t="s">
        <v>69</v>
      </c>
      <c r="C40" s="63" t="s">
        <v>29</v>
      </c>
      <c r="D40" s="62" t="s">
        <v>243</v>
      </c>
      <c r="E40" s="64">
        <v>260.13</v>
      </c>
      <c r="F40" s="64">
        <f>SUM(E40*155/1000)</f>
        <v>40.320149999999998</v>
      </c>
      <c r="G40" s="64">
        <v>374.95</v>
      </c>
      <c r="H40" s="65">
        <f t="shared" si="3"/>
        <v>15.118040242499999</v>
      </c>
      <c r="I40" s="13">
        <f>F40/6*G40</f>
        <v>2519.6733737499999</v>
      </c>
      <c r="J40" s="23"/>
      <c r="L40" s="19"/>
      <c r="M40" s="20"/>
      <c r="N40" s="21"/>
    </row>
    <row r="41" spans="1:14" ht="47.25" customHeight="1">
      <c r="A41" s="29">
        <v>9</v>
      </c>
      <c r="B41" s="62" t="s">
        <v>84</v>
      </c>
      <c r="C41" s="63" t="s">
        <v>110</v>
      </c>
      <c r="D41" s="62" t="s">
        <v>244</v>
      </c>
      <c r="E41" s="64">
        <v>132.72999999999999</v>
      </c>
      <c r="F41" s="64">
        <f>SUM(E41*35/1000)</f>
        <v>4.6455499999999992</v>
      </c>
      <c r="G41" s="64">
        <v>6203.7</v>
      </c>
      <c r="H41" s="65">
        <f t="shared" si="3"/>
        <v>28.819598534999994</v>
      </c>
      <c r="I41" s="13">
        <f>F41/6*G41</f>
        <v>4803.266422499999</v>
      </c>
      <c r="J41" s="23"/>
      <c r="L41" s="19"/>
      <c r="M41" s="20"/>
      <c r="N41" s="21"/>
    </row>
    <row r="42" spans="1:14" ht="15.75" customHeight="1">
      <c r="A42" s="29">
        <v>10</v>
      </c>
      <c r="B42" s="62" t="s">
        <v>118</v>
      </c>
      <c r="C42" s="63" t="s">
        <v>110</v>
      </c>
      <c r="D42" s="62" t="s">
        <v>245</v>
      </c>
      <c r="E42" s="64">
        <v>254.8</v>
      </c>
      <c r="F42" s="64">
        <f>SUM(E42*45/1000)</f>
        <v>11.465999999999999</v>
      </c>
      <c r="G42" s="64">
        <v>458.28</v>
      </c>
      <c r="H42" s="65">
        <f t="shared" si="3"/>
        <v>5.2546384799999997</v>
      </c>
      <c r="I42" s="13">
        <f>F42/7.5*G42</f>
        <v>700.6184639999999</v>
      </c>
      <c r="J42" s="23"/>
      <c r="L42" s="19"/>
      <c r="M42" s="20"/>
      <c r="N42" s="21"/>
    </row>
    <row r="43" spans="1:14" ht="15.75" customHeight="1">
      <c r="A43" s="29">
        <v>11</v>
      </c>
      <c r="B43" s="62" t="s">
        <v>71</v>
      </c>
      <c r="C43" s="63" t="s">
        <v>33</v>
      </c>
      <c r="D43" s="62"/>
      <c r="E43" s="48"/>
      <c r="F43" s="64">
        <v>0.9</v>
      </c>
      <c r="G43" s="64">
        <v>853.06</v>
      </c>
      <c r="H43" s="65">
        <f t="shared" si="3"/>
        <v>0.76775400000000005</v>
      </c>
      <c r="I43" s="13">
        <f>F43/7.5*G43</f>
        <v>102.3672</v>
      </c>
      <c r="J43" s="23"/>
      <c r="L43" s="19"/>
      <c r="M43" s="20"/>
      <c r="N43" s="21"/>
    </row>
    <row r="44" spans="1:14" ht="15.75" customHeight="1">
      <c r="A44" s="171" t="s">
        <v>136</v>
      </c>
      <c r="B44" s="172"/>
      <c r="C44" s="172"/>
      <c r="D44" s="172"/>
      <c r="E44" s="172"/>
      <c r="F44" s="172"/>
      <c r="G44" s="172"/>
      <c r="H44" s="172"/>
      <c r="I44" s="173"/>
      <c r="J44" s="23"/>
      <c r="L44" s="19"/>
      <c r="M44" s="20"/>
      <c r="N44" s="21"/>
    </row>
    <row r="45" spans="1:14" ht="15.75" hidden="1" customHeight="1">
      <c r="A45" s="29"/>
      <c r="B45" s="62" t="s">
        <v>133</v>
      </c>
      <c r="C45" s="63" t="s">
        <v>110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4">SUM(F45*G45/1000)</f>
        <v>3.1090979980000002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36</v>
      </c>
      <c r="C46" s="63" t="s">
        <v>110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4"/>
        <v>0.12884767999999999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37</v>
      </c>
      <c r="C47" s="63" t="s">
        <v>110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4"/>
        <v>2.4739621804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38</v>
      </c>
      <c r="C48" s="63" t="s">
        <v>110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4"/>
        <v>3.4123004479999999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4"/>
        <v>0.20467249599999998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12</v>
      </c>
      <c r="B50" s="62" t="s">
        <v>58</v>
      </c>
      <c r="C50" s="63" t="s">
        <v>110</v>
      </c>
      <c r="D50" s="62" t="s">
        <v>240</v>
      </c>
      <c r="E50" s="48">
        <v>2872.4</v>
      </c>
      <c r="F50" s="64">
        <f>SUM(E50*5/1000)</f>
        <v>14.362</v>
      </c>
      <c r="G50" s="13">
        <v>1297.28</v>
      </c>
      <c r="H50" s="65">
        <f t="shared" si="4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22" ht="31.5" hidden="1" customHeight="1">
      <c r="A51" s="29"/>
      <c r="B51" s="62" t="s">
        <v>119</v>
      </c>
      <c r="C51" s="63" t="s">
        <v>110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4"/>
        <v>7.4526141440000009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62" t="s">
        <v>120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4"/>
        <v>2.3351120000000001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4"/>
        <v>0.1208424</v>
      </c>
      <c r="I53" s="13">
        <v>0</v>
      </c>
      <c r="J53" s="23"/>
      <c r="L53" s="19"/>
      <c r="M53" s="20"/>
      <c r="N53" s="21"/>
    </row>
    <row r="54" spans="1:22" ht="15.75" customHeight="1">
      <c r="A54" s="29">
        <v>13</v>
      </c>
      <c r="B54" s="62" t="s">
        <v>42</v>
      </c>
      <c r="C54" s="63" t="s">
        <v>30</v>
      </c>
      <c r="D54" s="134">
        <v>43515</v>
      </c>
      <c r="E54" s="48">
        <v>160</v>
      </c>
      <c r="F54" s="64">
        <f>SUM(E54)*3</f>
        <v>480</v>
      </c>
      <c r="G54" s="13">
        <v>70.209999999999994</v>
      </c>
      <c r="H54" s="65">
        <f t="shared" si="4"/>
        <v>33.700799999999994</v>
      </c>
      <c r="I54" s="13">
        <f>E54*G54</f>
        <v>11233.599999999999</v>
      </c>
      <c r="J54" s="23"/>
      <c r="L54" s="19"/>
      <c r="M54" s="20"/>
      <c r="N54" s="21"/>
    </row>
    <row r="55" spans="1:22" ht="15.75" customHeight="1">
      <c r="A55" s="171" t="s">
        <v>137</v>
      </c>
      <c r="B55" s="172"/>
      <c r="C55" s="172"/>
      <c r="D55" s="172"/>
      <c r="E55" s="172"/>
      <c r="F55" s="172"/>
      <c r="G55" s="172"/>
      <c r="H55" s="172"/>
      <c r="I55" s="173"/>
      <c r="J55" s="23"/>
      <c r="L55" s="19"/>
      <c r="M55" s="20"/>
      <c r="N55" s="21"/>
    </row>
    <row r="56" spans="1:22" ht="15.75" hidden="1" customHeight="1">
      <c r="A56" s="29"/>
      <c r="B56" s="84" t="s">
        <v>44</v>
      </c>
      <c r="C56" s="63"/>
      <c r="D56" s="62"/>
      <c r="E56" s="48"/>
      <c r="F56" s="64"/>
      <c r="G56" s="64"/>
      <c r="H56" s="65"/>
      <c r="I56" s="13"/>
      <c r="J56" s="23"/>
      <c r="L56" s="19"/>
      <c r="M56" s="20"/>
      <c r="N56" s="21"/>
    </row>
    <row r="57" spans="1:22" ht="36.75" customHeight="1">
      <c r="A57" s="29">
        <v>14</v>
      </c>
      <c r="B57" s="121" t="s">
        <v>122</v>
      </c>
      <c r="C57" s="122" t="s">
        <v>103</v>
      </c>
      <c r="D57" s="121"/>
      <c r="E57" s="128">
        <v>239.59</v>
      </c>
      <c r="F57" s="129">
        <f>E57*6/100</f>
        <v>14.375399999999999</v>
      </c>
      <c r="G57" s="130">
        <v>1654.04</v>
      </c>
      <c r="H57" s="65">
        <f>F57*G57/1000</f>
        <v>23.777486615999997</v>
      </c>
      <c r="I57" s="13">
        <f>G57*3.318</f>
        <v>5488.1047200000003</v>
      </c>
      <c r="J57" s="23"/>
      <c r="L57" s="19"/>
      <c r="M57" s="20"/>
      <c r="N57" s="21"/>
    </row>
    <row r="58" spans="1:22" ht="27.75" customHeight="1">
      <c r="A58" s="29">
        <v>15</v>
      </c>
      <c r="B58" s="100" t="s">
        <v>88</v>
      </c>
      <c r="C58" s="101" t="s">
        <v>163</v>
      </c>
      <c r="D58" s="100" t="s">
        <v>250</v>
      </c>
      <c r="E58" s="102">
        <v>2</v>
      </c>
      <c r="F58" s="103">
        <v>2</v>
      </c>
      <c r="G58" s="110">
        <v>1501</v>
      </c>
      <c r="H58" s="78"/>
      <c r="I58" s="13">
        <f>G58*7</f>
        <v>10507</v>
      </c>
      <c r="J58" s="23"/>
      <c r="L58" s="19"/>
      <c r="M58" s="20"/>
      <c r="N58" s="21"/>
    </row>
    <row r="59" spans="1:22" ht="15.75" customHeight="1">
      <c r="A59" s="29"/>
      <c r="B59" s="85" t="s">
        <v>45</v>
      </c>
      <c r="C59" s="72"/>
      <c r="D59" s="73"/>
      <c r="E59" s="74"/>
      <c r="F59" s="76"/>
      <c r="G59" s="13"/>
      <c r="H59" s="78"/>
      <c r="I59" s="13"/>
      <c r="J59" s="23"/>
      <c r="L59" s="19"/>
      <c r="M59" s="20"/>
      <c r="N59" s="21"/>
    </row>
    <row r="60" spans="1:22" ht="17.25" hidden="1" customHeight="1">
      <c r="A60" s="29"/>
      <c r="B60" s="73" t="s">
        <v>46</v>
      </c>
      <c r="C60" s="72" t="s">
        <v>55</v>
      </c>
      <c r="D60" s="73" t="s">
        <v>56</v>
      </c>
      <c r="E60" s="74">
        <v>2686</v>
      </c>
      <c r="F60" s="76">
        <f>E60/100</f>
        <v>26.86</v>
      </c>
      <c r="G60" s="13">
        <v>848.37</v>
      </c>
      <c r="H60" s="78">
        <f>G60*F60/1000</f>
        <v>22.787218199999998</v>
      </c>
      <c r="I60" s="13">
        <v>0</v>
      </c>
      <c r="J60" s="23"/>
      <c r="L60" s="19"/>
    </row>
    <row r="61" spans="1:22" ht="15.75" customHeight="1">
      <c r="A61" s="29">
        <v>16</v>
      </c>
      <c r="B61" s="100" t="s">
        <v>96</v>
      </c>
      <c r="C61" s="101" t="s">
        <v>25</v>
      </c>
      <c r="D61" s="100" t="s">
        <v>216</v>
      </c>
      <c r="E61" s="102">
        <v>200</v>
      </c>
      <c r="F61" s="103">
        <v>4116</v>
      </c>
      <c r="G61" s="104">
        <v>1.4</v>
      </c>
      <c r="H61" s="78">
        <f>F61*G61</f>
        <v>5762.4</v>
      </c>
      <c r="I61" s="13">
        <f>F61/12*G61</f>
        <v>480.2</v>
      </c>
    </row>
    <row r="62" spans="1:22" ht="15.75" hidden="1" customHeight="1">
      <c r="A62" s="29"/>
      <c r="B62" s="85" t="s">
        <v>134</v>
      </c>
      <c r="C62" s="72"/>
      <c r="D62" s="73"/>
      <c r="E62" s="74"/>
      <c r="F62" s="76"/>
      <c r="G62" s="13"/>
      <c r="H62" s="78"/>
      <c r="I62" s="13"/>
    </row>
    <row r="63" spans="1:22" ht="15.75" hidden="1" customHeight="1">
      <c r="A63" s="29"/>
      <c r="B63" s="73" t="s">
        <v>135</v>
      </c>
      <c r="C63" s="72" t="s">
        <v>30</v>
      </c>
      <c r="D63" s="73" t="s">
        <v>68</v>
      </c>
      <c r="E63" s="74">
        <v>3</v>
      </c>
      <c r="F63" s="75">
        <v>3</v>
      </c>
      <c r="G63" s="77">
        <v>254.16</v>
      </c>
      <c r="H63" s="76">
        <v>0.76200000000000001</v>
      </c>
      <c r="I63" s="13">
        <v>0</v>
      </c>
    </row>
    <row r="64" spans="1:22" ht="15.75" hidden="1" customHeight="1">
      <c r="A64" s="29"/>
      <c r="B64" s="85" t="s">
        <v>47</v>
      </c>
      <c r="C64" s="72"/>
      <c r="D64" s="73"/>
      <c r="E64" s="74"/>
      <c r="F64" s="75"/>
      <c r="G64" s="75"/>
      <c r="H64" s="76" t="s">
        <v>129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29"/>
      <c r="B65" s="14" t="s">
        <v>48</v>
      </c>
      <c r="C65" s="16" t="s">
        <v>121</v>
      </c>
      <c r="D65" s="73" t="s">
        <v>68</v>
      </c>
      <c r="E65" s="18">
        <v>15</v>
      </c>
      <c r="F65" s="64">
        <v>15</v>
      </c>
      <c r="G65" s="13">
        <v>237.74</v>
      </c>
      <c r="H65" s="79">
        <f t="shared" ref="H65:H78" si="5">SUM(F65*G65/1000)</f>
        <v>3.5661000000000005</v>
      </c>
      <c r="I65" s="13">
        <v>0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/>
      <c r="B66" s="14" t="s">
        <v>49</v>
      </c>
      <c r="C66" s="16" t="s">
        <v>121</v>
      </c>
      <c r="D66" s="73" t="s">
        <v>68</v>
      </c>
      <c r="E66" s="18">
        <v>5</v>
      </c>
      <c r="F66" s="64">
        <v>5</v>
      </c>
      <c r="G66" s="13">
        <v>81.510000000000005</v>
      </c>
      <c r="H66" s="79">
        <f t="shared" si="5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50</v>
      </c>
      <c r="C67" s="16" t="s">
        <v>123</v>
      </c>
      <c r="D67" s="14" t="s">
        <v>56</v>
      </c>
      <c r="E67" s="48">
        <v>24123</v>
      </c>
      <c r="F67" s="13">
        <f>SUM(E67/100)</f>
        <v>241.23</v>
      </c>
      <c r="G67" s="13">
        <v>226.79</v>
      </c>
      <c r="H67" s="79">
        <f t="shared" si="5"/>
        <v>54.708551699999994</v>
      </c>
      <c r="I67" s="13">
        <f>F67*G67</f>
        <v>54708.551699999996</v>
      </c>
      <c r="J67" s="5"/>
      <c r="K67" s="5"/>
      <c r="L67" s="5"/>
      <c r="M67" s="5"/>
      <c r="N67" s="5"/>
      <c r="O67" s="5"/>
      <c r="P67" s="5"/>
      <c r="Q67" s="5"/>
      <c r="R67" s="159"/>
      <c r="S67" s="159"/>
      <c r="T67" s="159"/>
      <c r="U67" s="159"/>
    </row>
    <row r="68" spans="1:21" ht="15.75" hidden="1" customHeight="1">
      <c r="A68" s="29"/>
      <c r="B68" s="14" t="s">
        <v>51</v>
      </c>
      <c r="C68" s="16" t="s">
        <v>124</v>
      </c>
      <c r="D68" s="14"/>
      <c r="E68" s="48">
        <v>24123</v>
      </c>
      <c r="F68" s="13">
        <f>SUM(E68/1000)</f>
        <v>24.123000000000001</v>
      </c>
      <c r="G68" s="13">
        <v>176.61</v>
      </c>
      <c r="H68" s="79">
        <f t="shared" si="5"/>
        <v>4.2603630300000006</v>
      </c>
      <c r="I68" s="13">
        <f t="shared" ref="I68:I72" si="6">F68*G68</f>
        <v>4260.3630300000004</v>
      </c>
    </row>
    <row r="69" spans="1:21" ht="15.75" hidden="1" customHeight="1">
      <c r="A69" s="29"/>
      <c r="B69" s="14" t="s">
        <v>52</v>
      </c>
      <c r="C69" s="16" t="s">
        <v>78</v>
      </c>
      <c r="D69" s="14" t="s">
        <v>56</v>
      </c>
      <c r="E69" s="48">
        <v>2730</v>
      </c>
      <c r="F69" s="13">
        <f>SUM(E69/100)</f>
        <v>27.3</v>
      </c>
      <c r="G69" s="13">
        <v>2217.7800000000002</v>
      </c>
      <c r="H69" s="79">
        <f t="shared" si="5"/>
        <v>60.545394000000009</v>
      </c>
      <c r="I69" s="13">
        <f t="shared" si="6"/>
        <v>60545.394000000008</v>
      </c>
    </row>
    <row r="70" spans="1:21" ht="15.75" hidden="1" customHeight="1">
      <c r="A70" s="29"/>
      <c r="B70" s="80" t="s">
        <v>125</v>
      </c>
      <c r="C70" s="16" t="s">
        <v>33</v>
      </c>
      <c r="D70" s="14"/>
      <c r="E70" s="48">
        <v>23</v>
      </c>
      <c r="F70" s="13">
        <f>SUM(E70)</f>
        <v>23</v>
      </c>
      <c r="G70" s="13">
        <v>42.67</v>
      </c>
      <c r="H70" s="79">
        <f t="shared" si="5"/>
        <v>0.98141000000000012</v>
      </c>
      <c r="I70" s="13">
        <f t="shared" si="6"/>
        <v>981.41000000000008</v>
      </c>
    </row>
    <row r="71" spans="1:21" ht="15.75" hidden="1" customHeight="1">
      <c r="A71" s="29"/>
      <c r="B71" s="80" t="s">
        <v>126</v>
      </c>
      <c r="C71" s="16" t="s">
        <v>33</v>
      </c>
      <c r="D71" s="14"/>
      <c r="E71" s="48">
        <v>23</v>
      </c>
      <c r="F71" s="13">
        <f>SUM(E71)</f>
        <v>23</v>
      </c>
      <c r="G71" s="13">
        <v>39.81</v>
      </c>
      <c r="H71" s="79">
        <f t="shared" si="5"/>
        <v>0.91563000000000005</v>
      </c>
      <c r="I71" s="13">
        <f t="shared" si="6"/>
        <v>915.63000000000011</v>
      </c>
    </row>
    <row r="72" spans="1:21" ht="15.75" hidden="1" customHeight="1">
      <c r="A72" s="29"/>
      <c r="B72" s="14" t="s">
        <v>59</v>
      </c>
      <c r="C72" s="16" t="s">
        <v>60</v>
      </c>
      <c r="D72" s="14" t="s">
        <v>56</v>
      </c>
      <c r="E72" s="18">
        <v>10</v>
      </c>
      <c r="F72" s="64">
        <f>SUM(E72)</f>
        <v>10</v>
      </c>
      <c r="G72" s="13">
        <v>53.32</v>
      </c>
      <c r="H72" s="79">
        <f t="shared" si="5"/>
        <v>0.53320000000000001</v>
      </c>
      <c r="I72" s="13">
        <f t="shared" si="6"/>
        <v>533.20000000000005</v>
      </c>
    </row>
    <row r="73" spans="1:21" ht="15.75" hidden="1" customHeight="1">
      <c r="A73" s="29"/>
      <c r="B73" s="54" t="s">
        <v>74</v>
      </c>
      <c r="C73" s="16"/>
      <c r="D73" s="14"/>
      <c r="E73" s="18"/>
      <c r="F73" s="13"/>
      <c r="G73" s="13"/>
      <c r="H73" s="79" t="s">
        <v>129</v>
      </c>
      <c r="I73" s="13"/>
    </row>
    <row r="74" spans="1:21" ht="15.75" hidden="1" customHeight="1">
      <c r="A74" s="29">
        <v>15</v>
      </c>
      <c r="B74" s="14" t="s">
        <v>75</v>
      </c>
      <c r="C74" s="16" t="s">
        <v>31</v>
      </c>
      <c r="D74" s="14"/>
      <c r="E74" s="18">
        <v>2</v>
      </c>
      <c r="F74" s="56">
        <v>0.2</v>
      </c>
      <c r="G74" s="13">
        <v>536.23</v>
      </c>
      <c r="H74" s="79">
        <v>0.251</v>
      </c>
      <c r="I74" s="13">
        <f>G74*1.8</f>
        <v>965.21400000000006</v>
      </c>
    </row>
    <row r="75" spans="1:21" ht="15.75" hidden="1" customHeight="1">
      <c r="A75" s="29"/>
      <c r="B75" s="14" t="s">
        <v>89</v>
      </c>
      <c r="C75" s="16" t="s">
        <v>30</v>
      </c>
      <c r="D75" s="14"/>
      <c r="E75" s="18">
        <v>1</v>
      </c>
      <c r="F75" s="64">
        <f>SUM(E75)</f>
        <v>1</v>
      </c>
      <c r="G75" s="13">
        <v>383.25</v>
      </c>
      <c r="H75" s="79">
        <f t="shared" si="5"/>
        <v>0.38324999999999998</v>
      </c>
      <c r="I75" s="13">
        <v>0</v>
      </c>
    </row>
    <row r="76" spans="1:21" ht="15.75" hidden="1" customHeight="1">
      <c r="A76" s="29"/>
      <c r="B76" s="14" t="s">
        <v>76</v>
      </c>
      <c r="C76" s="16" t="s">
        <v>30</v>
      </c>
      <c r="D76" s="14"/>
      <c r="E76" s="18">
        <v>2</v>
      </c>
      <c r="F76" s="13">
        <v>2</v>
      </c>
      <c r="G76" s="13">
        <v>911.85</v>
      </c>
      <c r="H76" s="79">
        <f>F76*G76/1000</f>
        <v>1.8237000000000001</v>
      </c>
      <c r="I76" s="13">
        <v>0</v>
      </c>
    </row>
    <row r="77" spans="1:21" ht="15.75" hidden="1" customHeight="1">
      <c r="A77" s="29"/>
      <c r="B77" s="81" t="s">
        <v>77</v>
      </c>
      <c r="C77" s="16"/>
      <c r="D77" s="14"/>
      <c r="E77" s="18"/>
      <c r="F77" s="13"/>
      <c r="G77" s="13" t="s">
        <v>129</v>
      </c>
      <c r="H77" s="79" t="s">
        <v>129</v>
      </c>
      <c r="I77" s="13"/>
    </row>
    <row r="78" spans="1:21" ht="15.75" hidden="1" customHeight="1">
      <c r="A78" s="29"/>
      <c r="B78" s="44" t="s">
        <v>130</v>
      </c>
      <c r="C78" s="16" t="s">
        <v>78</v>
      </c>
      <c r="D78" s="14"/>
      <c r="E78" s="18"/>
      <c r="F78" s="13">
        <v>1.35</v>
      </c>
      <c r="G78" s="13">
        <v>2949.85</v>
      </c>
      <c r="H78" s="79">
        <f t="shared" si="5"/>
        <v>3.9822975</v>
      </c>
      <c r="I78" s="13">
        <v>0</v>
      </c>
    </row>
    <row r="79" spans="1:21" ht="15.75" hidden="1" customHeight="1">
      <c r="A79" s="29"/>
      <c r="B79" s="67" t="s">
        <v>127</v>
      </c>
      <c r="C79" s="81"/>
      <c r="D79" s="31"/>
      <c r="E79" s="32"/>
      <c r="F79" s="68"/>
      <c r="G79" s="68"/>
      <c r="H79" s="82">
        <f>SUM(H57:H78)</f>
        <v>5942.0851510459988</v>
      </c>
      <c r="I79" s="68"/>
    </row>
    <row r="80" spans="1:21" ht="15.75" hidden="1" customHeight="1">
      <c r="A80" s="29">
        <v>16</v>
      </c>
      <c r="B80" s="62" t="s">
        <v>128</v>
      </c>
      <c r="C80" s="16"/>
      <c r="D80" s="14"/>
      <c r="E80" s="57"/>
      <c r="F80" s="13">
        <v>1</v>
      </c>
      <c r="G80" s="35">
        <v>22218.400000000001</v>
      </c>
      <c r="H80" s="79">
        <f>G80*F80/1000</f>
        <v>22.218400000000003</v>
      </c>
      <c r="I80" s="13">
        <v>5810.4</v>
      </c>
    </row>
    <row r="81" spans="1:9" ht="15.75" customHeight="1">
      <c r="A81" s="160" t="s">
        <v>138</v>
      </c>
      <c r="B81" s="161"/>
      <c r="C81" s="161"/>
      <c r="D81" s="161"/>
      <c r="E81" s="161"/>
      <c r="F81" s="161"/>
      <c r="G81" s="161"/>
      <c r="H81" s="161"/>
      <c r="I81" s="162"/>
    </row>
    <row r="82" spans="1:9" ht="15.75" customHeight="1">
      <c r="A82" s="29">
        <v>17</v>
      </c>
      <c r="B82" s="62" t="s">
        <v>131</v>
      </c>
      <c r="C82" s="16" t="s">
        <v>57</v>
      </c>
      <c r="D82" s="83"/>
      <c r="E82" s="13">
        <v>4591.2</v>
      </c>
      <c r="F82" s="13">
        <f>SUM(E82*12)</f>
        <v>55094.399999999994</v>
      </c>
      <c r="G82" s="13">
        <v>2.54</v>
      </c>
      <c r="H82" s="79">
        <f>SUM(F82*G82/1000)</f>
        <v>139.93977599999999</v>
      </c>
      <c r="I82" s="13">
        <f>F82/12*G82</f>
        <v>11661.647999999999</v>
      </c>
    </row>
    <row r="83" spans="1:9" ht="31.5" customHeight="1">
      <c r="A83" s="29">
        <v>18</v>
      </c>
      <c r="B83" s="14" t="s">
        <v>79</v>
      </c>
      <c r="C83" s="16"/>
      <c r="D83" s="83"/>
      <c r="E83" s="48">
        <f>E82</f>
        <v>4591.2</v>
      </c>
      <c r="F83" s="13">
        <f>E83*12</f>
        <v>55094.399999999994</v>
      </c>
      <c r="G83" s="13">
        <v>2.0499999999999998</v>
      </c>
      <c r="H83" s="79">
        <f>F83*G83/1000</f>
        <v>112.94351999999998</v>
      </c>
      <c r="I83" s="13">
        <f>F83/12*G83</f>
        <v>9411.9599999999991</v>
      </c>
    </row>
    <row r="84" spans="1:9" ht="15.75" customHeight="1">
      <c r="A84" s="45"/>
      <c r="B84" s="36" t="s">
        <v>81</v>
      </c>
      <c r="C84" s="37"/>
      <c r="D84" s="15"/>
      <c r="E84" s="15"/>
      <c r="F84" s="15"/>
      <c r="G84" s="18"/>
      <c r="H84" s="18"/>
      <c r="I84" s="32">
        <f>I83+I82+I61+I58+I57+I50+I43+I42+I41+I40+I38+I37+I26+I20+I18+I17+I16+I54</f>
        <v>85398.646285583323</v>
      </c>
    </row>
    <row r="85" spans="1:9" ht="15.75" customHeight="1">
      <c r="A85" s="178" t="s">
        <v>62</v>
      </c>
      <c r="B85" s="179"/>
      <c r="C85" s="179"/>
      <c r="D85" s="179"/>
      <c r="E85" s="179"/>
      <c r="F85" s="179"/>
      <c r="G85" s="179"/>
      <c r="H85" s="179"/>
      <c r="I85" s="180"/>
    </row>
    <row r="86" spans="1:9" ht="31.5" customHeight="1">
      <c r="A86" s="29">
        <v>17</v>
      </c>
      <c r="B86" s="93" t="s">
        <v>175</v>
      </c>
      <c r="C86" s="94" t="s">
        <v>29</v>
      </c>
      <c r="D86" s="96"/>
      <c r="E86" s="34"/>
      <c r="F86" s="34">
        <v>5</v>
      </c>
      <c r="G86" s="34">
        <v>19757.060000000001</v>
      </c>
      <c r="H86" s="95">
        <f t="shared" ref="H86:H91" si="7">G86*F86/1000</f>
        <v>98.785300000000007</v>
      </c>
      <c r="I86" s="13">
        <f>G86*0.599*12/1000+0.002*G86</f>
        <v>181.52786728000001</v>
      </c>
    </row>
    <row r="87" spans="1:9" ht="15.75" customHeight="1">
      <c r="A87" s="29">
        <v>18</v>
      </c>
      <c r="B87" s="93" t="s">
        <v>161</v>
      </c>
      <c r="C87" s="94" t="s">
        <v>169</v>
      </c>
      <c r="D87" s="98"/>
      <c r="E87" s="17"/>
      <c r="F87" s="34">
        <v>4</v>
      </c>
      <c r="G87" s="34">
        <v>273</v>
      </c>
      <c r="H87" s="95">
        <f t="shared" si="7"/>
        <v>1.0920000000000001</v>
      </c>
      <c r="I87" s="13">
        <f>G87*34</f>
        <v>9282</v>
      </c>
    </row>
    <row r="88" spans="1:9" ht="15.75" customHeight="1">
      <c r="A88" s="29">
        <v>19</v>
      </c>
      <c r="B88" s="93" t="s">
        <v>186</v>
      </c>
      <c r="C88" s="94" t="s">
        <v>187</v>
      </c>
      <c r="D88" s="98"/>
      <c r="E88" s="17"/>
      <c r="F88" s="34">
        <v>3</v>
      </c>
      <c r="G88" s="34">
        <v>725.1</v>
      </c>
      <c r="H88" s="95">
        <f t="shared" si="7"/>
        <v>2.1753</v>
      </c>
      <c r="I88" s="13">
        <f>G88*3</f>
        <v>2175.3000000000002</v>
      </c>
    </row>
    <row r="89" spans="1:9" ht="15.75" customHeight="1">
      <c r="A89" s="29">
        <v>20</v>
      </c>
      <c r="B89" s="93" t="s">
        <v>188</v>
      </c>
      <c r="C89" s="94" t="s">
        <v>121</v>
      </c>
      <c r="D89" s="44"/>
      <c r="E89" s="34"/>
      <c r="F89" s="34">
        <v>3</v>
      </c>
      <c r="G89" s="34">
        <v>49</v>
      </c>
      <c r="H89" s="95">
        <f t="shared" si="7"/>
        <v>0.14699999999999999</v>
      </c>
      <c r="I89" s="13">
        <f>G89*1</f>
        <v>49</v>
      </c>
    </row>
    <row r="90" spans="1:9" ht="31.5" customHeight="1">
      <c r="A90" s="29">
        <v>21</v>
      </c>
      <c r="B90" s="93" t="s">
        <v>177</v>
      </c>
      <c r="C90" s="94" t="s">
        <v>178</v>
      </c>
      <c r="D90" s="96"/>
      <c r="E90" s="34"/>
      <c r="F90" s="34">
        <v>1</v>
      </c>
      <c r="G90" s="34">
        <v>59.21</v>
      </c>
      <c r="H90" s="95">
        <f t="shared" si="7"/>
        <v>5.9209999999999999E-2</v>
      </c>
      <c r="I90" s="13">
        <f>G90*1</f>
        <v>59.21</v>
      </c>
    </row>
    <row r="91" spans="1:9" ht="15.75" customHeight="1">
      <c r="A91" s="29">
        <v>22</v>
      </c>
      <c r="B91" s="93" t="s">
        <v>189</v>
      </c>
      <c r="C91" s="94" t="s">
        <v>29</v>
      </c>
      <c r="D91" s="96"/>
      <c r="E91" s="34"/>
      <c r="F91" s="34">
        <v>1</v>
      </c>
      <c r="G91" s="34">
        <v>1160.81</v>
      </c>
      <c r="H91" s="95">
        <f t="shared" si="7"/>
        <v>1.1608099999999999</v>
      </c>
      <c r="I91" s="13">
        <f>G91*0.058</f>
        <v>67.326980000000006</v>
      </c>
    </row>
    <row r="92" spans="1:9" ht="33" customHeight="1">
      <c r="A92" s="29">
        <v>23</v>
      </c>
      <c r="B92" s="93" t="s">
        <v>190</v>
      </c>
      <c r="C92" s="94" t="s">
        <v>92</v>
      </c>
      <c r="D92" s="44"/>
      <c r="E92" s="34"/>
      <c r="F92" s="34">
        <v>1</v>
      </c>
      <c r="G92" s="34">
        <v>561.86</v>
      </c>
      <c r="H92" s="95">
        <f>G92*F92/1000</f>
        <v>0.56186000000000003</v>
      </c>
      <c r="I92" s="13">
        <f>G92*1</f>
        <v>561.86</v>
      </c>
    </row>
    <row r="93" spans="1:9" ht="16.5" customHeight="1">
      <c r="A93" s="29">
        <v>24</v>
      </c>
      <c r="B93" s="93" t="s">
        <v>174</v>
      </c>
      <c r="C93" s="94" t="s">
        <v>121</v>
      </c>
      <c r="D93" s="29"/>
      <c r="E93" s="18"/>
      <c r="F93" s="13"/>
      <c r="G93" s="34">
        <v>58.39</v>
      </c>
      <c r="H93" s="79"/>
      <c r="I93" s="13">
        <f>G93*1</f>
        <v>58.39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SUM(I86:I93)</f>
        <v>12434.61484728</v>
      </c>
    </row>
    <row r="95" spans="1:9" ht="15.75" customHeight="1">
      <c r="A95" s="29"/>
      <c r="B95" s="44" t="s">
        <v>80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160</v>
      </c>
      <c r="C96" s="33"/>
      <c r="D96" s="33"/>
      <c r="E96" s="33"/>
      <c r="F96" s="33"/>
      <c r="G96" s="33"/>
      <c r="H96" s="33"/>
      <c r="I96" s="41">
        <f>I84+I94</f>
        <v>97833.261132863321</v>
      </c>
    </row>
    <row r="97" spans="1:9" ht="15.75" customHeight="1">
      <c r="A97" s="174" t="s">
        <v>251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 customHeight="1">
      <c r="A98" s="55"/>
      <c r="B98" s="175" t="s">
        <v>252</v>
      </c>
      <c r="C98" s="175"/>
      <c r="D98" s="175"/>
      <c r="E98" s="175"/>
      <c r="F98" s="175"/>
      <c r="G98" s="175"/>
      <c r="H98" s="61"/>
      <c r="I98" s="3"/>
    </row>
    <row r="99" spans="1:9" ht="15.75" customHeight="1">
      <c r="A99" s="49"/>
      <c r="B99" s="176" t="s">
        <v>6</v>
      </c>
      <c r="C99" s="176"/>
      <c r="D99" s="176"/>
      <c r="E99" s="176"/>
      <c r="F99" s="176"/>
      <c r="G99" s="176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77" t="s">
        <v>7</v>
      </c>
      <c r="B101" s="177"/>
      <c r="C101" s="177"/>
      <c r="D101" s="177"/>
      <c r="E101" s="177"/>
      <c r="F101" s="177"/>
      <c r="G101" s="177"/>
      <c r="H101" s="177"/>
      <c r="I101" s="177"/>
    </row>
    <row r="102" spans="1:9" ht="15.75" customHeight="1">
      <c r="A102" s="177" t="s">
        <v>8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 customHeight="1">
      <c r="A103" s="169" t="s">
        <v>63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 customHeight="1">
      <c r="A104" s="11"/>
    </row>
    <row r="105" spans="1:9" ht="15.75" customHeight="1">
      <c r="A105" s="182" t="s">
        <v>9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15.75" customHeight="1">
      <c r="A106" s="4"/>
    </row>
    <row r="107" spans="1:9" ht="15.75" customHeight="1">
      <c r="B107" s="52" t="s">
        <v>10</v>
      </c>
      <c r="C107" s="183" t="s">
        <v>90</v>
      </c>
      <c r="D107" s="183"/>
      <c r="E107" s="183"/>
      <c r="F107" s="59"/>
      <c r="I107" s="51"/>
    </row>
    <row r="108" spans="1:9" ht="15.75" customHeight="1">
      <c r="A108" s="49"/>
      <c r="C108" s="176" t="s">
        <v>11</v>
      </c>
      <c r="D108" s="176"/>
      <c r="E108" s="176"/>
      <c r="F108" s="24"/>
      <c r="I108" s="50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52" t="s">
        <v>13</v>
      </c>
      <c r="C110" s="184"/>
      <c r="D110" s="184"/>
      <c r="E110" s="184"/>
      <c r="F110" s="60"/>
      <c r="I110" s="51"/>
    </row>
    <row r="111" spans="1:9" ht="15.75" customHeight="1">
      <c r="A111" s="49"/>
      <c r="C111" s="159" t="s">
        <v>11</v>
      </c>
      <c r="D111" s="159"/>
      <c r="E111" s="159"/>
      <c r="F111" s="49"/>
      <c r="I111" s="50" t="s">
        <v>12</v>
      </c>
    </row>
    <row r="112" spans="1:9" ht="15.75" customHeight="1">
      <c r="A112" s="4" t="s">
        <v>14</v>
      </c>
    </row>
    <row r="113" spans="1:9" ht="15.75" customHeight="1">
      <c r="A113" s="185" t="s">
        <v>15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45" customHeight="1">
      <c r="A114" s="181" t="s">
        <v>16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30" customHeight="1">
      <c r="A115" s="181" t="s">
        <v>17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30" customHeight="1">
      <c r="A116" s="181" t="s">
        <v>21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15" customHeight="1">
      <c r="A117" s="181" t="s">
        <v>20</v>
      </c>
      <c r="B117" s="181"/>
      <c r="C117" s="181"/>
      <c r="D117" s="181"/>
      <c r="E117" s="181"/>
      <c r="F117" s="181"/>
      <c r="G117" s="181"/>
      <c r="H117" s="181"/>
      <c r="I117" s="181"/>
    </row>
  </sheetData>
  <autoFilter ref="I12:I62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7:I27"/>
    <mergeCell ref="A44:I44"/>
    <mergeCell ref="A55:I55"/>
    <mergeCell ref="A97:I97"/>
    <mergeCell ref="B98:G98"/>
    <mergeCell ref="B99:G99"/>
    <mergeCell ref="A101:I101"/>
    <mergeCell ref="A102:I102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5"/>
  <sheetViews>
    <sheetView topLeftCell="A96" workbookViewId="0">
      <selection activeCell="B101" sqref="B101:I101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145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191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43555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25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si="0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customHeight="1">
      <c r="A21" s="29">
        <v>5</v>
      </c>
      <c r="B21" s="62" t="s">
        <v>98</v>
      </c>
      <c r="C21" s="63" t="s">
        <v>103</v>
      </c>
      <c r="D21" s="62" t="s">
        <v>240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hidden="1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109</v>
      </c>
      <c r="C29" s="63" t="s">
        <v>110</v>
      </c>
      <c r="D29" s="62" t="s">
        <v>111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142</v>
      </c>
      <c r="C30" s="63" t="s">
        <v>110</v>
      </c>
      <c r="D30" s="62" t="s">
        <v>112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140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113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4" t="s">
        <v>5</v>
      </c>
      <c r="C36" s="63"/>
      <c r="D36" s="62"/>
      <c r="E36" s="48"/>
      <c r="F36" s="64"/>
      <c r="G36" s="64"/>
      <c r="H36" s="65" t="s">
        <v>129</v>
      </c>
      <c r="I36" s="13"/>
      <c r="J36" s="23"/>
    </row>
    <row r="37" spans="1:14" ht="15.75" customHeight="1">
      <c r="A37" s="29">
        <v>7</v>
      </c>
      <c r="B37" s="62" t="s">
        <v>26</v>
      </c>
      <c r="C37" s="63" t="s">
        <v>32</v>
      </c>
      <c r="D37" s="62"/>
      <c r="E37" s="48"/>
      <c r="F37" s="64">
        <v>10</v>
      </c>
      <c r="G37" s="64">
        <v>1632.6</v>
      </c>
      <c r="H37" s="65">
        <f t="shared" ref="H37:H43" si="3">SUM(F37*G37/1000)</f>
        <v>16.326000000000001</v>
      </c>
      <c r="I37" s="13">
        <f>G37*0.9</f>
        <v>1469.34</v>
      </c>
      <c r="J37" s="23"/>
    </row>
    <row r="38" spans="1:14" ht="15.75" customHeight="1">
      <c r="A38" s="29">
        <v>8</v>
      </c>
      <c r="B38" s="62" t="s">
        <v>141</v>
      </c>
      <c r="C38" s="63" t="s">
        <v>29</v>
      </c>
      <c r="D38" s="62" t="s">
        <v>242</v>
      </c>
      <c r="E38" s="64">
        <v>254.8</v>
      </c>
      <c r="F38" s="64">
        <f>SUM(E38*30/1000)</f>
        <v>7.6440000000000001</v>
      </c>
      <c r="G38" s="64">
        <v>2247.8000000000002</v>
      </c>
      <c r="H38" s="65">
        <f t="shared" si="3"/>
        <v>17.182183200000004</v>
      </c>
      <c r="I38" s="13">
        <f>F38/6*G38</f>
        <v>2863.6972000000001</v>
      </c>
      <c r="J38" s="23"/>
      <c r="L38" s="19"/>
      <c r="M38" s="20"/>
      <c r="N38" s="21"/>
    </row>
    <row r="39" spans="1:14" ht="15.75" hidden="1" customHeight="1">
      <c r="A39" s="29"/>
      <c r="B39" s="62" t="s">
        <v>95</v>
      </c>
      <c r="C39" s="63" t="s">
        <v>115</v>
      </c>
      <c r="D39" s="62" t="s">
        <v>68</v>
      </c>
      <c r="E39" s="48"/>
      <c r="F39" s="64">
        <v>40</v>
      </c>
      <c r="G39" s="64">
        <v>213.2</v>
      </c>
      <c r="H39" s="65">
        <f t="shared" si="3"/>
        <v>8.5280000000000005</v>
      </c>
      <c r="I39" s="13">
        <v>0</v>
      </c>
      <c r="J39" s="23"/>
      <c r="L39" s="19"/>
      <c r="M39" s="20"/>
      <c r="N39" s="21"/>
    </row>
    <row r="40" spans="1:14" ht="15.75" customHeight="1">
      <c r="A40" s="29">
        <v>9</v>
      </c>
      <c r="B40" s="62" t="s">
        <v>69</v>
      </c>
      <c r="C40" s="63" t="s">
        <v>29</v>
      </c>
      <c r="D40" s="62" t="s">
        <v>243</v>
      </c>
      <c r="E40" s="64">
        <v>260.13</v>
      </c>
      <c r="F40" s="64">
        <f>SUM(E40*155/1000)</f>
        <v>40.320149999999998</v>
      </c>
      <c r="G40" s="64">
        <v>374.95</v>
      </c>
      <c r="H40" s="65">
        <f t="shared" si="3"/>
        <v>15.118040242499999</v>
      </c>
      <c r="I40" s="13">
        <f>F40/6*G40</f>
        <v>2519.6733737499999</v>
      </c>
      <c r="J40" s="23"/>
      <c r="L40" s="19"/>
      <c r="M40" s="20"/>
      <c r="N40" s="21"/>
    </row>
    <row r="41" spans="1:14" ht="47.25" customHeight="1">
      <c r="A41" s="29">
        <v>10</v>
      </c>
      <c r="B41" s="62" t="s">
        <v>84</v>
      </c>
      <c r="C41" s="63" t="s">
        <v>110</v>
      </c>
      <c r="D41" s="62" t="s">
        <v>244</v>
      </c>
      <c r="E41" s="64">
        <v>132.72999999999999</v>
      </c>
      <c r="F41" s="64">
        <f>SUM(E41*35/1000)</f>
        <v>4.6455499999999992</v>
      </c>
      <c r="G41" s="64">
        <v>6203.7</v>
      </c>
      <c r="H41" s="65">
        <f t="shared" si="3"/>
        <v>28.819598534999994</v>
      </c>
      <c r="I41" s="13">
        <f>F41/6*G41</f>
        <v>4803.266422499999</v>
      </c>
      <c r="J41" s="23"/>
      <c r="L41" s="19"/>
      <c r="M41" s="20"/>
      <c r="N41" s="21"/>
    </row>
    <row r="42" spans="1:14" ht="15.75" customHeight="1">
      <c r="A42" s="29">
        <v>11</v>
      </c>
      <c r="B42" s="62" t="s">
        <v>118</v>
      </c>
      <c r="C42" s="63" t="s">
        <v>110</v>
      </c>
      <c r="D42" s="62" t="s">
        <v>245</v>
      </c>
      <c r="E42" s="64">
        <v>254.8</v>
      </c>
      <c r="F42" s="64">
        <f>SUM(E42*45/1000)</f>
        <v>11.465999999999999</v>
      </c>
      <c r="G42" s="64">
        <v>458.28</v>
      </c>
      <c r="H42" s="65">
        <f t="shared" si="3"/>
        <v>5.2546384799999997</v>
      </c>
      <c r="I42" s="13">
        <f>(F42/7.5*1.5)*G42</f>
        <v>1050.9276959999997</v>
      </c>
      <c r="J42" s="23"/>
      <c r="L42" s="19"/>
      <c r="M42" s="20"/>
      <c r="N42" s="21"/>
    </row>
    <row r="43" spans="1:14" ht="15.75" customHeight="1">
      <c r="A43" s="29">
        <v>12</v>
      </c>
      <c r="B43" s="62" t="s">
        <v>71</v>
      </c>
      <c r="C43" s="63" t="s">
        <v>33</v>
      </c>
      <c r="D43" s="62"/>
      <c r="E43" s="48"/>
      <c r="F43" s="64">
        <v>0.9</v>
      </c>
      <c r="G43" s="64">
        <v>853.06</v>
      </c>
      <c r="H43" s="65">
        <f t="shared" si="3"/>
        <v>0.76775400000000005</v>
      </c>
      <c r="I43" s="13">
        <f>(F43/7.5*1.5)*G43</f>
        <v>153.55080000000001</v>
      </c>
      <c r="J43" s="23"/>
      <c r="L43" s="19"/>
      <c r="M43" s="20"/>
      <c r="N43" s="21"/>
    </row>
    <row r="44" spans="1:14" ht="15.75" hidden="1" customHeight="1">
      <c r="A44" s="171" t="s">
        <v>136</v>
      </c>
      <c r="B44" s="172"/>
      <c r="C44" s="172"/>
      <c r="D44" s="172"/>
      <c r="E44" s="172"/>
      <c r="F44" s="172"/>
      <c r="G44" s="172"/>
      <c r="H44" s="172"/>
      <c r="I44" s="173"/>
      <c r="J44" s="23"/>
      <c r="L44" s="19"/>
      <c r="M44" s="20"/>
      <c r="N44" s="21"/>
    </row>
    <row r="45" spans="1:14" ht="15.75" hidden="1" customHeight="1">
      <c r="A45" s="29"/>
      <c r="B45" s="62" t="s">
        <v>133</v>
      </c>
      <c r="C45" s="63" t="s">
        <v>110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4">SUM(F45*G45/1000)</f>
        <v>3.1090979980000002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36</v>
      </c>
      <c r="C46" s="63" t="s">
        <v>110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4"/>
        <v>0.12884767999999999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37</v>
      </c>
      <c r="C47" s="63" t="s">
        <v>110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4"/>
        <v>2.4739621804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38</v>
      </c>
      <c r="C48" s="63" t="s">
        <v>110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4"/>
        <v>3.4123004479999999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4"/>
        <v>0.20467249599999998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62" t="s">
        <v>58</v>
      </c>
      <c r="C50" s="63" t="s">
        <v>110</v>
      </c>
      <c r="D50" s="62" t="s">
        <v>143</v>
      </c>
      <c r="E50" s="48">
        <v>2872.4</v>
      </c>
      <c r="F50" s="64">
        <f>SUM(E50*5/1000)</f>
        <v>14.362</v>
      </c>
      <c r="G50" s="13">
        <v>1297.28</v>
      </c>
      <c r="H50" s="65">
        <f t="shared" si="4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22" ht="31.5" hidden="1" customHeight="1">
      <c r="A51" s="29"/>
      <c r="B51" s="62" t="s">
        <v>119</v>
      </c>
      <c r="C51" s="63" t="s">
        <v>110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4"/>
        <v>7.4526141440000009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62" t="s">
        <v>120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4"/>
        <v>2.3351120000000001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4"/>
        <v>0.1208424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15</v>
      </c>
      <c r="B54" s="62" t="s">
        <v>42</v>
      </c>
      <c r="C54" s="63" t="s">
        <v>30</v>
      </c>
      <c r="D54" s="62" t="s">
        <v>72</v>
      </c>
      <c r="E54" s="48">
        <v>160</v>
      </c>
      <c r="F54" s="64">
        <f>SUM(E54)*3</f>
        <v>480</v>
      </c>
      <c r="G54" s="13">
        <v>70.209999999999994</v>
      </c>
      <c r="H54" s="65">
        <f t="shared" si="4"/>
        <v>33.700799999999994</v>
      </c>
      <c r="I54" s="13">
        <f>E54*G54</f>
        <v>11233.599999999999</v>
      </c>
      <c r="J54" s="23"/>
      <c r="L54" s="19"/>
      <c r="M54" s="20"/>
      <c r="N54" s="21"/>
    </row>
    <row r="55" spans="1:22" ht="15.75" customHeight="1">
      <c r="A55" s="171" t="s">
        <v>146</v>
      </c>
      <c r="B55" s="172"/>
      <c r="C55" s="172"/>
      <c r="D55" s="172"/>
      <c r="E55" s="172"/>
      <c r="F55" s="172"/>
      <c r="G55" s="172"/>
      <c r="H55" s="172"/>
      <c r="I55" s="173"/>
      <c r="J55" s="23"/>
      <c r="L55" s="19"/>
      <c r="M55" s="20"/>
      <c r="N55" s="21"/>
    </row>
    <row r="56" spans="1:22" ht="15.75" customHeight="1">
      <c r="A56" s="29"/>
      <c r="B56" s="84" t="s">
        <v>44</v>
      </c>
      <c r="C56" s="63"/>
      <c r="D56" s="62"/>
      <c r="E56" s="48"/>
      <c r="F56" s="64"/>
      <c r="G56" s="64"/>
      <c r="H56" s="65"/>
      <c r="I56" s="13"/>
      <c r="J56" s="23"/>
      <c r="L56" s="19"/>
      <c r="M56" s="20"/>
      <c r="N56" s="21"/>
    </row>
    <row r="57" spans="1:22" ht="31.5" customHeight="1">
      <c r="A57" s="29">
        <v>13</v>
      </c>
      <c r="B57" s="62" t="s">
        <v>122</v>
      </c>
      <c r="C57" s="63" t="s">
        <v>103</v>
      </c>
      <c r="D57" s="62" t="s">
        <v>173</v>
      </c>
      <c r="E57" s="48">
        <v>239.59</v>
      </c>
      <c r="F57" s="64">
        <f>E57*6/100</f>
        <v>14.375399999999999</v>
      </c>
      <c r="G57" s="71">
        <v>1654.04</v>
      </c>
      <c r="H57" s="65">
        <f>F57*G57/1000</f>
        <v>23.777486615999997</v>
      </c>
      <c r="I57" s="13">
        <f>G57*4.51</f>
        <v>7459.7203999999992</v>
      </c>
      <c r="J57" s="23"/>
      <c r="L57" s="19"/>
      <c r="M57" s="20"/>
      <c r="N57" s="21"/>
    </row>
    <row r="58" spans="1:22" ht="18.75" customHeight="1">
      <c r="A58" s="29">
        <v>14</v>
      </c>
      <c r="B58" s="44" t="s">
        <v>88</v>
      </c>
      <c r="C58" s="16" t="s">
        <v>99</v>
      </c>
      <c r="D58" s="73" t="s">
        <v>253</v>
      </c>
      <c r="E58" s="74"/>
      <c r="F58" s="76"/>
      <c r="G58" s="109">
        <v>1501</v>
      </c>
      <c r="H58" s="78"/>
      <c r="I58" s="13">
        <f>G58*14.5</f>
        <v>21764.5</v>
      </c>
      <c r="J58" s="23"/>
      <c r="L58" s="19"/>
      <c r="M58" s="20"/>
      <c r="N58" s="21"/>
    </row>
    <row r="59" spans="1:22" ht="15.75" customHeight="1">
      <c r="A59" s="29"/>
      <c r="B59" s="85" t="s">
        <v>45</v>
      </c>
      <c r="C59" s="72"/>
      <c r="D59" s="73"/>
      <c r="E59" s="74"/>
      <c r="F59" s="76"/>
      <c r="G59" s="13"/>
      <c r="H59" s="78"/>
      <c r="I59" s="13"/>
      <c r="J59" s="23"/>
      <c r="L59" s="19"/>
      <c r="M59" s="20"/>
      <c r="N59" s="21"/>
    </row>
    <row r="60" spans="1:22" ht="15.75" hidden="1" customHeight="1">
      <c r="A60" s="29"/>
      <c r="B60" s="73" t="s">
        <v>46</v>
      </c>
      <c r="C60" s="72" t="s">
        <v>55</v>
      </c>
      <c r="D60" s="73" t="s">
        <v>56</v>
      </c>
      <c r="E60" s="74">
        <v>2686</v>
      </c>
      <c r="F60" s="76">
        <f>E60/100</f>
        <v>26.86</v>
      </c>
      <c r="G60" s="13">
        <v>848.37</v>
      </c>
      <c r="H60" s="78">
        <f>G60*F60/1000</f>
        <v>22.787218199999998</v>
      </c>
      <c r="I60" s="13">
        <v>0</v>
      </c>
      <c r="J60" s="23"/>
      <c r="L60" s="19"/>
    </row>
    <row r="61" spans="1:22" ht="15.75" customHeight="1">
      <c r="A61" s="29">
        <v>15</v>
      </c>
      <c r="B61" s="73" t="s">
        <v>96</v>
      </c>
      <c r="C61" s="72" t="s">
        <v>25</v>
      </c>
      <c r="D61" s="73" t="s">
        <v>216</v>
      </c>
      <c r="E61" s="74">
        <v>343</v>
      </c>
      <c r="F61" s="76">
        <v>4116</v>
      </c>
      <c r="G61" s="13">
        <v>1.4</v>
      </c>
      <c r="H61" s="78">
        <f>F61*G61</f>
        <v>5762.4</v>
      </c>
      <c r="I61" s="13">
        <f>F61/12*G61</f>
        <v>480.2</v>
      </c>
    </row>
    <row r="62" spans="1:22" ht="15.75" hidden="1" customHeight="1">
      <c r="A62" s="29"/>
      <c r="B62" s="85" t="s">
        <v>134</v>
      </c>
      <c r="C62" s="72"/>
      <c r="D62" s="73"/>
      <c r="E62" s="74"/>
      <c r="F62" s="76"/>
      <c r="G62" s="13"/>
      <c r="H62" s="78"/>
      <c r="I62" s="13"/>
    </row>
    <row r="63" spans="1:22" ht="15.75" hidden="1" customHeight="1">
      <c r="A63" s="29"/>
      <c r="B63" s="73" t="s">
        <v>135</v>
      </c>
      <c r="C63" s="72" t="s">
        <v>30</v>
      </c>
      <c r="D63" s="73" t="s">
        <v>68</v>
      </c>
      <c r="E63" s="74">
        <v>3</v>
      </c>
      <c r="F63" s="75">
        <v>3</v>
      </c>
      <c r="G63" s="77">
        <v>254.16</v>
      </c>
      <c r="H63" s="76">
        <v>0.76200000000000001</v>
      </c>
      <c r="I63" s="13">
        <v>0</v>
      </c>
    </row>
    <row r="64" spans="1:22" ht="15.75" customHeight="1">
      <c r="A64" s="29"/>
      <c r="B64" s="85" t="s">
        <v>47</v>
      </c>
      <c r="C64" s="72"/>
      <c r="D64" s="73"/>
      <c r="E64" s="74"/>
      <c r="F64" s="75"/>
      <c r="G64" s="75"/>
      <c r="H64" s="76" t="s">
        <v>129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4.25" customHeight="1">
      <c r="A65" s="29">
        <v>16</v>
      </c>
      <c r="B65" s="14" t="s">
        <v>48</v>
      </c>
      <c r="C65" s="16" t="s">
        <v>121</v>
      </c>
      <c r="D65" s="73" t="s">
        <v>239</v>
      </c>
      <c r="E65" s="18">
        <v>15</v>
      </c>
      <c r="F65" s="64">
        <v>15</v>
      </c>
      <c r="G65" s="13">
        <v>237.74</v>
      </c>
      <c r="H65" s="79">
        <f t="shared" ref="H65:H78" si="5">SUM(F65*G65/1000)</f>
        <v>3.5661000000000005</v>
      </c>
      <c r="I65" s="13">
        <f>G65*2</f>
        <v>475.48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1" hidden="1" customHeight="1">
      <c r="A66" s="29"/>
      <c r="B66" s="14" t="s">
        <v>49</v>
      </c>
      <c r="C66" s="16" t="s">
        <v>121</v>
      </c>
      <c r="D66" s="73" t="s">
        <v>68</v>
      </c>
      <c r="E66" s="18">
        <v>5</v>
      </c>
      <c r="F66" s="64">
        <v>5</v>
      </c>
      <c r="G66" s="13">
        <v>81.510000000000005</v>
      </c>
      <c r="H66" s="79">
        <f t="shared" si="5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22.5" hidden="1" customHeight="1">
      <c r="A67" s="29"/>
      <c r="B67" s="14" t="s">
        <v>50</v>
      </c>
      <c r="C67" s="16" t="s">
        <v>123</v>
      </c>
      <c r="D67" s="14" t="s">
        <v>56</v>
      </c>
      <c r="E67" s="48">
        <v>24123</v>
      </c>
      <c r="F67" s="13">
        <f>SUM(E67/100)</f>
        <v>241.23</v>
      </c>
      <c r="G67" s="13">
        <v>226.79</v>
      </c>
      <c r="H67" s="79">
        <f t="shared" si="5"/>
        <v>54.708551699999994</v>
      </c>
      <c r="I67" s="13">
        <f>F67*G67</f>
        <v>54708.551699999996</v>
      </c>
      <c r="J67" s="5"/>
      <c r="K67" s="5"/>
      <c r="L67" s="5"/>
      <c r="M67" s="5"/>
      <c r="N67" s="5"/>
      <c r="O67" s="5"/>
      <c r="P67" s="5"/>
      <c r="Q67" s="5"/>
      <c r="R67" s="159"/>
      <c r="S67" s="159"/>
      <c r="T67" s="159"/>
      <c r="U67" s="159"/>
    </row>
    <row r="68" spans="1:21" ht="24" hidden="1" customHeight="1">
      <c r="A68" s="29"/>
      <c r="B68" s="14" t="s">
        <v>51</v>
      </c>
      <c r="C68" s="16" t="s">
        <v>124</v>
      </c>
      <c r="D68" s="14"/>
      <c r="E68" s="48">
        <v>24123</v>
      </c>
      <c r="F68" s="13">
        <f>SUM(E68/1000)</f>
        <v>24.123000000000001</v>
      </c>
      <c r="G68" s="13">
        <v>176.61</v>
      </c>
      <c r="H68" s="79">
        <f t="shared" si="5"/>
        <v>4.2603630300000006</v>
      </c>
      <c r="I68" s="13">
        <f t="shared" ref="I68:I72" si="6">F68*G68</f>
        <v>4260.3630300000004</v>
      </c>
    </row>
    <row r="69" spans="1:21" ht="24" hidden="1" customHeight="1">
      <c r="A69" s="29"/>
      <c r="B69" s="14" t="s">
        <v>52</v>
      </c>
      <c r="C69" s="16" t="s">
        <v>78</v>
      </c>
      <c r="D69" s="14" t="s">
        <v>56</v>
      </c>
      <c r="E69" s="48">
        <v>2730</v>
      </c>
      <c r="F69" s="13">
        <f>SUM(E69/100)</f>
        <v>27.3</v>
      </c>
      <c r="G69" s="13">
        <v>2217.7800000000002</v>
      </c>
      <c r="H69" s="79">
        <f t="shared" si="5"/>
        <v>60.545394000000009</v>
      </c>
      <c r="I69" s="13">
        <f t="shared" si="6"/>
        <v>60545.394000000008</v>
      </c>
    </row>
    <row r="70" spans="1:21" ht="26.25" hidden="1" customHeight="1">
      <c r="A70" s="29"/>
      <c r="B70" s="80" t="s">
        <v>125</v>
      </c>
      <c r="C70" s="16" t="s">
        <v>33</v>
      </c>
      <c r="D70" s="14"/>
      <c r="E70" s="48">
        <v>23</v>
      </c>
      <c r="F70" s="13">
        <f>SUM(E70)</f>
        <v>23</v>
      </c>
      <c r="G70" s="13">
        <v>42.67</v>
      </c>
      <c r="H70" s="79">
        <f t="shared" si="5"/>
        <v>0.98141000000000012</v>
      </c>
      <c r="I70" s="13">
        <f t="shared" si="6"/>
        <v>981.41000000000008</v>
      </c>
    </row>
    <row r="71" spans="1:21" ht="27" hidden="1" customHeight="1">
      <c r="A71" s="29"/>
      <c r="B71" s="80" t="s">
        <v>126</v>
      </c>
      <c r="C71" s="16" t="s">
        <v>33</v>
      </c>
      <c r="D71" s="14"/>
      <c r="E71" s="48">
        <v>23</v>
      </c>
      <c r="F71" s="13">
        <f>SUM(E71)</f>
        <v>23</v>
      </c>
      <c r="G71" s="13">
        <v>39.81</v>
      </c>
      <c r="H71" s="79">
        <f t="shared" si="5"/>
        <v>0.91563000000000005</v>
      </c>
      <c r="I71" s="13">
        <f t="shared" si="6"/>
        <v>915.63000000000011</v>
      </c>
    </row>
    <row r="72" spans="1:21" ht="23.25" hidden="1" customHeight="1">
      <c r="A72" s="29"/>
      <c r="B72" s="14" t="s">
        <v>59</v>
      </c>
      <c r="C72" s="16" t="s">
        <v>60</v>
      </c>
      <c r="D72" s="14" t="s">
        <v>56</v>
      </c>
      <c r="E72" s="18">
        <v>10</v>
      </c>
      <c r="F72" s="64">
        <f>SUM(E72)</f>
        <v>10</v>
      </c>
      <c r="G72" s="13">
        <v>53.32</v>
      </c>
      <c r="H72" s="79">
        <f t="shared" si="5"/>
        <v>0.53320000000000001</v>
      </c>
      <c r="I72" s="13">
        <f t="shared" si="6"/>
        <v>533.20000000000005</v>
      </c>
    </row>
    <row r="73" spans="1:21" ht="26.25" hidden="1" customHeight="1">
      <c r="A73" s="29"/>
      <c r="B73" s="54" t="s">
        <v>74</v>
      </c>
      <c r="C73" s="16"/>
      <c r="D73" s="14"/>
      <c r="E73" s="18"/>
      <c r="F73" s="13"/>
      <c r="G73" s="13"/>
      <c r="H73" s="79" t="s">
        <v>129</v>
      </c>
      <c r="I73" s="13"/>
    </row>
    <row r="74" spans="1:21" ht="27" hidden="1" customHeight="1">
      <c r="A74" s="29"/>
      <c r="B74" s="14" t="s">
        <v>75</v>
      </c>
      <c r="C74" s="16" t="s">
        <v>31</v>
      </c>
      <c r="D74" s="14"/>
      <c r="E74" s="18">
        <v>2</v>
      </c>
      <c r="F74" s="56">
        <v>0.2</v>
      </c>
      <c r="G74" s="13">
        <v>536.23</v>
      </c>
      <c r="H74" s="79">
        <v>0.251</v>
      </c>
      <c r="I74" s="13">
        <v>0</v>
      </c>
    </row>
    <row r="75" spans="1:21" ht="27" hidden="1" customHeight="1">
      <c r="A75" s="29"/>
      <c r="B75" s="14" t="s">
        <v>89</v>
      </c>
      <c r="C75" s="16" t="s">
        <v>30</v>
      </c>
      <c r="D75" s="14"/>
      <c r="E75" s="18">
        <v>1</v>
      </c>
      <c r="F75" s="64">
        <f>SUM(E75)</f>
        <v>1</v>
      </c>
      <c r="G75" s="13">
        <v>383.25</v>
      </c>
      <c r="H75" s="79">
        <f t="shared" si="5"/>
        <v>0.38324999999999998</v>
      </c>
      <c r="I75" s="13">
        <v>0</v>
      </c>
    </row>
    <row r="76" spans="1:21" ht="27.75" hidden="1" customHeight="1">
      <c r="A76" s="29"/>
      <c r="B76" s="14" t="s">
        <v>76</v>
      </c>
      <c r="C76" s="16" t="s">
        <v>30</v>
      </c>
      <c r="D76" s="14"/>
      <c r="E76" s="18">
        <v>2</v>
      </c>
      <c r="F76" s="13">
        <v>2</v>
      </c>
      <c r="G76" s="13">
        <v>911.85</v>
      </c>
      <c r="H76" s="79">
        <f>F76*G76/1000</f>
        <v>1.8237000000000001</v>
      </c>
      <c r="I76" s="13">
        <v>0</v>
      </c>
    </row>
    <row r="77" spans="1:21" ht="23.25" hidden="1" customHeight="1">
      <c r="A77" s="29"/>
      <c r="B77" s="81" t="s">
        <v>77</v>
      </c>
      <c r="C77" s="16"/>
      <c r="D77" s="14"/>
      <c r="E77" s="18"/>
      <c r="F77" s="13"/>
      <c r="G77" s="13" t="s">
        <v>129</v>
      </c>
      <c r="H77" s="79" t="s">
        <v>129</v>
      </c>
      <c r="I77" s="13"/>
    </row>
    <row r="78" spans="1:21" ht="21" hidden="1" customHeight="1">
      <c r="A78" s="29"/>
      <c r="B78" s="44" t="s">
        <v>130</v>
      </c>
      <c r="C78" s="16" t="s">
        <v>78</v>
      </c>
      <c r="D78" s="14"/>
      <c r="E78" s="18"/>
      <c r="F78" s="13">
        <v>1.35</v>
      </c>
      <c r="G78" s="13">
        <v>2949.85</v>
      </c>
      <c r="H78" s="79">
        <f t="shared" si="5"/>
        <v>3.9822975</v>
      </c>
      <c r="I78" s="13">
        <v>0</v>
      </c>
    </row>
    <row r="79" spans="1:21" ht="18" hidden="1" customHeight="1">
      <c r="A79" s="29"/>
      <c r="B79" s="67" t="s">
        <v>127</v>
      </c>
      <c r="C79" s="81"/>
      <c r="D79" s="31"/>
      <c r="E79" s="32"/>
      <c r="F79" s="68"/>
      <c r="G79" s="68"/>
      <c r="H79" s="82">
        <f>SUM(H57:H78)</f>
        <v>5942.0851510459988</v>
      </c>
      <c r="I79" s="68"/>
    </row>
    <row r="80" spans="1:21" ht="17.25" hidden="1" customHeight="1">
      <c r="A80" s="29"/>
      <c r="B80" s="62" t="s">
        <v>128</v>
      </c>
      <c r="C80" s="16"/>
      <c r="D80" s="14"/>
      <c r="E80" s="57"/>
      <c r="F80" s="13">
        <v>1</v>
      </c>
      <c r="G80" s="13">
        <v>19342.2</v>
      </c>
      <c r="H80" s="79">
        <f>G80*F80/1000</f>
        <v>19.342200000000002</v>
      </c>
      <c r="I80" s="13">
        <v>0</v>
      </c>
    </row>
    <row r="81" spans="1:9" ht="15.75" customHeight="1">
      <c r="A81" s="160" t="s">
        <v>147</v>
      </c>
      <c r="B81" s="161"/>
      <c r="C81" s="161"/>
      <c r="D81" s="161"/>
      <c r="E81" s="161"/>
      <c r="F81" s="161"/>
      <c r="G81" s="161"/>
      <c r="H81" s="161"/>
      <c r="I81" s="162"/>
    </row>
    <row r="82" spans="1:9" ht="15.75" customHeight="1">
      <c r="A82" s="29">
        <v>17</v>
      </c>
      <c r="B82" s="62" t="s">
        <v>131</v>
      </c>
      <c r="C82" s="16" t="s">
        <v>57</v>
      </c>
      <c r="D82" s="83"/>
      <c r="E82" s="13">
        <v>4591.2</v>
      </c>
      <c r="F82" s="13">
        <f>SUM(E82*12)</f>
        <v>55094.399999999994</v>
      </c>
      <c r="G82" s="13">
        <v>2.54</v>
      </c>
      <c r="H82" s="79">
        <f>SUM(F82*G82/1000)</f>
        <v>139.93977599999999</v>
      </c>
      <c r="I82" s="13">
        <f>F82/12*G82</f>
        <v>11661.647999999999</v>
      </c>
    </row>
    <row r="83" spans="1:9" ht="31.5" customHeight="1">
      <c r="A83" s="29">
        <v>18</v>
      </c>
      <c r="B83" s="14" t="s">
        <v>79</v>
      </c>
      <c r="C83" s="16"/>
      <c r="D83" s="83"/>
      <c r="E83" s="48">
        <f>E82</f>
        <v>4591.2</v>
      </c>
      <c r="F83" s="13">
        <f>E83*12</f>
        <v>55094.399999999994</v>
      </c>
      <c r="G83" s="13">
        <v>2.0499999999999998</v>
      </c>
      <c r="H83" s="79">
        <f>F83*G83/1000</f>
        <v>112.94351999999998</v>
      </c>
      <c r="I83" s="13">
        <f>F83/12*G83</f>
        <v>9411.9599999999991</v>
      </c>
    </row>
    <row r="84" spans="1:9" ht="15.75" customHeight="1">
      <c r="A84" s="45"/>
      <c r="B84" s="36" t="s">
        <v>81</v>
      </c>
      <c r="C84" s="37"/>
      <c r="D84" s="15"/>
      <c r="E84" s="15"/>
      <c r="F84" s="15"/>
      <c r="G84" s="18"/>
      <c r="H84" s="18"/>
      <c r="I84" s="32">
        <f>I83+I82+I65+I61+I58+I57+I43+I42+I41+I40+I38+I37+I26+I21+I20+I18+I17+I16</f>
        <v>83912.765249583317</v>
      </c>
    </row>
    <row r="85" spans="1:9" ht="15.75" customHeight="1">
      <c r="A85" s="178" t="s">
        <v>62</v>
      </c>
      <c r="B85" s="179"/>
      <c r="C85" s="179"/>
      <c r="D85" s="179"/>
      <c r="E85" s="179"/>
      <c r="F85" s="179"/>
      <c r="G85" s="179"/>
      <c r="H85" s="179"/>
      <c r="I85" s="180"/>
    </row>
    <row r="86" spans="1:9" ht="32.25" customHeight="1">
      <c r="A86" s="29">
        <v>19</v>
      </c>
      <c r="B86" s="93" t="s">
        <v>175</v>
      </c>
      <c r="C86" s="94" t="s">
        <v>29</v>
      </c>
      <c r="D86" s="44"/>
      <c r="E86" s="13"/>
      <c r="F86" s="13">
        <v>2</v>
      </c>
      <c r="G86" s="34">
        <v>19757.060000000001</v>
      </c>
      <c r="H86" s="79">
        <f t="shared" ref="H86:H91" si="7">G86*F86/1000</f>
        <v>39.514120000000005</v>
      </c>
      <c r="I86" s="106">
        <f>G86*0.599*12/1000+0.002*G86</f>
        <v>181.52786728000001</v>
      </c>
    </row>
    <row r="87" spans="1:9" ht="18.75" customHeight="1">
      <c r="A87" s="29">
        <v>20</v>
      </c>
      <c r="B87" s="93" t="s">
        <v>161</v>
      </c>
      <c r="C87" s="94" t="s">
        <v>169</v>
      </c>
      <c r="D87" s="44"/>
      <c r="E87" s="34"/>
      <c r="F87" s="34">
        <v>1</v>
      </c>
      <c r="G87" s="34">
        <v>273</v>
      </c>
      <c r="H87" s="95">
        <f t="shared" si="7"/>
        <v>0.27300000000000002</v>
      </c>
      <c r="I87" s="13">
        <f>G87*4</f>
        <v>1092</v>
      </c>
    </row>
    <row r="88" spans="1:9" ht="16.5" customHeight="1">
      <c r="A88" s="29">
        <v>21</v>
      </c>
      <c r="B88" s="93" t="s">
        <v>189</v>
      </c>
      <c r="C88" s="94" t="s">
        <v>29</v>
      </c>
      <c r="D88" s="44"/>
      <c r="E88" s="34"/>
      <c r="F88" s="34">
        <v>1</v>
      </c>
      <c r="G88" s="34">
        <v>1160.81</v>
      </c>
      <c r="H88" s="95">
        <f t="shared" si="7"/>
        <v>1.1608099999999999</v>
      </c>
      <c r="I88" s="13">
        <f>G88*0.129</f>
        <v>149.74448999999998</v>
      </c>
    </row>
    <row r="89" spans="1:9" ht="18.75" customHeight="1">
      <c r="A89" s="29">
        <v>22</v>
      </c>
      <c r="B89" s="93" t="s">
        <v>192</v>
      </c>
      <c r="C89" s="94" t="s">
        <v>92</v>
      </c>
      <c r="D89" s="44"/>
      <c r="E89" s="34"/>
      <c r="F89" s="34">
        <v>1</v>
      </c>
      <c r="G89" s="34">
        <v>2967.2</v>
      </c>
      <c r="H89" s="95">
        <f t="shared" si="7"/>
        <v>2.9671999999999996</v>
      </c>
      <c r="I89" s="13">
        <f>G89*1</f>
        <v>2967.2</v>
      </c>
    </row>
    <row r="90" spans="1:9" ht="31.5" customHeight="1">
      <c r="A90" s="29">
        <v>23</v>
      </c>
      <c r="B90" s="93" t="s">
        <v>190</v>
      </c>
      <c r="C90" s="94" t="s">
        <v>92</v>
      </c>
      <c r="D90" s="44"/>
      <c r="E90" s="34"/>
      <c r="F90" s="34">
        <v>1</v>
      </c>
      <c r="G90" s="34">
        <v>561.86</v>
      </c>
      <c r="H90" s="95">
        <f t="shared" si="7"/>
        <v>0.56186000000000003</v>
      </c>
      <c r="I90" s="13">
        <f>G90*6</f>
        <v>3371.16</v>
      </c>
    </row>
    <row r="91" spans="1:9" ht="15.75" customHeight="1">
      <c r="A91" s="29">
        <v>24</v>
      </c>
      <c r="B91" s="93" t="s">
        <v>83</v>
      </c>
      <c r="C91" s="94" t="s">
        <v>121</v>
      </c>
      <c r="D91" s="98"/>
      <c r="E91" s="17"/>
      <c r="F91" s="34">
        <v>45</v>
      </c>
      <c r="G91" s="34">
        <v>207.55</v>
      </c>
      <c r="H91" s="95">
        <f t="shared" si="7"/>
        <v>9.3397500000000004</v>
      </c>
      <c r="I91" s="13">
        <f>G91*2</f>
        <v>415.1</v>
      </c>
    </row>
    <row r="92" spans="1:9" ht="28.5" customHeight="1">
      <c r="A92" s="29">
        <v>25</v>
      </c>
      <c r="B92" s="99" t="s">
        <v>193</v>
      </c>
      <c r="C92" s="37" t="s">
        <v>194</v>
      </c>
      <c r="D92" s="98"/>
      <c r="E92" s="17"/>
      <c r="F92" s="34"/>
      <c r="G92" s="117">
        <v>441.25</v>
      </c>
      <c r="H92" s="95"/>
      <c r="I92" s="13">
        <f>G92*1</f>
        <v>441.25</v>
      </c>
    </row>
    <row r="93" spans="1:9" ht="34.5" customHeight="1">
      <c r="A93" s="29">
        <v>26</v>
      </c>
      <c r="B93" s="99" t="s">
        <v>195</v>
      </c>
      <c r="C93" s="37" t="s">
        <v>194</v>
      </c>
      <c r="D93" s="98"/>
      <c r="E93" s="17"/>
      <c r="F93" s="34"/>
      <c r="G93" s="117">
        <v>2114.96</v>
      </c>
      <c r="H93" s="95"/>
      <c r="I93" s="13">
        <f>G93*1</f>
        <v>2114.96</v>
      </c>
    </row>
    <row r="94" spans="1:9" ht="18" customHeight="1">
      <c r="A94" s="29">
        <v>27</v>
      </c>
      <c r="B94" s="93" t="s">
        <v>196</v>
      </c>
      <c r="C94" s="94" t="s">
        <v>121</v>
      </c>
      <c r="D94" s="98"/>
      <c r="E94" s="17"/>
      <c r="F94" s="34"/>
      <c r="G94" s="34">
        <v>794.28</v>
      </c>
      <c r="H94" s="95"/>
      <c r="I94" s="13">
        <f>G94*3</f>
        <v>2382.84</v>
      </c>
    </row>
    <row r="95" spans="1:9" ht="18" customHeight="1">
      <c r="A95" s="29">
        <v>28</v>
      </c>
      <c r="B95" s="93" t="s">
        <v>197</v>
      </c>
      <c r="C95" s="94" t="s">
        <v>121</v>
      </c>
      <c r="D95" s="98"/>
      <c r="E95" s="17"/>
      <c r="F95" s="34"/>
      <c r="G95" s="34">
        <v>63</v>
      </c>
      <c r="H95" s="95"/>
      <c r="I95" s="13">
        <f>G95*1</f>
        <v>63</v>
      </c>
    </row>
    <row r="96" spans="1:9" ht="18" customHeight="1">
      <c r="A96" s="29">
        <v>29</v>
      </c>
      <c r="B96" s="93" t="s">
        <v>198</v>
      </c>
      <c r="C96" s="94" t="s">
        <v>121</v>
      </c>
      <c r="D96" s="98"/>
      <c r="E96" s="17"/>
      <c r="F96" s="34"/>
      <c r="G96" s="34">
        <v>86</v>
      </c>
      <c r="H96" s="95"/>
      <c r="I96" s="13">
        <f>G96*2</f>
        <v>172</v>
      </c>
    </row>
    <row r="97" spans="1:9" ht="18" customHeight="1">
      <c r="A97" s="29">
        <v>30</v>
      </c>
      <c r="B97" s="93" t="s">
        <v>199</v>
      </c>
      <c r="C97" s="94" t="s">
        <v>121</v>
      </c>
      <c r="D97" s="98"/>
      <c r="E97" s="17"/>
      <c r="F97" s="34"/>
      <c r="G97" s="34">
        <v>22</v>
      </c>
      <c r="H97" s="95"/>
      <c r="I97" s="13">
        <f>G97*2</f>
        <v>44</v>
      </c>
    </row>
    <row r="98" spans="1:9" ht="18" customHeight="1">
      <c r="A98" s="29">
        <v>31</v>
      </c>
      <c r="B98" s="93" t="s">
        <v>200</v>
      </c>
      <c r="C98" s="94" t="s">
        <v>121</v>
      </c>
      <c r="D98" s="98"/>
      <c r="E98" s="17"/>
      <c r="F98" s="34"/>
      <c r="G98" s="34">
        <v>38</v>
      </c>
      <c r="H98" s="95"/>
      <c r="I98" s="13">
        <f>G98*1</f>
        <v>38</v>
      </c>
    </row>
    <row r="99" spans="1:9" ht="18" customHeight="1">
      <c r="A99" s="29">
        <v>32</v>
      </c>
      <c r="B99" s="93" t="s">
        <v>201</v>
      </c>
      <c r="C99" s="94" t="s">
        <v>121</v>
      </c>
      <c r="D99" s="98"/>
      <c r="E99" s="17"/>
      <c r="F99" s="34"/>
      <c r="G99" s="34">
        <v>39</v>
      </c>
      <c r="H99" s="95"/>
      <c r="I99" s="13">
        <f>G99*1</f>
        <v>39</v>
      </c>
    </row>
    <row r="100" spans="1:9" ht="18" customHeight="1">
      <c r="A100" s="29">
        <v>33</v>
      </c>
      <c r="B100" s="93" t="s">
        <v>202</v>
      </c>
      <c r="C100" s="94" t="s">
        <v>121</v>
      </c>
      <c r="D100" s="98"/>
      <c r="E100" s="17"/>
      <c r="F100" s="34"/>
      <c r="G100" s="34">
        <v>49</v>
      </c>
      <c r="H100" s="95"/>
      <c r="I100" s="13">
        <f>G100*3</f>
        <v>147</v>
      </c>
    </row>
    <row r="101" spans="1:9" ht="18" customHeight="1">
      <c r="A101" s="29">
        <v>34</v>
      </c>
      <c r="B101" s="93" t="s">
        <v>174</v>
      </c>
      <c r="C101" s="94" t="s">
        <v>121</v>
      </c>
      <c r="D101" s="29"/>
      <c r="E101" s="18"/>
      <c r="F101" s="13"/>
      <c r="G101" s="34">
        <v>58.39</v>
      </c>
      <c r="H101" s="79"/>
      <c r="I101" s="13">
        <f>G101*1</f>
        <v>58.39</v>
      </c>
    </row>
    <row r="102" spans="1:9" ht="15.75" customHeight="1">
      <c r="A102" s="29"/>
      <c r="B102" s="42" t="s">
        <v>53</v>
      </c>
      <c r="C102" s="38"/>
      <c r="D102" s="46"/>
      <c r="E102" s="38">
        <v>1</v>
      </c>
      <c r="F102" s="38"/>
      <c r="G102" s="38"/>
      <c r="H102" s="38"/>
      <c r="I102" s="32">
        <f>SUM(I86:I101)</f>
        <v>13677.17235728</v>
      </c>
    </row>
    <row r="103" spans="1:9" ht="15.75" customHeight="1">
      <c r="A103" s="29"/>
      <c r="B103" s="44" t="s">
        <v>80</v>
      </c>
      <c r="C103" s="15"/>
      <c r="D103" s="15"/>
      <c r="E103" s="39"/>
      <c r="F103" s="39"/>
      <c r="G103" s="40"/>
      <c r="H103" s="40"/>
      <c r="I103" s="17">
        <v>0</v>
      </c>
    </row>
    <row r="104" spans="1:9" ht="15.75" customHeight="1">
      <c r="A104" s="47"/>
      <c r="B104" s="43" t="s">
        <v>155</v>
      </c>
      <c r="C104" s="33"/>
      <c r="D104" s="33"/>
      <c r="E104" s="33"/>
      <c r="F104" s="33"/>
      <c r="G104" s="33"/>
      <c r="H104" s="33"/>
      <c r="I104" s="41">
        <f>I84+I102</f>
        <v>97589.937606863314</v>
      </c>
    </row>
    <row r="105" spans="1:9" ht="15.75" customHeight="1">
      <c r="A105" s="174" t="s">
        <v>254</v>
      </c>
      <c r="B105" s="174"/>
      <c r="C105" s="174"/>
      <c r="D105" s="174"/>
      <c r="E105" s="174"/>
      <c r="F105" s="174"/>
      <c r="G105" s="174"/>
      <c r="H105" s="174"/>
      <c r="I105" s="174"/>
    </row>
    <row r="106" spans="1:9" ht="15.75" customHeight="1">
      <c r="A106" s="55"/>
      <c r="B106" s="175" t="s">
        <v>255</v>
      </c>
      <c r="C106" s="175"/>
      <c r="D106" s="175"/>
      <c r="E106" s="175"/>
      <c r="F106" s="175"/>
      <c r="G106" s="175"/>
      <c r="H106" s="61"/>
      <c r="I106" s="3"/>
    </row>
    <row r="107" spans="1:9" ht="15.75" customHeight="1">
      <c r="A107" s="49"/>
      <c r="B107" s="176" t="s">
        <v>6</v>
      </c>
      <c r="C107" s="176"/>
      <c r="D107" s="176"/>
      <c r="E107" s="176"/>
      <c r="F107" s="176"/>
      <c r="G107" s="176"/>
      <c r="H107" s="24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177" t="s">
        <v>7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.75" customHeight="1">
      <c r="A110" s="177" t="s">
        <v>8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.75" customHeight="1">
      <c r="A111" s="169" t="s">
        <v>63</v>
      </c>
      <c r="B111" s="169"/>
      <c r="C111" s="169"/>
      <c r="D111" s="169"/>
      <c r="E111" s="169"/>
      <c r="F111" s="169"/>
      <c r="G111" s="169"/>
      <c r="H111" s="169"/>
      <c r="I111" s="169"/>
    </row>
    <row r="112" spans="1:9" ht="15.75" customHeight="1">
      <c r="A112" s="11"/>
    </row>
    <row r="113" spans="1:9" ht="15.75" customHeight="1">
      <c r="A113" s="182" t="s">
        <v>9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15.75" customHeight="1">
      <c r="A114" s="4"/>
    </row>
    <row r="115" spans="1:9" ht="15.75" customHeight="1">
      <c r="B115" s="52" t="s">
        <v>10</v>
      </c>
      <c r="C115" s="183" t="s">
        <v>90</v>
      </c>
      <c r="D115" s="183"/>
      <c r="E115" s="183"/>
      <c r="F115" s="59"/>
      <c r="I115" s="51"/>
    </row>
    <row r="116" spans="1:9" ht="15.75" customHeight="1">
      <c r="A116" s="49"/>
      <c r="C116" s="176" t="s">
        <v>11</v>
      </c>
      <c r="D116" s="176"/>
      <c r="E116" s="176"/>
      <c r="F116" s="24"/>
      <c r="I116" s="50" t="s">
        <v>12</v>
      </c>
    </row>
    <row r="117" spans="1:9" ht="15.75" customHeight="1">
      <c r="A117" s="25"/>
      <c r="C117" s="12"/>
      <c r="D117" s="12"/>
      <c r="G117" s="12"/>
      <c r="H117" s="12"/>
    </row>
    <row r="118" spans="1:9" ht="15.75" customHeight="1">
      <c r="B118" s="52" t="s">
        <v>13</v>
      </c>
      <c r="C118" s="184"/>
      <c r="D118" s="184"/>
      <c r="E118" s="184"/>
      <c r="F118" s="60"/>
      <c r="I118" s="51"/>
    </row>
    <row r="119" spans="1:9" ht="15.75" customHeight="1">
      <c r="A119" s="49"/>
      <c r="C119" s="159" t="s">
        <v>11</v>
      </c>
      <c r="D119" s="159"/>
      <c r="E119" s="159"/>
      <c r="F119" s="49"/>
      <c r="I119" s="50" t="s">
        <v>12</v>
      </c>
    </row>
    <row r="120" spans="1:9" ht="15.75" customHeight="1">
      <c r="A120" s="4" t="s">
        <v>14</v>
      </c>
    </row>
    <row r="121" spans="1:9" ht="15.75" customHeight="1">
      <c r="A121" s="185" t="s">
        <v>15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45" customHeight="1">
      <c r="A122" s="181" t="s">
        <v>16</v>
      </c>
      <c r="B122" s="181"/>
      <c r="C122" s="181"/>
      <c r="D122" s="181"/>
      <c r="E122" s="181"/>
      <c r="F122" s="181"/>
      <c r="G122" s="181"/>
      <c r="H122" s="181"/>
      <c r="I122" s="181"/>
    </row>
    <row r="123" spans="1:9" ht="30" customHeight="1">
      <c r="A123" s="181" t="s">
        <v>17</v>
      </c>
      <c r="B123" s="181"/>
      <c r="C123" s="181"/>
      <c r="D123" s="181"/>
      <c r="E123" s="181"/>
      <c r="F123" s="181"/>
      <c r="G123" s="181"/>
      <c r="H123" s="181"/>
      <c r="I123" s="181"/>
    </row>
    <row r="124" spans="1:9" ht="30" customHeight="1">
      <c r="A124" s="181" t="s">
        <v>21</v>
      </c>
      <c r="B124" s="181"/>
      <c r="C124" s="181"/>
      <c r="D124" s="181"/>
      <c r="E124" s="181"/>
      <c r="F124" s="181"/>
      <c r="G124" s="181"/>
      <c r="H124" s="181"/>
      <c r="I124" s="181"/>
    </row>
    <row r="125" spans="1:9" ht="15" customHeight="1">
      <c r="A125" s="181" t="s">
        <v>20</v>
      </c>
      <c r="B125" s="181"/>
      <c r="C125" s="181"/>
      <c r="D125" s="181"/>
      <c r="E125" s="181"/>
      <c r="F125" s="181"/>
      <c r="G125" s="181"/>
      <c r="H125" s="181"/>
      <c r="I125" s="181"/>
    </row>
  </sheetData>
  <autoFilter ref="I12:I62"/>
  <mergeCells count="29"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  <mergeCell ref="A111:I111"/>
    <mergeCell ref="A15:I15"/>
    <mergeCell ref="A27:I27"/>
    <mergeCell ref="A44:I44"/>
    <mergeCell ref="A55:I55"/>
    <mergeCell ref="A105:I105"/>
    <mergeCell ref="B106:G106"/>
    <mergeCell ref="B107:G107"/>
    <mergeCell ref="A109:I109"/>
    <mergeCell ref="A110:I110"/>
    <mergeCell ref="A85:I85"/>
    <mergeCell ref="R67:U67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30"/>
  <sheetViews>
    <sheetView topLeftCell="A14" workbookViewId="0">
      <selection activeCell="B16" sqref="B16:I2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148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203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43585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25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si="0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hidden="1" customHeight="1">
      <c r="A21" s="29">
        <v>5</v>
      </c>
      <c r="B21" s="62" t="s">
        <v>98</v>
      </c>
      <c r="C21" s="63" t="s">
        <v>103</v>
      </c>
      <c r="D21" s="62" t="s">
        <v>240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5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hidden="1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109</v>
      </c>
      <c r="C29" s="63" t="s">
        <v>110</v>
      </c>
      <c r="D29" s="62" t="s">
        <v>111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142</v>
      </c>
      <c r="C30" s="63" t="s">
        <v>110</v>
      </c>
      <c r="D30" s="62" t="s">
        <v>112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140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113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4" t="s">
        <v>5</v>
      </c>
      <c r="C36" s="63"/>
      <c r="D36" s="62"/>
      <c r="E36" s="48"/>
      <c r="F36" s="64"/>
      <c r="G36" s="64"/>
      <c r="H36" s="65" t="s">
        <v>129</v>
      </c>
      <c r="I36" s="13"/>
      <c r="J36" s="23"/>
    </row>
    <row r="37" spans="1:14" ht="15.75" customHeight="1">
      <c r="A37" s="29">
        <v>6</v>
      </c>
      <c r="B37" s="62" t="s">
        <v>26</v>
      </c>
      <c r="C37" s="63" t="s">
        <v>32</v>
      </c>
      <c r="D37" s="62"/>
      <c r="E37" s="48"/>
      <c r="F37" s="64">
        <v>10</v>
      </c>
      <c r="G37" s="64">
        <v>1632.6</v>
      </c>
      <c r="H37" s="65">
        <f t="shared" ref="H37:H43" si="3">SUM(F37*G37/1000)</f>
        <v>16.326000000000001</v>
      </c>
      <c r="I37" s="13">
        <f>G37*1.2</f>
        <v>1959.12</v>
      </c>
      <c r="J37" s="23"/>
    </row>
    <row r="38" spans="1:14" ht="15.75" customHeight="1">
      <c r="A38" s="29">
        <v>7</v>
      </c>
      <c r="B38" s="62" t="s">
        <v>141</v>
      </c>
      <c r="C38" s="63" t="s">
        <v>29</v>
      </c>
      <c r="D38" s="62" t="s">
        <v>242</v>
      </c>
      <c r="E38" s="64">
        <v>254.8</v>
      </c>
      <c r="F38" s="64">
        <f>SUM(E38*30/1000)</f>
        <v>7.6440000000000001</v>
      </c>
      <c r="G38" s="64">
        <v>2247.8000000000002</v>
      </c>
      <c r="H38" s="65">
        <f t="shared" si="3"/>
        <v>17.182183200000004</v>
      </c>
      <c r="I38" s="13">
        <f>F38/6*G38</f>
        <v>2863.6972000000001</v>
      </c>
      <c r="J38" s="23"/>
      <c r="L38" s="19"/>
      <c r="M38" s="20"/>
      <c r="N38" s="21"/>
    </row>
    <row r="39" spans="1:14" ht="15.75" hidden="1" customHeight="1">
      <c r="A39" s="29"/>
      <c r="B39" s="62" t="s">
        <v>95</v>
      </c>
      <c r="C39" s="63" t="s">
        <v>115</v>
      </c>
      <c r="D39" s="62" t="s">
        <v>68</v>
      </c>
      <c r="E39" s="48"/>
      <c r="F39" s="64">
        <v>40</v>
      </c>
      <c r="G39" s="64">
        <v>213.2</v>
      </c>
      <c r="H39" s="65">
        <f t="shared" si="3"/>
        <v>8.5280000000000005</v>
      </c>
      <c r="I39" s="13">
        <v>0</v>
      </c>
      <c r="J39" s="23"/>
      <c r="L39" s="19"/>
      <c r="M39" s="20"/>
      <c r="N39" s="21"/>
    </row>
    <row r="40" spans="1:14" ht="15.75" customHeight="1">
      <c r="A40" s="29">
        <v>8</v>
      </c>
      <c r="B40" s="62" t="s">
        <v>69</v>
      </c>
      <c r="C40" s="63" t="s">
        <v>29</v>
      </c>
      <c r="D40" s="62" t="s">
        <v>243</v>
      </c>
      <c r="E40" s="64">
        <v>260.13</v>
      </c>
      <c r="F40" s="64">
        <f>SUM(E40*155/1000)</f>
        <v>40.320149999999998</v>
      </c>
      <c r="G40" s="64">
        <v>374.95</v>
      </c>
      <c r="H40" s="65">
        <f t="shared" si="3"/>
        <v>15.118040242499999</v>
      </c>
      <c r="I40" s="13">
        <f>F40/6*G40</f>
        <v>2519.6733737499999</v>
      </c>
      <c r="J40" s="23"/>
      <c r="L40" s="19"/>
      <c r="M40" s="20"/>
      <c r="N40" s="21"/>
    </row>
    <row r="41" spans="1:14" ht="47.25" customHeight="1">
      <c r="A41" s="29">
        <v>9</v>
      </c>
      <c r="B41" s="62" t="s">
        <v>84</v>
      </c>
      <c r="C41" s="63" t="s">
        <v>110</v>
      </c>
      <c r="D41" s="62" t="s">
        <v>244</v>
      </c>
      <c r="E41" s="64">
        <v>132.72999999999999</v>
      </c>
      <c r="F41" s="64">
        <f>SUM(E41*35/1000)</f>
        <v>4.6455499999999992</v>
      </c>
      <c r="G41" s="64">
        <v>6203.7</v>
      </c>
      <c r="H41" s="65">
        <f t="shared" si="3"/>
        <v>28.819598534999994</v>
      </c>
      <c r="I41" s="13">
        <f>F41/6*G41</f>
        <v>4803.266422499999</v>
      </c>
      <c r="J41" s="23"/>
      <c r="L41" s="19"/>
      <c r="M41" s="20"/>
      <c r="N41" s="21"/>
    </row>
    <row r="42" spans="1:14" ht="15.75" customHeight="1">
      <c r="A42" s="29">
        <v>10</v>
      </c>
      <c r="B42" s="62" t="s">
        <v>118</v>
      </c>
      <c r="C42" s="63" t="s">
        <v>110</v>
      </c>
      <c r="D42" s="62" t="s">
        <v>245</v>
      </c>
      <c r="E42" s="64">
        <v>254.8</v>
      </c>
      <c r="F42" s="64">
        <f>SUM(E42*45/1000)</f>
        <v>11.465999999999999</v>
      </c>
      <c r="G42" s="64">
        <v>458.28</v>
      </c>
      <c r="H42" s="65">
        <f t="shared" si="3"/>
        <v>5.2546384799999997</v>
      </c>
      <c r="I42" s="13">
        <f>F42/7.5*1.5*G42</f>
        <v>1050.9276959999997</v>
      </c>
      <c r="J42" s="23"/>
      <c r="L42" s="19"/>
      <c r="M42" s="20"/>
      <c r="N42" s="21"/>
    </row>
    <row r="43" spans="1:14" ht="15.75" customHeight="1">
      <c r="A43" s="29">
        <v>11</v>
      </c>
      <c r="B43" s="62" t="s">
        <v>71</v>
      </c>
      <c r="C43" s="63" t="s">
        <v>33</v>
      </c>
      <c r="D43" s="62"/>
      <c r="E43" s="48"/>
      <c r="F43" s="64">
        <v>0.9</v>
      </c>
      <c r="G43" s="64">
        <v>853.06</v>
      </c>
      <c r="H43" s="65">
        <f t="shared" si="3"/>
        <v>0.76775400000000005</v>
      </c>
      <c r="I43" s="13">
        <f>F43/7.5*1.5*G43</f>
        <v>153.55080000000001</v>
      </c>
      <c r="J43" s="23"/>
      <c r="L43" s="19"/>
      <c r="M43" s="20"/>
      <c r="N43" s="21"/>
    </row>
    <row r="44" spans="1:14" ht="19.5" hidden="1" customHeight="1">
      <c r="A44" s="171" t="s">
        <v>136</v>
      </c>
      <c r="B44" s="172"/>
      <c r="C44" s="172"/>
      <c r="D44" s="172"/>
      <c r="E44" s="172"/>
      <c r="F44" s="172"/>
      <c r="G44" s="172"/>
      <c r="H44" s="172"/>
      <c r="I44" s="173"/>
      <c r="J44" s="23"/>
      <c r="L44" s="19"/>
      <c r="M44" s="20"/>
      <c r="N44" s="21"/>
    </row>
    <row r="45" spans="1:14" ht="33.75" hidden="1" customHeight="1">
      <c r="A45" s="29"/>
      <c r="B45" s="62" t="s">
        <v>133</v>
      </c>
      <c r="C45" s="63" t="s">
        <v>110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4">SUM(F45*G45/1000)</f>
        <v>3.1090979980000002</v>
      </c>
      <c r="I45" s="13">
        <v>0</v>
      </c>
      <c r="J45" s="23"/>
      <c r="L45" s="19"/>
      <c r="M45" s="20"/>
      <c r="N45" s="21"/>
    </row>
    <row r="46" spans="1:14" ht="31.5" hidden="1" customHeight="1">
      <c r="A46" s="29"/>
      <c r="B46" s="62" t="s">
        <v>36</v>
      </c>
      <c r="C46" s="63" t="s">
        <v>110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4"/>
        <v>0.12884767999999999</v>
      </c>
      <c r="I46" s="13">
        <v>0</v>
      </c>
      <c r="J46" s="23"/>
      <c r="L46" s="19"/>
      <c r="M46" s="20"/>
      <c r="N46" s="21"/>
    </row>
    <row r="47" spans="1:14" ht="41.25" hidden="1" customHeight="1">
      <c r="A47" s="29"/>
      <c r="B47" s="62" t="s">
        <v>37</v>
      </c>
      <c r="C47" s="63" t="s">
        <v>110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4"/>
        <v>2.4739621804</v>
      </c>
      <c r="I47" s="13">
        <v>0</v>
      </c>
      <c r="J47" s="23"/>
      <c r="L47" s="19"/>
      <c r="M47" s="20"/>
      <c r="N47" s="21"/>
    </row>
    <row r="48" spans="1:14" ht="30.75" hidden="1" customHeight="1">
      <c r="A48" s="29"/>
      <c r="B48" s="62" t="s">
        <v>38</v>
      </c>
      <c r="C48" s="63" t="s">
        <v>110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4"/>
        <v>3.4123004479999999</v>
      </c>
      <c r="I48" s="13">
        <v>0</v>
      </c>
      <c r="J48" s="23"/>
      <c r="L48" s="19"/>
      <c r="M48" s="20"/>
      <c r="N48" s="21"/>
    </row>
    <row r="49" spans="1:22" ht="27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4"/>
        <v>0.20467249599999998</v>
      </c>
      <c r="I49" s="13">
        <v>0</v>
      </c>
      <c r="J49" s="23"/>
      <c r="L49" s="19"/>
      <c r="M49" s="20"/>
      <c r="N49" s="21"/>
    </row>
    <row r="50" spans="1:22" ht="35.25" hidden="1" customHeight="1">
      <c r="A50" s="29">
        <v>14</v>
      </c>
      <c r="B50" s="62" t="s">
        <v>58</v>
      </c>
      <c r="C50" s="63" t="s">
        <v>110</v>
      </c>
      <c r="D50" s="62" t="s">
        <v>143</v>
      </c>
      <c r="E50" s="48">
        <v>2872.4</v>
      </c>
      <c r="F50" s="64">
        <f>SUM(E50*5/1000)</f>
        <v>14.362</v>
      </c>
      <c r="G50" s="13">
        <v>1297.28</v>
      </c>
      <c r="H50" s="65">
        <f t="shared" si="4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22" ht="34.5" hidden="1" customHeight="1">
      <c r="A51" s="29">
        <v>13</v>
      </c>
      <c r="B51" s="62" t="s">
        <v>119</v>
      </c>
      <c r="C51" s="63" t="s">
        <v>110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4"/>
        <v>7.4526141440000009</v>
      </c>
      <c r="I51" s="13">
        <f>F51/2*G51</f>
        <v>3726.3070720000005</v>
      </c>
      <c r="J51" s="23"/>
      <c r="L51" s="19"/>
      <c r="M51" s="20"/>
      <c r="N51" s="21"/>
    </row>
    <row r="52" spans="1:22" ht="30.75" hidden="1" customHeight="1">
      <c r="A52" s="29">
        <v>14</v>
      </c>
      <c r="B52" s="62" t="s">
        <v>120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4"/>
        <v>2.3351120000000001</v>
      </c>
      <c r="I52" s="13">
        <f>F52/2*G52</f>
        <v>1167.556</v>
      </c>
      <c r="J52" s="23"/>
      <c r="L52" s="19"/>
      <c r="M52" s="20"/>
      <c r="N52" s="21"/>
    </row>
    <row r="53" spans="1:22" ht="15" hidden="1" customHeight="1">
      <c r="A53" s="29">
        <v>15</v>
      </c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4"/>
        <v>0.1208424</v>
      </c>
      <c r="I53" s="13">
        <f>F53/2*G53</f>
        <v>60.421199999999999</v>
      </c>
      <c r="J53" s="23"/>
      <c r="L53" s="19"/>
      <c r="M53" s="20"/>
      <c r="N53" s="21"/>
    </row>
    <row r="54" spans="1:22" ht="21" hidden="1" customHeight="1">
      <c r="A54" s="29">
        <v>13</v>
      </c>
      <c r="B54" s="62" t="s">
        <v>42</v>
      </c>
      <c r="C54" s="63" t="s">
        <v>30</v>
      </c>
      <c r="D54" s="62" t="s">
        <v>72</v>
      </c>
      <c r="E54" s="48">
        <v>160</v>
      </c>
      <c r="F54" s="64">
        <f>SUM(E54)*3</f>
        <v>480</v>
      </c>
      <c r="G54" s="13">
        <v>70.209999999999994</v>
      </c>
      <c r="H54" s="65">
        <f t="shared" si="4"/>
        <v>33.700799999999994</v>
      </c>
      <c r="I54" s="13">
        <f>E54*G54</f>
        <v>11233.599999999999</v>
      </c>
      <c r="J54" s="23"/>
      <c r="L54" s="19"/>
      <c r="M54" s="20"/>
      <c r="N54" s="21"/>
    </row>
    <row r="55" spans="1:22" ht="15.75" customHeight="1">
      <c r="A55" s="171" t="s">
        <v>146</v>
      </c>
      <c r="B55" s="172"/>
      <c r="C55" s="172"/>
      <c r="D55" s="172"/>
      <c r="E55" s="172"/>
      <c r="F55" s="172"/>
      <c r="G55" s="172"/>
      <c r="H55" s="172"/>
      <c r="I55" s="173"/>
      <c r="J55" s="23"/>
      <c r="L55" s="19"/>
      <c r="M55" s="20"/>
      <c r="N55" s="21"/>
    </row>
    <row r="56" spans="1:22" ht="15.75" customHeight="1">
      <c r="A56" s="29"/>
      <c r="B56" s="84" t="s">
        <v>44</v>
      </c>
      <c r="C56" s="63"/>
      <c r="D56" s="62"/>
      <c r="E56" s="48"/>
      <c r="F56" s="64"/>
      <c r="G56" s="64"/>
      <c r="H56" s="65"/>
      <c r="I56" s="13"/>
      <c r="J56" s="23"/>
      <c r="L56" s="19"/>
      <c r="M56" s="20"/>
      <c r="N56" s="21"/>
    </row>
    <row r="57" spans="1:22" ht="31.5" customHeight="1">
      <c r="A57" s="29">
        <v>12</v>
      </c>
      <c r="B57" s="62" t="s">
        <v>122</v>
      </c>
      <c r="C57" s="63" t="s">
        <v>103</v>
      </c>
      <c r="D57" s="132" t="s">
        <v>215</v>
      </c>
      <c r="E57" s="48">
        <v>239.59</v>
      </c>
      <c r="F57" s="64">
        <f>E57*6/100</f>
        <v>14.375399999999999</v>
      </c>
      <c r="G57" s="71">
        <v>1654.04</v>
      </c>
      <c r="H57" s="65">
        <f>F57*G57/1000</f>
        <v>23.777486615999997</v>
      </c>
      <c r="I57" s="13">
        <f>G57*1.26</f>
        <v>2084.0904</v>
      </c>
      <c r="J57" s="23"/>
      <c r="L57" s="19"/>
      <c r="M57" s="20"/>
      <c r="N57" s="21"/>
    </row>
    <row r="58" spans="1:22" ht="15" customHeight="1">
      <c r="A58" s="29">
        <v>13</v>
      </c>
      <c r="B58" s="100" t="s">
        <v>88</v>
      </c>
      <c r="C58" s="101" t="s">
        <v>163</v>
      </c>
      <c r="D58" s="131" t="s">
        <v>256</v>
      </c>
      <c r="E58" s="74"/>
      <c r="F58" s="76"/>
      <c r="G58" s="110">
        <v>1501</v>
      </c>
      <c r="H58" s="78"/>
      <c r="I58" s="13">
        <f>G58*2.5</f>
        <v>3752.5</v>
      </c>
      <c r="J58" s="23"/>
      <c r="L58" s="19"/>
      <c r="M58" s="20"/>
      <c r="N58" s="21"/>
    </row>
    <row r="59" spans="1:22" ht="15.75" customHeight="1">
      <c r="A59" s="29"/>
      <c r="B59" s="85" t="s">
        <v>45</v>
      </c>
      <c r="C59" s="72"/>
      <c r="D59" s="73"/>
      <c r="E59" s="74"/>
      <c r="F59" s="76"/>
      <c r="G59" s="13"/>
      <c r="H59" s="78"/>
      <c r="I59" s="13"/>
      <c r="J59" s="23"/>
      <c r="L59" s="19"/>
      <c r="M59" s="20"/>
      <c r="N59" s="21"/>
    </row>
    <row r="60" spans="1:22" ht="15.75" hidden="1" customHeight="1">
      <c r="A60" s="29"/>
      <c r="B60" s="73" t="s">
        <v>46</v>
      </c>
      <c r="C60" s="72" t="s">
        <v>55</v>
      </c>
      <c r="D60" s="73" t="s">
        <v>56</v>
      </c>
      <c r="E60" s="74">
        <v>2686</v>
      </c>
      <c r="F60" s="76">
        <f>E60/100</f>
        <v>26.86</v>
      </c>
      <c r="G60" s="13">
        <v>848.37</v>
      </c>
      <c r="H60" s="78">
        <f>G60*F60/1000</f>
        <v>22.787218199999998</v>
      </c>
      <c r="I60" s="13">
        <v>0</v>
      </c>
      <c r="J60" s="23"/>
      <c r="L60" s="19"/>
    </row>
    <row r="61" spans="1:22" ht="15.75" customHeight="1">
      <c r="A61" s="29">
        <v>14</v>
      </c>
      <c r="B61" s="73" t="s">
        <v>96</v>
      </c>
      <c r="C61" s="72" t="s">
        <v>25</v>
      </c>
      <c r="D61" s="123" t="s">
        <v>216</v>
      </c>
      <c r="E61" s="74">
        <v>343</v>
      </c>
      <c r="F61" s="76">
        <v>4116</v>
      </c>
      <c r="G61" s="13">
        <v>1.4</v>
      </c>
      <c r="H61" s="78">
        <f>F61*G61</f>
        <v>5762.4</v>
      </c>
      <c r="I61" s="13">
        <f>4116/12*G61</f>
        <v>480.2</v>
      </c>
    </row>
    <row r="62" spans="1:22" ht="15.75" hidden="1" customHeight="1">
      <c r="A62" s="29"/>
      <c r="B62" s="85" t="s">
        <v>134</v>
      </c>
      <c r="C62" s="72"/>
      <c r="D62" s="73"/>
      <c r="E62" s="74"/>
      <c r="F62" s="76"/>
      <c r="G62" s="13"/>
      <c r="H62" s="78"/>
      <c r="I62" s="13"/>
    </row>
    <row r="63" spans="1:22" ht="15.75" hidden="1" customHeight="1">
      <c r="A63" s="29"/>
      <c r="B63" s="73" t="s">
        <v>135</v>
      </c>
      <c r="C63" s="72" t="s">
        <v>30</v>
      </c>
      <c r="D63" s="73" t="s">
        <v>68</v>
      </c>
      <c r="E63" s="74">
        <v>3</v>
      </c>
      <c r="F63" s="75">
        <v>3</v>
      </c>
      <c r="G63" s="77">
        <v>254.16</v>
      </c>
      <c r="H63" s="76">
        <v>0.76200000000000001</v>
      </c>
      <c r="I63" s="13">
        <v>0</v>
      </c>
    </row>
    <row r="64" spans="1:22" ht="15.75" hidden="1" customHeight="1">
      <c r="A64" s="29"/>
      <c r="B64" s="85" t="s">
        <v>47</v>
      </c>
      <c r="C64" s="72"/>
      <c r="D64" s="73"/>
      <c r="E64" s="74"/>
      <c r="F64" s="75"/>
      <c r="G64" s="75"/>
      <c r="H64" s="76" t="s">
        <v>129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29"/>
      <c r="B65" s="14" t="s">
        <v>48</v>
      </c>
      <c r="C65" s="16" t="s">
        <v>121</v>
      </c>
      <c r="D65" s="73" t="s">
        <v>68</v>
      </c>
      <c r="E65" s="18">
        <v>15</v>
      </c>
      <c r="F65" s="64">
        <v>15</v>
      </c>
      <c r="G65" s="13">
        <v>237.74</v>
      </c>
      <c r="H65" s="79">
        <f t="shared" ref="H65:H78" si="5">SUM(F65*G65/1000)</f>
        <v>3.5661000000000005</v>
      </c>
      <c r="I65" s="13">
        <v>0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/>
      <c r="B66" s="14" t="s">
        <v>49</v>
      </c>
      <c r="C66" s="16" t="s">
        <v>121</v>
      </c>
      <c r="D66" s="73" t="s">
        <v>68</v>
      </c>
      <c r="E66" s="18">
        <v>5</v>
      </c>
      <c r="F66" s="64">
        <v>5</v>
      </c>
      <c r="G66" s="13">
        <v>81.510000000000005</v>
      </c>
      <c r="H66" s="79">
        <f t="shared" si="5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50</v>
      </c>
      <c r="C67" s="16" t="s">
        <v>123</v>
      </c>
      <c r="D67" s="14" t="s">
        <v>56</v>
      </c>
      <c r="E67" s="48">
        <v>24123</v>
      </c>
      <c r="F67" s="13">
        <f>SUM(E67/100)</f>
        <v>241.23</v>
      </c>
      <c r="G67" s="13">
        <v>226.79</v>
      </c>
      <c r="H67" s="79">
        <f t="shared" si="5"/>
        <v>54.708551699999994</v>
      </c>
      <c r="I67" s="13">
        <f>F67*G67</f>
        <v>54708.551699999996</v>
      </c>
      <c r="J67" s="5"/>
      <c r="K67" s="5"/>
      <c r="L67" s="5"/>
      <c r="M67" s="5"/>
      <c r="N67" s="5"/>
      <c r="O67" s="5"/>
      <c r="P67" s="5"/>
      <c r="Q67" s="5"/>
      <c r="R67" s="159"/>
      <c r="S67" s="159"/>
      <c r="T67" s="159"/>
      <c r="U67" s="159"/>
    </row>
    <row r="68" spans="1:21" ht="15.75" hidden="1" customHeight="1">
      <c r="A68" s="29"/>
      <c r="B68" s="14" t="s">
        <v>51</v>
      </c>
      <c r="C68" s="16" t="s">
        <v>124</v>
      </c>
      <c r="D68" s="14"/>
      <c r="E68" s="48">
        <v>24123</v>
      </c>
      <c r="F68" s="13">
        <f>SUM(E68/1000)</f>
        <v>24.123000000000001</v>
      </c>
      <c r="G68" s="13">
        <v>176.61</v>
      </c>
      <c r="H68" s="79">
        <f t="shared" si="5"/>
        <v>4.2603630300000006</v>
      </c>
      <c r="I68" s="13">
        <f t="shared" ref="I68:I72" si="6">F68*G68</f>
        <v>4260.3630300000004</v>
      </c>
    </row>
    <row r="69" spans="1:21" ht="15.75" hidden="1" customHeight="1">
      <c r="A69" s="29"/>
      <c r="B69" s="14" t="s">
        <v>52</v>
      </c>
      <c r="C69" s="16" t="s">
        <v>78</v>
      </c>
      <c r="D69" s="14" t="s">
        <v>56</v>
      </c>
      <c r="E69" s="48">
        <v>2730</v>
      </c>
      <c r="F69" s="13">
        <f>SUM(E69/100)</f>
        <v>27.3</v>
      </c>
      <c r="G69" s="13">
        <v>2217.7800000000002</v>
      </c>
      <c r="H69" s="79">
        <f t="shared" si="5"/>
        <v>60.545394000000009</v>
      </c>
      <c r="I69" s="13">
        <f t="shared" si="6"/>
        <v>60545.394000000008</v>
      </c>
    </row>
    <row r="70" spans="1:21" ht="15.75" hidden="1" customHeight="1">
      <c r="A70" s="29"/>
      <c r="B70" s="80" t="s">
        <v>125</v>
      </c>
      <c r="C70" s="16" t="s">
        <v>33</v>
      </c>
      <c r="D70" s="14"/>
      <c r="E70" s="48">
        <v>23</v>
      </c>
      <c r="F70" s="13">
        <f>SUM(E70)</f>
        <v>23</v>
      </c>
      <c r="G70" s="13">
        <v>42.67</v>
      </c>
      <c r="H70" s="79">
        <f t="shared" si="5"/>
        <v>0.98141000000000012</v>
      </c>
      <c r="I70" s="13">
        <f t="shared" si="6"/>
        <v>981.41000000000008</v>
      </c>
    </row>
    <row r="71" spans="1:21" ht="15.75" hidden="1" customHeight="1">
      <c r="A71" s="29"/>
      <c r="B71" s="80" t="s">
        <v>126</v>
      </c>
      <c r="C71" s="16" t="s">
        <v>33</v>
      </c>
      <c r="D71" s="14"/>
      <c r="E71" s="48">
        <v>23</v>
      </c>
      <c r="F71" s="13">
        <f>SUM(E71)</f>
        <v>23</v>
      </c>
      <c r="G71" s="13">
        <v>39.81</v>
      </c>
      <c r="H71" s="79">
        <f t="shared" si="5"/>
        <v>0.91563000000000005</v>
      </c>
      <c r="I71" s="13">
        <f t="shared" si="6"/>
        <v>915.63000000000011</v>
      </c>
    </row>
    <row r="72" spans="1:21" ht="15.75" hidden="1" customHeight="1">
      <c r="A72" s="29"/>
      <c r="B72" s="14" t="s">
        <v>59</v>
      </c>
      <c r="C72" s="16" t="s">
        <v>60</v>
      </c>
      <c r="D72" s="14" t="s">
        <v>56</v>
      </c>
      <c r="E72" s="18">
        <v>10</v>
      </c>
      <c r="F72" s="64">
        <f>SUM(E72)</f>
        <v>10</v>
      </c>
      <c r="G72" s="13">
        <v>53.32</v>
      </c>
      <c r="H72" s="79">
        <f t="shared" si="5"/>
        <v>0.53320000000000001</v>
      </c>
      <c r="I72" s="13">
        <f t="shared" si="6"/>
        <v>533.20000000000005</v>
      </c>
    </row>
    <row r="73" spans="1:21" ht="15.75" hidden="1" customHeight="1">
      <c r="A73" s="29"/>
      <c r="B73" s="54" t="s">
        <v>74</v>
      </c>
      <c r="C73" s="16"/>
      <c r="D73" s="14"/>
      <c r="E73" s="18"/>
      <c r="F73" s="13"/>
      <c r="G73" s="13"/>
      <c r="H73" s="79" t="s">
        <v>129</v>
      </c>
      <c r="I73" s="13"/>
    </row>
    <row r="74" spans="1:21" ht="15.75" hidden="1" customHeight="1">
      <c r="A74" s="29"/>
      <c r="B74" s="14" t="s">
        <v>75</v>
      </c>
      <c r="C74" s="16" t="s">
        <v>31</v>
      </c>
      <c r="D74" s="14"/>
      <c r="E74" s="18">
        <v>2</v>
      </c>
      <c r="F74" s="56">
        <v>0.2</v>
      </c>
      <c r="G74" s="13">
        <v>536.23</v>
      </c>
      <c r="H74" s="79">
        <v>0.251</v>
      </c>
      <c r="I74" s="13">
        <v>0</v>
      </c>
    </row>
    <row r="75" spans="1:21" ht="15.75" hidden="1" customHeight="1">
      <c r="A75" s="29"/>
      <c r="B75" s="14" t="s">
        <v>89</v>
      </c>
      <c r="C75" s="16" t="s">
        <v>30</v>
      </c>
      <c r="D75" s="14"/>
      <c r="E75" s="18">
        <v>1</v>
      </c>
      <c r="F75" s="64">
        <f>SUM(E75)</f>
        <v>1</v>
      </c>
      <c r="G75" s="13">
        <v>383.25</v>
      </c>
      <c r="H75" s="79">
        <f t="shared" si="5"/>
        <v>0.38324999999999998</v>
      </c>
      <c r="I75" s="13">
        <v>0</v>
      </c>
    </row>
    <row r="76" spans="1:21" ht="15.75" hidden="1" customHeight="1">
      <c r="A76" s="29"/>
      <c r="B76" s="14" t="s">
        <v>76</v>
      </c>
      <c r="C76" s="16" t="s">
        <v>30</v>
      </c>
      <c r="D76" s="14"/>
      <c r="E76" s="18">
        <v>2</v>
      </c>
      <c r="F76" s="13">
        <v>2</v>
      </c>
      <c r="G76" s="13">
        <v>911.85</v>
      </c>
      <c r="H76" s="79">
        <f>F76*G76/1000</f>
        <v>1.8237000000000001</v>
      </c>
      <c r="I76" s="13">
        <v>0</v>
      </c>
    </row>
    <row r="77" spans="1:21" ht="15.75" hidden="1" customHeight="1">
      <c r="A77" s="29"/>
      <c r="B77" s="81" t="s">
        <v>77</v>
      </c>
      <c r="C77" s="16"/>
      <c r="D77" s="14"/>
      <c r="E77" s="18"/>
      <c r="F77" s="13"/>
      <c r="G77" s="13" t="s">
        <v>129</v>
      </c>
      <c r="H77" s="79" t="s">
        <v>129</v>
      </c>
      <c r="I77" s="13"/>
    </row>
    <row r="78" spans="1:21" ht="15.75" hidden="1" customHeight="1">
      <c r="A78" s="29"/>
      <c r="B78" s="44" t="s">
        <v>130</v>
      </c>
      <c r="C78" s="16" t="s">
        <v>78</v>
      </c>
      <c r="D78" s="14"/>
      <c r="E78" s="18"/>
      <c r="F78" s="13">
        <v>1.35</v>
      </c>
      <c r="G78" s="13">
        <v>2949.85</v>
      </c>
      <c r="H78" s="79">
        <f t="shared" si="5"/>
        <v>3.9822975</v>
      </c>
      <c r="I78" s="13">
        <v>0</v>
      </c>
    </row>
    <row r="79" spans="1:21" ht="15.75" hidden="1" customHeight="1">
      <c r="A79" s="29"/>
      <c r="B79" s="67" t="s">
        <v>127</v>
      </c>
      <c r="C79" s="81"/>
      <c r="D79" s="31"/>
      <c r="E79" s="32"/>
      <c r="F79" s="68"/>
      <c r="G79" s="68"/>
      <c r="H79" s="82">
        <f>SUM(H57:H78)</f>
        <v>5942.0851510459988</v>
      </c>
      <c r="I79" s="68"/>
    </row>
    <row r="80" spans="1:21" ht="15.75" hidden="1" customHeight="1">
      <c r="A80" s="111"/>
      <c r="B80" s="73" t="s">
        <v>128</v>
      </c>
      <c r="C80" s="112"/>
      <c r="D80" s="113"/>
      <c r="E80" s="57"/>
      <c r="F80" s="106">
        <v>1</v>
      </c>
      <c r="G80" s="106">
        <v>19342.2</v>
      </c>
      <c r="H80" s="114">
        <f>G80*F80/1000</f>
        <v>19.342200000000002</v>
      </c>
      <c r="I80" s="106">
        <v>0</v>
      </c>
    </row>
    <row r="81" spans="1:9" ht="15.75" hidden="1" customHeight="1">
      <c r="A81" s="29"/>
      <c r="B81" s="115" t="s">
        <v>134</v>
      </c>
      <c r="C81" s="108"/>
      <c r="D81" s="107"/>
      <c r="E81" s="18"/>
      <c r="F81" s="13"/>
      <c r="G81" s="13"/>
      <c r="H81" s="13"/>
      <c r="I81" s="13"/>
    </row>
    <row r="82" spans="1:9" ht="15.75" hidden="1" customHeight="1">
      <c r="A82" s="111">
        <v>19</v>
      </c>
      <c r="B82" s="100" t="s">
        <v>164</v>
      </c>
      <c r="C82" s="108" t="s">
        <v>121</v>
      </c>
      <c r="D82" s="107" t="s">
        <v>165</v>
      </c>
      <c r="E82" s="116"/>
      <c r="F82" s="106"/>
      <c r="G82" s="109">
        <v>169.36</v>
      </c>
      <c r="H82" s="106"/>
      <c r="I82" s="106">
        <f>G82*5</f>
        <v>846.80000000000007</v>
      </c>
    </row>
    <row r="83" spans="1:9" ht="15.75" hidden="1" customHeight="1">
      <c r="A83" s="29"/>
      <c r="B83" s="120" t="s">
        <v>47</v>
      </c>
      <c r="C83" s="101"/>
      <c r="D83" s="100"/>
      <c r="E83" s="18"/>
      <c r="F83" s="13"/>
      <c r="G83" s="117"/>
      <c r="H83" s="13"/>
      <c r="I83" s="13"/>
    </row>
    <row r="84" spans="1:9" ht="15.75" hidden="1" customHeight="1">
      <c r="A84" s="29">
        <v>20</v>
      </c>
      <c r="B84" s="118" t="s">
        <v>48</v>
      </c>
      <c r="C84" s="119" t="s">
        <v>121</v>
      </c>
      <c r="D84" s="98" t="s">
        <v>165</v>
      </c>
      <c r="E84" s="18"/>
      <c r="F84" s="13"/>
      <c r="G84" s="117">
        <v>237.74</v>
      </c>
      <c r="H84" s="13"/>
      <c r="I84" s="13">
        <f>G84*1</f>
        <v>237.74</v>
      </c>
    </row>
    <row r="85" spans="1:9" ht="15.75" customHeight="1">
      <c r="A85" s="160" t="s">
        <v>147</v>
      </c>
      <c r="B85" s="161"/>
      <c r="C85" s="161"/>
      <c r="D85" s="161"/>
      <c r="E85" s="161"/>
      <c r="F85" s="161"/>
      <c r="G85" s="161"/>
      <c r="H85" s="161"/>
      <c r="I85" s="162"/>
    </row>
    <row r="86" spans="1:9" ht="15.75" customHeight="1">
      <c r="A86" s="29">
        <v>15</v>
      </c>
      <c r="B86" s="62" t="s">
        <v>131</v>
      </c>
      <c r="C86" s="16" t="s">
        <v>57</v>
      </c>
      <c r="D86" s="83"/>
      <c r="E86" s="13">
        <v>4591.2</v>
      </c>
      <c r="F86" s="13">
        <f>SUM(E86*12)</f>
        <v>55094.399999999994</v>
      </c>
      <c r="G86" s="13">
        <v>2.54</v>
      </c>
      <c r="H86" s="79">
        <f>SUM(F86*G86/1000)</f>
        <v>139.93977599999999</v>
      </c>
      <c r="I86" s="13">
        <f>F86/12*G86</f>
        <v>11661.647999999999</v>
      </c>
    </row>
    <row r="87" spans="1:9" ht="31.5" customHeight="1">
      <c r="A87" s="29">
        <v>16</v>
      </c>
      <c r="B87" s="14" t="s">
        <v>79</v>
      </c>
      <c r="C87" s="16"/>
      <c r="D87" s="83"/>
      <c r="E87" s="48">
        <f>E86</f>
        <v>4591.2</v>
      </c>
      <c r="F87" s="13">
        <f>E87*12</f>
        <v>55094.399999999994</v>
      </c>
      <c r="G87" s="13">
        <v>2.0499999999999998</v>
      </c>
      <c r="H87" s="79">
        <f>F87*G87/1000</f>
        <v>112.94351999999998</v>
      </c>
      <c r="I87" s="13">
        <f>F87/12*G87</f>
        <v>9411.9599999999991</v>
      </c>
    </row>
    <row r="88" spans="1:9" ht="15.75" customHeight="1">
      <c r="A88" s="45"/>
      <c r="B88" s="36" t="s">
        <v>81</v>
      </c>
      <c r="C88" s="37"/>
      <c r="D88" s="15"/>
      <c r="E88" s="15"/>
      <c r="F88" s="15"/>
      <c r="G88" s="18"/>
      <c r="H88" s="18"/>
      <c r="I88" s="32">
        <f>I87+I86+I61+I58+I57+I43+I42+I41+I40+I38+I37+I26+I20+I18+I17+I16</f>
        <v>60518.457725583328</v>
      </c>
    </row>
    <row r="89" spans="1:9" ht="15.75" customHeight="1">
      <c r="A89" s="178" t="s">
        <v>62</v>
      </c>
      <c r="B89" s="179"/>
      <c r="C89" s="179"/>
      <c r="D89" s="179"/>
      <c r="E89" s="179"/>
      <c r="F89" s="179"/>
      <c r="G89" s="179"/>
      <c r="H89" s="179"/>
      <c r="I89" s="180"/>
    </row>
    <row r="90" spans="1:9" ht="27.75" customHeight="1">
      <c r="A90" s="29">
        <v>17</v>
      </c>
      <c r="B90" s="93" t="s">
        <v>175</v>
      </c>
      <c r="C90" s="94" t="s">
        <v>29</v>
      </c>
      <c r="D90" s="96"/>
      <c r="E90" s="34"/>
      <c r="F90" s="34">
        <f>124/3</f>
        <v>41.333333333333336</v>
      </c>
      <c r="G90" s="34">
        <v>19757.060000000001</v>
      </c>
      <c r="H90" s="95">
        <f t="shared" ref="H90:H96" si="7">G90*F90/1000</f>
        <v>816.62514666666675</v>
      </c>
      <c r="I90" s="13">
        <f>G90*0.001</f>
        <v>19.757060000000003</v>
      </c>
    </row>
    <row r="91" spans="1:9" ht="15.75" customHeight="1">
      <c r="A91" s="29">
        <v>18</v>
      </c>
      <c r="B91" s="93" t="s">
        <v>161</v>
      </c>
      <c r="C91" s="94" t="s">
        <v>169</v>
      </c>
      <c r="D91" s="44"/>
      <c r="E91" s="34"/>
      <c r="F91" s="34">
        <v>6</v>
      </c>
      <c r="G91" s="34">
        <v>273</v>
      </c>
      <c r="H91" s="95">
        <f t="shared" si="7"/>
        <v>1.6379999999999999</v>
      </c>
      <c r="I91" s="13">
        <f>G91*16.5</f>
        <v>4504.5</v>
      </c>
    </row>
    <row r="92" spans="1:9" ht="29.25" customHeight="1">
      <c r="A92" s="29">
        <v>19</v>
      </c>
      <c r="B92" s="93" t="s">
        <v>204</v>
      </c>
      <c r="C92" s="94" t="s">
        <v>82</v>
      </c>
      <c r="D92" s="29" t="s">
        <v>211</v>
      </c>
      <c r="E92" s="34"/>
      <c r="F92" s="34">
        <v>0.06</v>
      </c>
      <c r="G92" s="34">
        <v>1403.75</v>
      </c>
      <c r="H92" s="95">
        <f t="shared" si="7"/>
        <v>8.4224999999999994E-2</v>
      </c>
      <c r="I92" s="13">
        <f>G92*4</f>
        <v>5615</v>
      </c>
    </row>
    <row r="93" spans="1:9" ht="18.75" customHeight="1">
      <c r="A93" s="29">
        <v>20</v>
      </c>
      <c r="B93" s="93" t="s">
        <v>205</v>
      </c>
      <c r="C93" s="94" t="s">
        <v>121</v>
      </c>
      <c r="D93" s="96"/>
      <c r="E93" s="34"/>
      <c r="F93" s="34">
        <v>3</v>
      </c>
      <c r="G93" s="34">
        <v>237</v>
      </c>
      <c r="H93" s="95">
        <f t="shared" si="7"/>
        <v>0.71099999999999997</v>
      </c>
      <c r="I93" s="13">
        <f>G93*1</f>
        <v>237</v>
      </c>
    </row>
    <row r="94" spans="1:9" ht="15.75" customHeight="1">
      <c r="A94" s="29">
        <v>21</v>
      </c>
      <c r="B94" s="93" t="s">
        <v>206</v>
      </c>
      <c r="C94" s="94" t="s">
        <v>121</v>
      </c>
      <c r="D94" s="96"/>
      <c r="E94" s="34"/>
      <c r="F94" s="34">
        <f>2/10</f>
        <v>0.2</v>
      </c>
      <c r="G94" s="34">
        <v>319</v>
      </c>
      <c r="H94" s="95">
        <f t="shared" si="7"/>
        <v>6.3800000000000009E-2</v>
      </c>
      <c r="I94" s="13">
        <f>G94*1</f>
        <v>319</v>
      </c>
    </row>
    <row r="95" spans="1:9" ht="15.75" customHeight="1">
      <c r="A95" s="29">
        <v>22</v>
      </c>
      <c r="B95" s="93" t="s">
        <v>207</v>
      </c>
      <c r="C95" s="94" t="s">
        <v>121</v>
      </c>
      <c r="D95" s="96"/>
      <c r="E95" s="34"/>
      <c r="F95" s="34">
        <v>1</v>
      </c>
      <c r="G95" s="34">
        <v>12</v>
      </c>
      <c r="H95" s="95">
        <f t="shared" si="7"/>
        <v>1.2E-2</v>
      </c>
      <c r="I95" s="13">
        <f>G95*4</f>
        <v>48</v>
      </c>
    </row>
    <row r="96" spans="1:9" ht="15.75" customHeight="1">
      <c r="A96" s="29">
        <v>23</v>
      </c>
      <c r="B96" s="93" t="s">
        <v>208</v>
      </c>
      <c r="C96" s="94" t="s">
        <v>121</v>
      </c>
      <c r="D96" s="96"/>
      <c r="E96" s="34"/>
      <c r="F96" s="34">
        <v>1</v>
      </c>
      <c r="G96" s="34">
        <v>11</v>
      </c>
      <c r="H96" s="95">
        <f t="shared" si="7"/>
        <v>1.0999999999999999E-2</v>
      </c>
      <c r="I96" s="13">
        <f>G96*2</f>
        <v>22</v>
      </c>
    </row>
    <row r="97" spans="1:9" ht="17.25" customHeight="1">
      <c r="A97" s="29">
        <v>24</v>
      </c>
      <c r="B97" s="93" t="s">
        <v>209</v>
      </c>
      <c r="C97" s="94" t="s">
        <v>121</v>
      </c>
      <c r="D97" s="44"/>
      <c r="E97" s="34"/>
      <c r="F97" s="34">
        <f>1/100</f>
        <v>0.01</v>
      </c>
      <c r="G97" s="34">
        <v>420</v>
      </c>
      <c r="H97" s="95">
        <f>G97*F97/1000</f>
        <v>4.2000000000000006E-3</v>
      </c>
      <c r="I97" s="13">
        <f>G97*1</f>
        <v>420</v>
      </c>
    </row>
    <row r="98" spans="1:9" ht="15" customHeight="1">
      <c r="A98" s="29">
        <v>25</v>
      </c>
      <c r="B98" s="93" t="s">
        <v>210</v>
      </c>
      <c r="C98" s="94" t="s">
        <v>121</v>
      </c>
      <c r="D98" s="98"/>
      <c r="E98" s="17"/>
      <c r="F98" s="34">
        <f>8.5/10</f>
        <v>0.85</v>
      </c>
      <c r="G98" s="34">
        <v>262</v>
      </c>
      <c r="H98" s="95">
        <f t="shared" ref="H98" si="8">G98*F98/1000</f>
        <v>0.22269999999999998</v>
      </c>
      <c r="I98" s="13">
        <f>G98*1</f>
        <v>262</v>
      </c>
    </row>
    <row r="99" spans="1:9" ht="15" customHeight="1">
      <c r="A99" s="29">
        <v>26</v>
      </c>
      <c r="B99" s="93" t="s">
        <v>166</v>
      </c>
      <c r="C99" s="94" t="s">
        <v>121</v>
      </c>
      <c r="D99" s="98"/>
      <c r="E99" s="17"/>
      <c r="F99" s="34"/>
      <c r="G99" s="34">
        <v>8</v>
      </c>
      <c r="H99" s="95"/>
      <c r="I99" s="13">
        <f>G99*2</f>
        <v>16</v>
      </c>
    </row>
    <row r="100" spans="1:9" ht="28.5" customHeight="1">
      <c r="A100" s="29">
        <v>27</v>
      </c>
      <c r="B100" s="93" t="s">
        <v>212</v>
      </c>
      <c r="C100" s="94" t="s">
        <v>92</v>
      </c>
      <c r="D100" s="98"/>
      <c r="E100" s="17"/>
      <c r="F100" s="34"/>
      <c r="G100" s="34">
        <v>644.72</v>
      </c>
      <c r="H100" s="95"/>
      <c r="I100" s="13">
        <f>G100*2</f>
        <v>1289.44</v>
      </c>
    </row>
    <row r="101" spans="1:9" ht="30" customHeight="1">
      <c r="A101" s="29">
        <v>28</v>
      </c>
      <c r="B101" s="93" t="s">
        <v>213</v>
      </c>
      <c r="C101" s="94" t="s">
        <v>92</v>
      </c>
      <c r="D101" s="98"/>
      <c r="E101" s="17"/>
      <c r="F101" s="34"/>
      <c r="G101" s="34">
        <v>878.3</v>
      </c>
      <c r="H101" s="95"/>
      <c r="I101" s="13">
        <f>G101*1</f>
        <v>878.3</v>
      </c>
    </row>
    <row r="102" spans="1:9" ht="17.25" customHeight="1">
      <c r="A102" s="29">
        <v>29</v>
      </c>
      <c r="B102" s="126" t="s">
        <v>214</v>
      </c>
      <c r="C102" s="97" t="s">
        <v>92</v>
      </c>
      <c r="D102" s="98"/>
      <c r="E102" s="17"/>
      <c r="F102" s="34"/>
      <c r="G102" s="34">
        <v>862.48</v>
      </c>
      <c r="H102" s="95"/>
      <c r="I102" s="13">
        <f>G102*1</f>
        <v>862.48</v>
      </c>
    </row>
    <row r="103" spans="1:9" ht="33.75" customHeight="1">
      <c r="A103" s="29">
        <v>30</v>
      </c>
      <c r="B103" s="99" t="s">
        <v>193</v>
      </c>
      <c r="C103" s="37" t="s">
        <v>194</v>
      </c>
      <c r="D103" s="98"/>
      <c r="E103" s="17"/>
      <c r="F103" s="34"/>
      <c r="G103" s="117">
        <v>441.25</v>
      </c>
      <c r="H103" s="95"/>
      <c r="I103" s="13">
        <f>G103*1</f>
        <v>441.25</v>
      </c>
    </row>
    <row r="104" spans="1:9" ht="17.25" customHeight="1">
      <c r="A104" s="29">
        <v>31</v>
      </c>
      <c r="B104" s="93" t="s">
        <v>231</v>
      </c>
      <c r="C104" s="94" t="s">
        <v>55</v>
      </c>
      <c r="D104" s="98"/>
      <c r="E104" s="17"/>
      <c r="F104" s="34"/>
      <c r="G104" s="117">
        <v>34015.25</v>
      </c>
      <c r="H104" s="95"/>
      <c r="I104" s="13">
        <f>G104*0.0108</f>
        <v>367.36470000000003</v>
      </c>
    </row>
    <row r="105" spans="1:9" ht="15.75" customHeight="1">
      <c r="A105" s="29">
        <v>32</v>
      </c>
      <c r="B105" s="99" t="s">
        <v>232</v>
      </c>
      <c r="C105" s="37" t="s">
        <v>105</v>
      </c>
      <c r="D105" s="98"/>
      <c r="E105" s="17"/>
      <c r="F105" s="34"/>
      <c r="G105" s="117">
        <v>3587.49</v>
      </c>
      <c r="H105" s="95"/>
      <c r="I105" s="13">
        <f>G105*0.06</f>
        <v>215.24939999999998</v>
      </c>
    </row>
    <row r="106" spans="1:9" ht="15.75" customHeight="1">
      <c r="A106" s="29">
        <v>33</v>
      </c>
      <c r="B106" s="93" t="s">
        <v>174</v>
      </c>
      <c r="C106" s="94" t="s">
        <v>121</v>
      </c>
      <c r="D106" s="29"/>
      <c r="E106" s="18"/>
      <c r="F106" s="13"/>
      <c r="G106" s="34">
        <v>58.39</v>
      </c>
      <c r="H106" s="79"/>
      <c r="I106" s="13">
        <f>G106*1</f>
        <v>58.39</v>
      </c>
    </row>
    <row r="107" spans="1:9" ht="15.75" customHeight="1">
      <c r="A107" s="29"/>
      <c r="B107" s="42" t="s">
        <v>53</v>
      </c>
      <c r="C107" s="38"/>
      <c r="D107" s="46"/>
      <c r="E107" s="38">
        <v>1</v>
      </c>
      <c r="F107" s="38"/>
      <c r="G107" s="38"/>
      <c r="H107" s="38"/>
      <c r="I107" s="32">
        <f>SUM(I90:I106)</f>
        <v>15575.731159999999</v>
      </c>
    </row>
    <row r="108" spans="1:9" ht="15.75" customHeight="1">
      <c r="A108" s="29"/>
      <c r="B108" s="44" t="s">
        <v>80</v>
      </c>
      <c r="C108" s="15"/>
      <c r="D108" s="15"/>
      <c r="E108" s="39"/>
      <c r="F108" s="39"/>
      <c r="G108" s="40"/>
      <c r="H108" s="40"/>
      <c r="I108" s="17">
        <v>0</v>
      </c>
    </row>
    <row r="109" spans="1:9" ht="15.75" customHeight="1">
      <c r="A109" s="47"/>
      <c r="B109" s="43" t="s">
        <v>155</v>
      </c>
      <c r="C109" s="33"/>
      <c r="D109" s="33"/>
      <c r="E109" s="33"/>
      <c r="F109" s="33"/>
      <c r="G109" s="33"/>
      <c r="H109" s="33"/>
      <c r="I109" s="41">
        <f>I88+I107</f>
        <v>76094.188885583324</v>
      </c>
    </row>
    <row r="110" spans="1:9" ht="15.75" customHeight="1">
      <c r="A110" s="174" t="s">
        <v>257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15.75" customHeight="1">
      <c r="A111" s="55"/>
      <c r="B111" s="175" t="s">
        <v>258</v>
      </c>
      <c r="C111" s="175"/>
      <c r="D111" s="175"/>
      <c r="E111" s="175"/>
      <c r="F111" s="175"/>
      <c r="G111" s="175"/>
      <c r="H111" s="61"/>
      <c r="I111" s="3"/>
    </row>
    <row r="112" spans="1:9" ht="15.75" customHeight="1">
      <c r="A112" s="49"/>
      <c r="B112" s="176" t="s">
        <v>6</v>
      </c>
      <c r="C112" s="176"/>
      <c r="D112" s="176"/>
      <c r="E112" s="176"/>
      <c r="F112" s="176"/>
      <c r="G112" s="176"/>
      <c r="H112" s="24"/>
      <c r="I112" s="5"/>
    </row>
    <row r="113" spans="1:9" ht="15.75" customHeight="1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 customHeight="1">
      <c r="A114" s="177" t="s">
        <v>7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15.75" customHeight="1">
      <c r="A115" s="177" t="s">
        <v>8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15.75" customHeight="1">
      <c r="A116" s="169" t="s">
        <v>63</v>
      </c>
      <c r="B116" s="169"/>
      <c r="C116" s="169"/>
      <c r="D116" s="169"/>
      <c r="E116" s="169"/>
      <c r="F116" s="169"/>
      <c r="G116" s="169"/>
      <c r="H116" s="169"/>
      <c r="I116" s="169"/>
    </row>
    <row r="117" spans="1:9" ht="15.75" customHeight="1">
      <c r="A117" s="11"/>
    </row>
    <row r="118" spans="1:9" ht="15.75" customHeight="1">
      <c r="A118" s="182" t="s">
        <v>9</v>
      </c>
      <c r="B118" s="182"/>
      <c r="C118" s="182"/>
      <c r="D118" s="182"/>
      <c r="E118" s="182"/>
      <c r="F118" s="182"/>
      <c r="G118" s="182"/>
      <c r="H118" s="182"/>
      <c r="I118" s="182"/>
    </row>
    <row r="119" spans="1:9" ht="15.75" customHeight="1">
      <c r="A119" s="4"/>
    </row>
    <row r="120" spans="1:9" ht="15.75" customHeight="1">
      <c r="B120" s="52" t="s">
        <v>10</v>
      </c>
      <c r="C120" s="183" t="s">
        <v>90</v>
      </c>
      <c r="D120" s="183"/>
      <c r="E120" s="183"/>
      <c r="F120" s="59"/>
      <c r="I120" s="51"/>
    </row>
    <row r="121" spans="1:9" ht="15.75" customHeight="1">
      <c r="A121" s="49"/>
      <c r="C121" s="176" t="s">
        <v>11</v>
      </c>
      <c r="D121" s="176"/>
      <c r="E121" s="176"/>
      <c r="F121" s="24"/>
      <c r="I121" s="50" t="s">
        <v>12</v>
      </c>
    </row>
    <row r="122" spans="1:9" ht="15.75" customHeight="1">
      <c r="A122" s="25"/>
      <c r="C122" s="12"/>
      <c r="D122" s="12"/>
      <c r="G122" s="12"/>
      <c r="H122" s="12"/>
    </row>
    <row r="123" spans="1:9" ht="15.75" customHeight="1">
      <c r="B123" s="52" t="s">
        <v>13</v>
      </c>
      <c r="C123" s="184"/>
      <c r="D123" s="184"/>
      <c r="E123" s="184"/>
      <c r="F123" s="60"/>
      <c r="I123" s="51"/>
    </row>
    <row r="124" spans="1:9" ht="15.75" customHeight="1">
      <c r="A124" s="49"/>
      <c r="C124" s="159" t="s">
        <v>11</v>
      </c>
      <c r="D124" s="159"/>
      <c r="E124" s="159"/>
      <c r="F124" s="49"/>
      <c r="I124" s="50" t="s">
        <v>12</v>
      </c>
    </row>
    <row r="125" spans="1:9" ht="15.75" customHeight="1">
      <c r="A125" s="4" t="s">
        <v>14</v>
      </c>
    </row>
    <row r="126" spans="1:9" ht="15.75" customHeight="1">
      <c r="A126" s="185" t="s">
        <v>15</v>
      </c>
      <c r="B126" s="185"/>
      <c r="C126" s="185"/>
      <c r="D126" s="185"/>
      <c r="E126" s="185"/>
      <c r="F126" s="185"/>
      <c r="G126" s="185"/>
      <c r="H126" s="185"/>
      <c r="I126" s="185"/>
    </row>
    <row r="127" spans="1:9" ht="45" customHeight="1">
      <c r="A127" s="181" t="s">
        <v>16</v>
      </c>
      <c r="B127" s="181"/>
      <c r="C127" s="181"/>
      <c r="D127" s="181"/>
      <c r="E127" s="181"/>
      <c r="F127" s="181"/>
      <c r="G127" s="181"/>
      <c r="H127" s="181"/>
      <c r="I127" s="181"/>
    </row>
    <row r="128" spans="1:9" ht="30" customHeight="1">
      <c r="A128" s="181" t="s">
        <v>17</v>
      </c>
      <c r="B128" s="181"/>
      <c r="C128" s="181"/>
      <c r="D128" s="181"/>
      <c r="E128" s="181"/>
      <c r="F128" s="181"/>
      <c r="G128" s="181"/>
      <c r="H128" s="181"/>
      <c r="I128" s="181"/>
    </row>
    <row r="129" spans="1:9" ht="30" customHeight="1">
      <c r="A129" s="181" t="s">
        <v>21</v>
      </c>
      <c r="B129" s="181"/>
      <c r="C129" s="181"/>
      <c r="D129" s="181"/>
      <c r="E129" s="181"/>
      <c r="F129" s="181"/>
      <c r="G129" s="181"/>
      <c r="H129" s="181"/>
      <c r="I129" s="181"/>
    </row>
    <row r="130" spans="1:9" ht="15" customHeight="1">
      <c r="A130" s="181" t="s">
        <v>20</v>
      </c>
      <c r="B130" s="181"/>
      <c r="C130" s="181"/>
      <c r="D130" s="181"/>
      <c r="E130" s="181"/>
      <c r="F130" s="181"/>
      <c r="G130" s="181"/>
      <c r="H130" s="181"/>
      <c r="I130" s="181"/>
    </row>
  </sheetData>
  <autoFilter ref="I12:I62"/>
  <mergeCells count="29">
    <mergeCell ref="A127:I127"/>
    <mergeCell ref="A128:I128"/>
    <mergeCell ref="A129:I129"/>
    <mergeCell ref="A130:I130"/>
    <mergeCell ref="A118:I118"/>
    <mergeCell ref="C120:E120"/>
    <mergeCell ref="C121:E121"/>
    <mergeCell ref="C123:E123"/>
    <mergeCell ref="C124:E124"/>
    <mergeCell ref="A126:I126"/>
    <mergeCell ref="A116:I116"/>
    <mergeCell ref="A15:I15"/>
    <mergeCell ref="A27:I27"/>
    <mergeCell ref="A44:I44"/>
    <mergeCell ref="A55:I55"/>
    <mergeCell ref="A110:I110"/>
    <mergeCell ref="B111:G111"/>
    <mergeCell ref="B112:G112"/>
    <mergeCell ref="A114:I114"/>
    <mergeCell ref="A115:I115"/>
    <mergeCell ref="A89:I89"/>
    <mergeCell ref="R67:U67"/>
    <mergeCell ref="A85:I8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4"/>
  <sheetViews>
    <sheetView topLeftCell="A14" workbookViewId="0">
      <selection activeCell="B16" sqref="B16:I2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149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217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43616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18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customHeight="1">
      <c r="A19" s="29">
        <v>4</v>
      </c>
      <c r="B19" s="62" t="s">
        <v>104</v>
      </c>
      <c r="C19" s="63" t="s">
        <v>105</v>
      </c>
      <c r="D19" s="62" t="s">
        <v>216</v>
      </c>
      <c r="E19" s="48">
        <v>38.4</v>
      </c>
      <c r="F19" s="64">
        <f>SUM(E19/10)</f>
        <v>3.84</v>
      </c>
      <c r="G19" s="64">
        <v>181.91</v>
      </c>
      <c r="H19" s="65">
        <f t="shared" ref="H19:H25" si="1">SUM(F19*G19/1000)</f>
        <v>0.6985344</v>
      </c>
      <c r="I19" s="13">
        <f>F19*G19</f>
        <v>698.53440000000001</v>
      </c>
      <c r="J19" s="22"/>
      <c r="K19" s="8"/>
      <c r="L19" s="8"/>
      <c r="M19" s="8"/>
    </row>
    <row r="20" spans="1:13" ht="15.75" customHeight="1">
      <c r="A20" s="29">
        <v>5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ref="H20" si="2">SUM(F20*G20/1000)</f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customHeight="1">
      <c r="A21" s="29">
        <v>6</v>
      </c>
      <c r="B21" s="62" t="s">
        <v>98</v>
      </c>
      <c r="C21" s="63" t="s">
        <v>103</v>
      </c>
      <c r="D21" s="62" t="s">
        <v>216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1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customHeight="1">
      <c r="A22" s="29">
        <v>7</v>
      </c>
      <c r="B22" s="62" t="s">
        <v>107</v>
      </c>
      <c r="C22" s="63" t="s">
        <v>55</v>
      </c>
      <c r="D22" s="62" t="s">
        <v>259</v>
      </c>
      <c r="E22" s="48">
        <v>714</v>
      </c>
      <c r="F22" s="64">
        <f>SUM(E22/100)</f>
        <v>7.14</v>
      </c>
      <c r="G22" s="64">
        <v>287.83999999999997</v>
      </c>
      <c r="H22" s="65">
        <f t="shared" si="1"/>
        <v>2.0551775999999995</v>
      </c>
      <c r="I22" s="13">
        <f>F22*G22</f>
        <v>2055.1775999999995</v>
      </c>
      <c r="J22" s="22"/>
      <c r="K22" s="8"/>
      <c r="L22" s="8"/>
      <c r="M22" s="8"/>
    </row>
    <row r="23" spans="1:13" ht="15.75" customHeight="1">
      <c r="A23" s="29">
        <v>8</v>
      </c>
      <c r="B23" s="62" t="s">
        <v>108</v>
      </c>
      <c r="C23" s="63" t="s">
        <v>55</v>
      </c>
      <c r="D23" s="62" t="s">
        <v>259</v>
      </c>
      <c r="E23" s="58">
        <v>96.6</v>
      </c>
      <c r="F23" s="64">
        <f>SUM(E23/100)</f>
        <v>0.96599999999999997</v>
      </c>
      <c r="G23" s="64">
        <v>47.34</v>
      </c>
      <c r="H23" s="65">
        <f t="shared" si="1"/>
        <v>4.5730440000000004E-2</v>
      </c>
      <c r="I23" s="13">
        <f t="shared" ref="I23:I25" si="3">F23*G23</f>
        <v>45.730440000000002</v>
      </c>
      <c r="J23" s="22"/>
      <c r="K23" s="8"/>
      <c r="L23" s="8"/>
      <c r="M23" s="8"/>
    </row>
    <row r="24" spans="1:13" ht="15.75" customHeight="1">
      <c r="A24" s="29">
        <v>9</v>
      </c>
      <c r="B24" s="62" t="s">
        <v>100</v>
      </c>
      <c r="C24" s="63" t="s">
        <v>55</v>
      </c>
      <c r="D24" s="62" t="s">
        <v>260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f t="shared" si="3"/>
        <v>1999.7759999999998</v>
      </c>
      <c r="J24" s="22"/>
      <c r="K24" s="8"/>
      <c r="L24" s="8"/>
      <c r="M24" s="8"/>
    </row>
    <row r="25" spans="1:13" ht="15.75" customHeight="1">
      <c r="A25" s="29">
        <v>10</v>
      </c>
      <c r="B25" s="62" t="s">
        <v>101</v>
      </c>
      <c r="C25" s="63" t="s">
        <v>55</v>
      </c>
      <c r="D25" s="62" t="s">
        <v>261</v>
      </c>
      <c r="E25" s="48">
        <v>17</v>
      </c>
      <c r="F25" s="64">
        <f>SUM(E25/100)</f>
        <v>0.17</v>
      </c>
      <c r="G25" s="64">
        <v>556.74</v>
      </c>
      <c r="H25" s="65">
        <f t="shared" si="1"/>
        <v>9.4645800000000002E-2</v>
      </c>
      <c r="I25" s="13">
        <f t="shared" si="3"/>
        <v>94.645800000000008</v>
      </c>
      <c r="J25" s="22"/>
      <c r="K25" s="8"/>
      <c r="L25" s="8"/>
      <c r="M25" s="8"/>
    </row>
    <row r="26" spans="1:13" ht="15.75" customHeight="1">
      <c r="A26" s="29">
        <v>11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12</v>
      </c>
      <c r="B29" s="62" t="s">
        <v>109</v>
      </c>
      <c r="C29" s="63" t="s">
        <v>110</v>
      </c>
      <c r="D29" s="62" t="s">
        <v>238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customHeight="1">
      <c r="A30" s="29">
        <v>13</v>
      </c>
      <c r="B30" s="62" t="s">
        <v>142</v>
      </c>
      <c r="C30" s="63" t="s">
        <v>110</v>
      </c>
      <c r="D30" s="62" t="s">
        <v>237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4" si="4">SUM(F30*G30/1000)</f>
        <v>5.6098179072000001</v>
      </c>
      <c r="I30" s="13">
        <f t="shared" ref="I30:I32" si="5">F30/6*G30</f>
        <v>934.96965120000016</v>
      </c>
      <c r="J30" s="22"/>
      <c r="K30" s="8"/>
      <c r="L30" s="8"/>
      <c r="M30" s="8"/>
    </row>
    <row r="31" spans="1:13" ht="15.75" customHeight="1">
      <c r="A31" s="29">
        <v>14</v>
      </c>
      <c r="B31" s="62" t="s">
        <v>27</v>
      </c>
      <c r="C31" s="63" t="s">
        <v>110</v>
      </c>
      <c r="D31" s="62" t="s">
        <v>240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4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customHeight="1">
      <c r="A32" s="29">
        <v>15</v>
      </c>
      <c r="B32" s="62" t="s">
        <v>140</v>
      </c>
      <c r="C32" s="63" t="s">
        <v>41</v>
      </c>
      <c r="D32" s="62" t="s">
        <v>243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5"/>
        <v>2876.5106666666666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si="4"/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4"/>
        <v>2.4294600000000002</v>
      </c>
      <c r="I34" s="13">
        <v>0</v>
      </c>
      <c r="J34" s="23"/>
    </row>
    <row r="35" spans="1:14" ht="22.5" hidden="1" customHeight="1">
      <c r="A35" s="29"/>
      <c r="B35" s="84" t="s">
        <v>5</v>
      </c>
      <c r="C35" s="63"/>
      <c r="D35" s="62"/>
      <c r="E35" s="48"/>
      <c r="F35" s="64"/>
      <c r="G35" s="64"/>
      <c r="H35" s="65" t="s">
        <v>129</v>
      </c>
      <c r="I35" s="13"/>
      <c r="J35" s="23"/>
    </row>
    <row r="36" spans="1:14" ht="18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6">SUM(F36*G36/1000)</f>
        <v>16.326000000000001</v>
      </c>
      <c r="I36" s="13">
        <f>F36/6*G36</f>
        <v>2721</v>
      </c>
      <c r="J36" s="23"/>
    </row>
    <row r="37" spans="1:14" ht="27" hidden="1" customHeight="1">
      <c r="A37" s="29">
        <v>9</v>
      </c>
      <c r="B37" s="62" t="s">
        <v>141</v>
      </c>
      <c r="C37" s="63" t="s">
        <v>29</v>
      </c>
      <c r="D37" s="62" t="s">
        <v>114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6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22.5" hidden="1" customHeight="1">
      <c r="A38" s="29">
        <v>18</v>
      </c>
      <c r="B38" s="62" t="s">
        <v>95</v>
      </c>
      <c r="C38" s="63" t="s">
        <v>115</v>
      </c>
      <c r="D38" s="62" t="s">
        <v>68</v>
      </c>
      <c r="E38" s="48"/>
      <c r="F38" s="64">
        <v>40</v>
      </c>
      <c r="G38" s="64">
        <v>213.2</v>
      </c>
      <c r="H38" s="65">
        <f t="shared" si="6"/>
        <v>8.5280000000000005</v>
      </c>
      <c r="I38" s="13">
        <f>G38*6</f>
        <v>1279.1999999999998</v>
      </c>
      <c r="J38" s="23"/>
      <c r="L38" s="19"/>
      <c r="M38" s="20"/>
      <c r="N38" s="21"/>
    </row>
    <row r="39" spans="1:14" ht="27" hidden="1" customHeight="1">
      <c r="A39" s="29">
        <v>10</v>
      </c>
      <c r="B39" s="62" t="s">
        <v>69</v>
      </c>
      <c r="C39" s="63" t="s">
        <v>29</v>
      </c>
      <c r="D39" s="62" t="s">
        <v>116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6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27" hidden="1" customHeight="1">
      <c r="A40" s="29">
        <v>11</v>
      </c>
      <c r="B40" s="62" t="s">
        <v>84</v>
      </c>
      <c r="C40" s="63" t="s">
        <v>110</v>
      </c>
      <c r="D40" s="62" t="s">
        <v>117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6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27" hidden="1" customHeight="1">
      <c r="A41" s="29">
        <v>12</v>
      </c>
      <c r="B41" s="62" t="s">
        <v>118</v>
      </c>
      <c r="C41" s="63" t="s">
        <v>110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6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26.2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6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customHeight="1">
      <c r="A43" s="171" t="s">
        <v>136</v>
      </c>
      <c r="B43" s="172"/>
      <c r="C43" s="172"/>
      <c r="D43" s="172"/>
      <c r="E43" s="172"/>
      <c r="F43" s="172"/>
      <c r="G43" s="172"/>
      <c r="H43" s="172"/>
      <c r="I43" s="173"/>
      <c r="J43" s="23"/>
      <c r="L43" s="19"/>
      <c r="M43" s="20"/>
      <c r="N43" s="21"/>
    </row>
    <row r="44" spans="1:14" ht="15.75" customHeight="1">
      <c r="A44" s="29">
        <v>16</v>
      </c>
      <c r="B44" s="62" t="s">
        <v>133</v>
      </c>
      <c r="C44" s="63" t="s">
        <v>110</v>
      </c>
      <c r="D44" s="62" t="s">
        <v>240</v>
      </c>
      <c r="E44" s="48">
        <v>1795.9</v>
      </c>
      <c r="F44" s="64">
        <f>SUM(E44*2/1000)</f>
        <v>3.5918000000000001</v>
      </c>
      <c r="G44" s="13">
        <v>865.61</v>
      </c>
      <c r="H44" s="65">
        <f t="shared" ref="H44:H53" si="7">SUM(F44*G44/1000)</f>
        <v>3.1090979980000002</v>
      </c>
      <c r="I44" s="13">
        <f t="shared" ref="I44:I47" si="8">F44/2*G44</f>
        <v>1554.5489990000001</v>
      </c>
      <c r="J44" s="23"/>
      <c r="L44" s="19"/>
      <c r="M44" s="20"/>
      <c r="N44" s="21"/>
    </row>
    <row r="45" spans="1:14" ht="15.75" customHeight="1">
      <c r="A45" s="29">
        <v>17</v>
      </c>
      <c r="B45" s="62" t="s">
        <v>36</v>
      </c>
      <c r="C45" s="63" t="s">
        <v>110</v>
      </c>
      <c r="D45" s="62" t="s">
        <v>240</v>
      </c>
      <c r="E45" s="48">
        <v>104</v>
      </c>
      <c r="F45" s="64">
        <f>SUM(E45*2/1000)</f>
        <v>0.20799999999999999</v>
      </c>
      <c r="G45" s="13">
        <v>619.46</v>
      </c>
      <c r="H45" s="65">
        <f t="shared" si="7"/>
        <v>0.12884767999999999</v>
      </c>
      <c r="I45" s="13">
        <f t="shared" si="8"/>
        <v>64.423839999999998</v>
      </c>
      <c r="J45" s="23"/>
      <c r="L45" s="19"/>
      <c r="M45" s="20"/>
      <c r="N45" s="21"/>
    </row>
    <row r="46" spans="1:14" ht="15.75" customHeight="1">
      <c r="A46" s="29">
        <v>18</v>
      </c>
      <c r="B46" s="62" t="s">
        <v>37</v>
      </c>
      <c r="C46" s="63" t="s">
        <v>110</v>
      </c>
      <c r="D46" s="62" t="s">
        <v>240</v>
      </c>
      <c r="E46" s="48">
        <v>1996.87</v>
      </c>
      <c r="F46" s="64">
        <f>SUM(E46*2/1000)</f>
        <v>3.9937399999999998</v>
      </c>
      <c r="G46" s="13">
        <v>619.46</v>
      </c>
      <c r="H46" s="65">
        <f t="shared" si="7"/>
        <v>2.4739621804</v>
      </c>
      <c r="I46" s="13">
        <f t="shared" si="8"/>
        <v>1236.9810901999999</v>
      </c>
      <c r="J46" s="23"/>
      <c r="L46" s="19"/>
      <c r="M46" s="20"/>
      <c r="N46" s="21"/>
    </row>
    <row r="47" spans="1:14" ht="15.75" customHeight="1">
      <c r="A47" s="29">
        <v>19</v>
      </c>
      <c r="B47" s="62" t="s">
        <v>38</v>
      </c>
      <c r="C47" s="63" t="s">
        <v>110</v>
      </c>
      <c r="D47" s="62" t="s">
        <v>240</v>
      </c>
      <c r="E47" s="48">
        <v>2630.35</v>
      </c>
      <c r="F47" s="64">
        <f>SUM(E47*2/1000)</f>
        <v>5.2606999999999999</v>
      </c>
      <c r="G47" s="13">
        <v>648.64</v>
      </c>
      <c r="H47" s="65">
        <f t="shared" si="7"/>
        <v>3.4123004479999999</v>
      </c>
      <c r="I47" s="13">
        <f t="shared" si="8"/>
        <v>1706.150224</v>
      </c>
      <c r="J47" s="23"/>
      <c r="L47" s="19"/>
      <c r="M47" s="20"/>
      <c r="N47" s="21"/>
    </row>
    <row r="48" spans="1:14" ht="15.75" customHeight="1">
      <c r="A48" s="29">
        <v>20</v>
      </c>
      <c r="B48" s="62" t="s">
        <v>34</v>
      </c>
      <c r="C48" s="63" t="s">
        <v>35</v>
      </c>
      <c r="D48" s="62" t="s">
        <v>240</v>
      </c>
      <c r="E48" s="48">
        <v>131.47</v>
      </c>
      <c r="F48" s="64">
        <f>SUM(E48*2/100)</f>
        <v>2.6294</v>
      </c>
      <c r="G48" s="13">
        <v>77.84</v>
      </c>
      <c r="H48" s="65">
        <f t="shared" si="7"/>
        <v>0.20467249599999998</v>
      </c>
      <c r="I48" s="13">
        <f>F48/2*G48</f>
        <v>102.336248</v>
      </c>
      <c r="J48" s="23"/>
      <c r="L48" s="19"/>
      <c r="M48" s="20"/>
      <c r="N48" s="21"/>
    </row>
    <row r="49" spans="1:22" ht="15.75" customHeight="1">
      <c r="A49" s="29">
        <v>21</v>
      </c>
      <c r="B49" s="62" t="s">
        <v>58</v>
      </c>
      <c r="C49" s="63" t="s">
        <v>110</v>
      </c>
      <c r="D49" s="62" t="s">
        <v>240</v>
      </c>
      <c r="E49" s="48">
        <v>2872.4</v>
      </c>
      <c r="F49" s="64">
        <f>SUM(E49*5/1000)</f>
        <v>14.362</v>
      </c>
      <c r="G49" s="13">
        <v>1297.28</v>
      </c>
      <c r="H49" s="65">
        <f t="shared" si="7"/>
        <v>18.631535359999997</v>
      </c>
      <c r="I49" s="13">
        <f>F49/5*G49</f>
        <v>3726.3070719999996</v>
      </c>
      <c r="J49" s="23"/>
      <c r="L49" s="19"/>
      <c r="M49" s="20"/>
      <c r="N49" s="21"/>
    </row>
    <row r="50" spans="1:22" ht="30" customHeight="1">
      <c r="A50" s="29">
        <v>22</v>
      </c>
      <c r="B50" s="62" t="s">
        <v>119</v>
      </c>
      <c r="C50" s="63" t="s">
        <v>110</v>
      </c>
      <c r="D50" s="62" t="s">
        <v>240</v>
      </c>
      <c r="E50" s="48">
        <v>2872.4</v>
      </c>
      <c r="F50" s="64">
        <f>SUM(E50*2/1000)</f>
        <v>5.7448000000000006</v>
      </c>
      <c r="G50" s="13">
        <v>1297.28</v>
      </c>
      <c r="H50" s="65">
        <f t="shared" si="7"/>
        <v>7.4526141440000009</v>
      </c>
      <c r="I50" s="13">
        <f>F50/2*G50</f>
        <v>3726.3070720000005</v>
      </c>
      <c r="J50" s="23"/>
      <c r="L50" s="19"/>
      <c r="M50" s="20"/>
      <c r="N50" s="21"/>
    </row>
    <row r="51" spans="1:22" ht="28.5" customHeight="1">
      <c r="A51" s="29">
        <v>23</v>
      </c>
      <c r="B51" s="62" t="s">
        <v>120</v>
      </c>
      <c r="C51" s="63" t="s">
        <v>39</v>
      </c>
      <c r="D51" s="62" t="s">
        <v>240</v>
      </c>
      <c r="E51" s="48">
        <v>40</v>
      </c>
      <c r="F51" s="64">
        <f>SUM(E51*2/100)</f>
        <v>0.8</v>
      </c>
      <c r="G51" s="13">
        <v>2918.89</v>
      </c>
      <c r="H51" s="65">
        <f t="shared" si="7"/>
        <v>2.3351120000000001</v>
      </c>
      <c r="I51" s="13">
        <f t="shared" ref="I51:I52" si="9">F51/2*G51</f>
        <v>1167.556</v>
      </c>
      <c r="J51" s="23"/>
      <c r="L51" s="19"/>
      <c r="M51" s="20"/>
      <c r="N51" s="21"/>
    </row>
    <row r="52" spans="1:22" ht="19.5" customHeight="1">
      <c r="A52" s="29">
        <v>24</v>
      </c>
      <c r="B52" s="62" t="s">
        <v>40</v>
      </c>
      <c r="C52" s="63" t="s">
        <v>41</v>
      </c>
      <c r="D52" s="62" t="s">
        <v>240</v>
      </c>
      <c r="E52" s="48">
        <v>1</v>
      </c>
      <c r="F52" s="64">
        <v>0.02</v>
      </c>
      <c r="G52" s="13">
        <v>6042.12</v>
      </c>
      <c r="H52" s="65">
        <f t="shared" si="7"/>
        <v>0.1208424</v>
      </c>
      <c r="I52" s="13">
        <f t="shared" si="9"/>
        <v>60.421199999999999</v>
      </c>
      <c r="J52" s="23"/>
      <c r="L52" s="19"/>
      <c r="M52" s="20"/>
      <c r="N52" s="21"/>
    </row>
    <row r="53" spans="1:22" ht="18" hidden="1" customHeight="1">
      <c r="A53" s="29">
        <v>15</v>
      </c>
      <c r="B53" s="62" t="s">
        <v>42</v>
      </c>
      <c r="C53" s="63" t="s">
        <v>30</v>
      </c>
      <c r="D53" s="62" t="s">
        <v>72</v>
      </c>
      <c r="E53" s="48">
        <v>160</v>
      </c>
      <c r="F53" s="64">
        <f>SUM(E53)*3</f>
        <v>480</v>
      </c>
      <c r="G53" s="13">
        <v>70.209999999999994</v>
      </c>
      <c r="H53" s="65">
        <f t="shared" si="7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71" t="s">
        <v>137</v>
      </c>
      <c r="B54" s="172"/>
      <c r="C54" s="172"/>
      <c r="D54" s="172"/>
      <c r="E54" s="172"/>
      <c r="F54" s="172"/>
      <c r="G54" s="172"/>
      <c r="H54" s="172"/>
      <c r="I54" s="173"/>
      <c r="J54" s="23"/>
      <c r="L54" s="19"/>
      <c r="M54" s="20"/>
      <c r="N54" s="21"/>
    </row>
    <row r="55" spans="1:22" ht="16.5" hidden="1" customHeight="1">
      <c r="A55" s="29"/>
      <c r="B55" s="84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18" hidden="1" customHeight="1">
      <c r="A56" s="29">
        <v>27</v>
      </c>
      <c r="B56" s="62" t="s">
        <v>122</v>
      </c>
      <c r="C56" s="63" t="s">
        <v>103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8" hidden="1" customHeight="1">
      <c r="A57" s="29">
        <v>25</v>
      </c>
      <c r="B57" s="73" t="s">
        <v>88</v>
      </c>
      <c r="C57" s="72" t="s">
        <v>167</v>
      </c>
      <c r="D57" s="123" t="s">
        <v>168</v>
      </c>
      <c r="E57" s="74"/>
      <c r="F57" s="76"/>
      <c r="G57" s="109">
        <v>1501</v>
      </c>
      <c r="H57" s="78"/>
      <c r="I57" s="13">
        <f>G57*2</f>
        <v>3002</v>
      </c>
      <c r="J57" s="23"/>
      <c r="L57" s="19"/>
      <c r="M57" s="20"/>
      <c r="N57" s="21"/>
    </row>
    <row r="58" spans="1:22" ht="15.75" customHeight="1">
      <c r="A58" s="29"/>
      <c r="B58" s="85" t="s">
        <v>45</v>
      </c>
      <c r="C58" s="72"/>
      <c r="D58" s="73"/>
      <c r="E58" s="74"/>
      <c r="F58" s="76"/>
      <c r="G58" s="13"/>
      <c r="H58" s="78"/>
      <c r="I58" s="13"/>
      <c r="J58" s="23"/>
      <c r="L58" s="19"/>
      <c r="M58" s="20"/>
      <c r="N58" s="21"/>
    </row>
    <row r="59" spans="1:22" ht="15.75" hidden="1" customHeight="1">
      <c r="A59" s="29"/>
      <c r="B59" s="73" t="s">
        <v>46</v>
      </c>
      <c r="C59" s="72" t="s">
        <v>55</v>
      </c>
      <c r="D59" s="73" t="s">
        <v>56</v>
      </c>
      <c r="E59" s="74">
        <v>2686</v>
      </c>
      <c r="F59" s="76">
        <f>E59/100</f>
        <v>26.86</v>
      </c>
      <c r="G59" s="13">
        <v>848.37</v>
      </c>
      <c r="H59" s="78">
        <f>G59*F59/1000</f>
        <v>22.787218199999998</v>
      </c>
      <c r="I59" s="13">
        <v>0</v>
      </c>
      <c r="J59" s="23"/>
      <c r="L59" s="19"/>
    </row>
    <row r="60" spans="1:22" ht="15.75" customHeight="1">
      <c r="A60" s="29">
        <v>25</v>
      </c>
      <c r="B60" s="73" t="s">
        <v>96</v>
      </c>
      <c r="C60" s="72" t="s">
        <v>25</v>
      </c>
      <c r="D60" s="73" t="s">
        <v>216</v>
      </c>
      <c r="E60" s="74">
        <v>343</v>
      </c>
      <c r="F60" s="76">
        <v>4116</v>
      </c>
      <c r="G60" s="13">
        <v>1.4</v>
      </c>
      <c r="H60" s="78">
        <f>F60*G60</f>
        <v>5762.4</v>
      </c>
      <c r="I60" s="13">
        <f>4116/12*G60</f>
        <v>480.2</v>
      </c>
    </row>
    <row r="61" spans="1:22" ht="15.75" hidden="1" customHeight="1">
      <c r="A61" s="29"/>
      <c r="B61" s="85" t="s">
        <v>134</v>
      </c>
      <c r="C61" s="72"/>
      <c r="D61" s="73"/>
      <c r="E61" s="74"/>
      <c r="F61" s="76"/>
      <c r="G61" s="13"/>
      <c r="H61" s="78"/>
      <c r="I61" s="13"/>
    </row>
    <row r="62" spans="1:22" ht="15.75" hidden="1" customHeight="1">
      <c r="A62" s="29"/>
      <c r="B62" s="73" t="s">
        <v>135</v>
      </c>
      <c r="C62" s="72" t="s">
        <v>30</v>
      </c>
      <c r="D62" s="73" t="s">
        <v>68</v>
      </c>
      <c r="E62" s="74">
        <v>3</v>
      </c>
      <c r="F62" s="75">
        <v>3</v>
      </c>
      <c r="G62" s="77">
        <v>254.16</v>
      </c>
      <c r="H62" s="76">
        <v>0.76200000000000001</v>
      </c>
      <c r="I62" s="13">
        <v>0</v>
      </c>
    </row>
    <row r="63" spans="1:22" ht="15.75" hidden="1" customHeight="1">
      <c r="A63" s="29"/>
      <c r="B63" s="85" t="s">
        <v>47</v>
      </c>
      <c r="C63" s="72"/>
      <c r="D63" s="73"/>
      <c r="E63" s="74"/>
      <c r="F63" s="75"/>
      <c r="G63" s="75"/>
      <c r="H63" s="76" t="s">
        <v>129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29"/>
      <c r="B64" s="14" t="s">
        <v>48</v>
      </c>
      <c r="C64" s="16" t="s">
        <v>121</v>
      </c>
      <c r="D64" s="73" t="s">
        <v>68</v>
      </c>
      <c r="E64" s="18">
        <v>15</v>
      </c>
      <c r="F64" s="64">
        <v>15</v>
      </c>
      <c r="G64" s="13">
        <v>237.74</v>
      </c>
      <c r="H64" s="79">
        <f t="shared" ref="H64:H77" si="10">SUM(F64*G64/1000)</f>
        <v>3.5661000000000005</v>
      </c>
      <c r="I64" s="13">
        <v>0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29"/>
      <c r="B65" s="14" t="s">
        <v>49</v>
      </c>
      <c r="C65" s="16" t="s">
        <v>121</v>
      </c>
      <c r="D65" s="73" t="s">
        <v>68</v>
      </c>
      <c r="E65" s="18">
        <v>5</v>
      </c>
      <c r="F65" s="64">
        <v>5</v>
      </c>
      <c r="G65" s="13">
        <v>81.510000000000005</v>
      </c>
      <c r="H65" s="79">
        <f t="shared" si="10"/>
        <v>0.40755000000000002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>
        <v>27</v>
      </c>
      <c r="B66" s="14" t="s">
        <v>50</v>
      </c>
      <c r="C66" s="16" t="s">
        <v>123</v>
      </c>
      <c r="D66" s="14" t="s">
        <v>56</v>
      </c>
      <c r="E66" s="48">
        <v>24123</v>
      </c>
      <c r="F66" s="13">
        <f>SUM(E66/100)</f>
        <v>241.23</v>
      </c>
      <c r="G66" s="13">
        <v>226.79</v>
      </c>
      <c r="H66" s="79">
        <f t="shared" si="10"/>
        <v>54.708551699999994</v>
      </c>
      <c r="I66" s="13">
        <f>F66*G66</f>
        <v>54708.551699999996</v>
      </c>
      <c r="J66" s="5"/>
      <c r="K66" s="5"/>
      <c r="L66" s="5"/>
      <c r="M66" s="5"/>
      <c r="N66" s="5"/>
      <c r="O66" s="5"/>
      <c r="P66" s="5"/>
      <c r="Q66" s="5"/>
      <c r="R66" s="159"/>
      <c r="S66" s="159"/>
      <c r="T66" s="159"/>
      <c r="U66" s="159"/>
    </row>
    <row r="67" spans="1:21" ht="15.75" hidden="1" customHeight="1">
      <c r="A67" s="29">
        <v>28</v>
      </c>
      <c r="B67" s="14" t="s">
        <v>51</v>
      </c>
      <c r="C67" s="16" t="s">
        <v>124</v>
      </c>
      <c r="D67" s="14"/>
      <c r="E67" s="48">
        <v>24123</v>
      </c>
      <c r="F67" s="13">
        <f>SUM(E67/1000)</f>
        <v>24.123000000000001</v>
      </c>
      <c r="G67" s="13">
        <v>176.61</v>
      </c>
      <c r="H67" s="79">
        <f t="shared" si="10"/>
        <v>4.2603630300000006</v>
      </c>
      <c r="I67" s="13">
        <f t="shared" ref="I67:I71" si="11">F67*G67</f>
        <v>4260.3630300000004</v>
      </c>
    </row>
    <row r="68" spans="1:21" ht="15.75" hidden="1" customHeight="1">
      <c r="A68" s="29">
        <v>29</v>
      </c>
      <c r="B68" s="14" t="s">
        <v>52</v>
      </c>
      <c r="C68" s="16" t="s">
        <v>78</v>
      </c>
      <c r="D68" s="14" t="s">
        <v>56</v>
      </c>
      <c r="E68" s="48">
        <v>2730</v>
      </c>
      <c r="F68" s="13">
        <f>SUM(E68/100)</f>
        <v>27.3</v>
      </c>
      <c r="G68" s="13">
        <v>2217.7800000000002</v>
      </c>
      <c r="H68" s="79">
        <f t="shared" si="10"/>
        <v>60.545394000000009</v>
      </c>
      <c r="I68" s="13">
        <f t="shared" si="11"/>
        <v>60545.394000000008</v>
      </c>
    </row>
    <row r="69" spans="1:21" ht="15.75" hidden="1" customHeight="1">
      <c r="A69" s="29">
        <v>30</v>
      </c>
      <c r="B69" s="80" t="s">
        <v>125</v>
      </c>
      <c r="C69" s="16" t="s">
        <v>33</v>
      </c>
      <c r="D69" s="14"/>
      <c r="E69" s="48">
        <v>23</v>
      </c>
      <c r="F69" s="13">
        <f>SUM(E69)</f>
        <v>23</v>
      </c>
      <c r="G69" s="13">
        <v>42.67</v>
      </c>
      <c r="H69" s="79">
        <f t="shared" si="10"/>
        <v>0.98141000000000012</v>
      </c>
      <c r="I69" s="13">
        <f t="shared" si="11"/>
        <v>981.41000000000008</v>
      </c>
    </row>
    <row r="70" spans="1:21" ht="15.75" hidden="1" customHeight="1">
      <c r="A70" s="29">
        <v>31</v>
      </c>
      <c r="B70" s="80" t="s">
        <v>126</v>
      </c>
      <c r="C70" s="16" t="s">
        <v>33</v>
      </c>
      <c r="D70" s="14"/>
      <c r="E70" s="48">
        <v>23</v>
      </c>
      <c r="F70" s="13">
        <f>SUM(E70)</f>
        <v>23</v>
      </c>
      <c r="G70" s="13">
        <v>39.81</v>
      </c>
      <c r="H70" s="79">
        <f t="shared" si="10"/>
        <v>0.91563000000000005</v>
      </c>
      <c r="I70" s="13">
        <f t="shared" si="11"/>
        <v>915.63000000000011</v>
      </c>
    </row>
    <row r="71" spans="1:21" ht="15.75" hidden="1" customHeight="1">
      <c r="A71" s="29"/>
      <c r="B71" s="14" t="s">
        <v>59</v>
      </c>
      <c r="C71" s="16" t="s">
        <v>60</v>
      </c>
      <c r="D71" s="14" t="s">
        <v>56</v>
      </c>
      <c r="E71" s="18">
        <v>10</v>
      </c>
      <c r="F71" s="64">
        <f>SUM(E71)</f>
        <v>10</v>
      </c>
      <c r="G71" s="13">
        <v>53.32</v>
      </c>
      <c r="H71" s="79">
        <f t="shared" si="10"/>
        <v>0.53320000000000001</v>
      </c>
      <c r="I71" s="13">
        <f t="shared" si="11"/>
        <v>533.20000000000005</v>
      </c>
    </row>
    <row r="72" spans="1:21" ht="15.75" hidden="1" customHeight="1">
      <c r="A72" s="29"/>
      <c r="B72" s="54" t="s">
        <v>74</v>
      </c>
      <c r="C72" s="16"/>
      <c r="D72" s="14"/>
      <c r="E72" s="18"/>
      <c r="F72" s="13"/>
      <c r="G72" s="13"/>
      <c r="H72" s="79" t="s">
        <v>129</v>
      </c>
      <c r="I72" s="13"/>
    </row>
    <row r="73" spans="1:21" ht="15.75" hidden="1" customHeight="1">
      <c r="A73" s="29"/>
      <c r="B73" s="14" t="s">
        <v>75</v>
      </c>
      <c r="C73" s="16" t="s">
        <v>31</v>
      </c>
      <c r="D73" s="14"/>
      <c r="E73" s="18">
        <v>2</v>
      </c>
      <c r="F73" s="56">
        <v>0.2</v>
      </c>
      <c r="G73" s="13">
        <v>536.23</v>
      </c>
      <c r="H73" s="79">
        <v>0.251</v>
      </c>
      <c r="I73" s="13">
        <v>0</v>
      </c>
    </row>
    <row r="74" spans="1:21" ht="15.75" hidden="1" customHeight="1">
      <c r="A74" s="29"/>
      <c r="B74" s="14" t="s">
        <v>89</v>
      </c>
      <c r="C74" s="16" t="s">
        <v>30</v>
      </c>
      <c r="D74" s="14"/>
      <c r="E74" s="18">
        <v>1</v>
      </c>
      <c r="F74" s="64">
        <f>SUM(E74)</f>
        <v>1</v>
      </c>
      <c r="G74" s="13">
        <v>383.25</v>
      </c>
      <c r="H74" s="79">
        <f t="shared" si="10"/>
        <v>0.38324999999999998</v>
      </c>
      <c r="I74" s="13">
        <v>0</v>
      </c>
    </row>
    <row r="75" spans="1:21" ht="15.75" hidden="1" customHeight="1">
      <c r="A75" s="29"/>
      <c r="B75" s="14" t="s">
        <v>76</v>
      </c>
      <c r="C75" s="16" t="s">
        <v>30</v>
      </c>
      <c r="D75" s="14"/>
      <c r="E75" s="18">
        <v>2</v>
      </c>
      <c r="F75" s="13">
        <v>2</v>
      </c>
      <c r="G75" s="13">
        <v>911.85</v>
      </c>
      <c r="H75" s="79">
        <f>F75*G75/1000</f>
        <v>1.8237000000000001</v>
      </c>
      <c r="I75" s="13">
        <v>0</v>
      </c>
    </row>
    <row r="76" spans="1:21" ht="15.75" hidden="1" customHeight="1">
      <c r="A76" s="29"/>
      <c r="B76" s="81" t="s">
        <v>77</v>
      </c>
      <c r="C76" s="16"/>
      <c r="D76" s="14"/>
      <c r="E76" s="18"/>
      <c r="F76" s="13"/>
      <c r="G76" s="13" t="s">
        <v>129</v>
      </c>
      <c r="H76" s="79" t="s">
        <v>129</v>
      </c>
      <c r="I76" s="13"/>
    </row>
    <row r="77" spans="1:21" ht="15.75" hidden="1" customHeight="1">
      <c r="A77" s="29"/>
      <c r="B77" s="44" t="s">
        <v>130</v>
      </c>
      <c r="C77" s="16" t="s">
        <v>78</v>
      </c>
      <c r="D77" s="14"/>
      <c r="E77" s="18"/>
      <c r="F77" s="13">
        <v>1.35</v>
      </c>
      <c r="G77" s="13">
        <v>2949.85</v>
      </c>
      <c r="H77" s="79">
        <f t="shared" si="10"/>
        <v>3.9822975</v>
      </c>
      <c r="I77" s="13">
        <v>0</v>
      </c>
    </row>
    <row r="78" spans="1:21" ht="15.75" hidden="1" customHeight="1">
      <c r="A78" s="29"/>
      <c r="B78" s="67" t="s">
        <v>127</v>
      </c>
      <c r="C78" s="81"/>
      <c r="D78" s="31"/>
      <c r="E78" s="32"/>
      <c r="F78" s="68"/>
      <c r="G78" s="68"/>
      <c r="H78" s="82">
        <f>SUM(H56:H77)</f>
        <v>5942.0851510459988</v>
      </c>
      <c r="I78" s="68"/>
    </row>
    <row r="79" spans="1:21" ht="15.75" hidden="1" customHeight="1">
      <c r="A79" s="29"/>
      <c r="B79" s="62" t="s">
        <v>128</v>
      </c>
      <c r="C79" s="16"/>
      <c r="D79" s="14"/>
      <c r="E79" s="57"/>
      <c r="F79" s="13">
        <v>1</v>
      </c>
      <c r="G79" s="13">
        <v>19342.2</v>
      </c>
      <c r="H79" s="79">
        <f>G79*F79/1000</f>
        <v>19.342200000000002</v>
      </c>
      <c r="I79" s="13">
        <v>0</v>
      </c>
    </row>
    <row r="80" spans="1:21" ht="15.75" customHeight="1">
      <c r="A80" s="160" t="s">
        <v>138</v>
      </c>
      <c r="B80" s="161"/>
      <c r="C80" s="161"/>
      <c r="D80" s="161"/>
      <c r="E80" s="161"/>
      <c r="F80" s="161"/>
      <c r="G80" s="161"/>
      <c r="H80" s="161"/>
      <c r="I80" s="162"/>
    </row>
    <row r="81" spans="1:9" ht="15.75" customHeight="1">
      <c r="A81" s="29">
        <v>26</v>
      </c>
      <c r="B81" s="62" t="s">
        <v>131</v>
      </c>
      <c r="C81" s="16" t="s">
        <v>57</v>
      </c>
      <c r="D81" s="83"/>
      <c r="E81" s="13">
        <v>4591.2</v>
      </c>
      <c r="F81" s="13">
        <f>SUM(E81*12)</f>
        <v>55094.399999999994</v>
      </c>
      <c r="G81" s="13">
        <v>2.54</v>
      </c>
      <c r="H81" s="79">
        <f>SUM(F81*G81/1000)</f>
        <v>139.93977599999999</v>
      </c>
      <c r="I81" s="13">
        <f>F81/12*G81</f>
        <v>11661.647999999999</v>
      </c>
    </row>
    <row r="82" spans="1:9" ht="31.5" customHeight="1">
      <c r="A82" s="29">
        <v>27</v>
      </c>
      <c r="B82" s="14" t="s">
        <v>79</v>
      </c>
      <c r="C82" s="16"/>
      <c r="D82" s="83"/>
      <c r="E82" s="48">
        <f>E81</f>
        <v>4591.2</v>
      </c>
      <c r="F82" s="13">
        <f>E82*12</f>
        <v>55094.399999999994</v>
      </c>
      <c r="G82" s="13">
        <v>2.0499999999999998</v>
      </c>
      <c r="H82" s="79">
        <f>F82*G82/1000</f>
        <v>112.94351999999998</v>
      </c>
      <c r="I82" s="13">
        <f>F82/12*G82</f>
        <v>9411.9599999999991</v>
      </c>
    </row>
    <row r="83" spans="1:9" ht="15.75" customHeight="1">
      <c r="A83" s="45"/>
      <c r="B83" s="36" t="s">
        <v>81</v>
      </c>
      <c r="C83" s="37"/>
      <c r="D83" s="15"/>
      <c r="E83" s="15"/>
      <c r="F83" s="15"/>
      <c r="G83" s="18"/>
      <c r="H83" s="18"/>
      <c r="I83" s="32">
        <f>I82+I81+I60+I52+I51+I50+I49+I48+I47+I46+I45+I44+I32+I31+I30+I29+I26+I25+I24+I23+I22+I21+I20+I19+I18+I17+I16</f>
        <v>67351.462358899997</v>
      </c>
    </row>
    <row r="84" spans="1:9" ht="15.75" customHeight="1">
      <c r="A84" s="178" t="s">
        <v>62</v>
      </c>
      <c r="B84" s="179"/>
      <c r="C84" s="179"/>
      <c r="D84" s="179"/>
      <c r="E84" s="179"/>
      <c r="F84" s="179"/>
      <c r="G84" s="179"/>
      <c r="H84" s="179"/>
      <c r="I84" s="180"/>
    </row>
    <row r="85" spans="1:9" ht="15.75" customHeight="1">
      <c r="A85" s="29">
        <v>28</v>
      </c>
      <c r="B85" s="93" t="s">
        <v>188</v>
      </c>
      <c r="C85" s="94" t="s">
        <v>121</v>
      </c>
      <c r="D85" s="16"/>
      <c r="E85" s="34"/>
      <c r="F85" s="34">
        <v>2</v>
      </c>
      <c r="G85" s="34">
        <v>49</v>
      </c>
      <c r="H85" s="95">
        <f t="shared" ref="H85" si="12">G85*F85/1000</f>
        <v>9.8000000000000004E-2</v>
      </c>
      <c r="I85" s="13">
        <f t="shared" ref="I85:I90" si="13">G85*1</f>
        <v>49</v>
      </c>
    </row>
    <row r="86" spans="1:9" ht="15.75" customHeight="1">
      <c r="A86" s="29">
        <v>29</v>
      </c>
      <c r="B86" s="93" t="s">
        <v>218</v>
      </c>
      <c r="C86" s="94" t="s">
        <v>121</v>
      </c>
      <c r="D86" s="44"/>
      <c r="E86" s="34"/>
      <c r="F86" s="34">
        <v>2</v>
      </c>
      <c r="G86" s="34">
        <v>1133.92</v>
      </c>
      <c r="H86" s="95">
        <f>G86*F86/1000</f>
        <v>2.2678400000000001</v>
      </c>
      <c r="I86" s="13">
        <f t="shared" si="13"/>
        <v>1133.92</v>
      </c>
    </row>
    <row r="87" spans="1:9" ht="15.75" customHeight="1">
      <c r="A87" s="29">
        <v>30</v>
      </c>
      <c r="B87" s="93" t="s">
        <v>219</v>
      </c>
      <c r="C87" s="94" t="s">
        <v>121</v>
      </c>
      <c r="D87" s="96"/>
      <c r="E87" s="34"/>
      <c r="F87" s="34">
        <f>4/10</f>
        <v>0.4</v>
      </c>
      <c r="G87" s="34">
        <v>909</v>
      </c>
      <c r="H87" s="95">
        <f t="shared" ref="H87" si="14">G87*F87/1000</f>
        <v>0.36360000000000003</v>
      </c>
      <c r="I87" s="13">
        <f t="shared" si="13"/>
        <v>909</v>
      </c>
    </row>
    <row r="88" spans="1:9" ht="16.5" customHeight="1">
      <c r="A88" s="29">
        <v>31</v>
      </c>
      <c r="B88" s="93" t="s">
        <v>220</v>
      </c>
      <c r="C88" s="94" t="s">
        <v>121</v>
      </c>
      <c r="D88" s="44"/>
      <c r="E88" s="13"/>
      <c r="F88" s="13">
        <v>1</v>
      </c>
      <c r="G88" s="34">
        <v>98</v>
      </c>
      <c r="H88" s="79">
        <f>G88*F88/1000</f>
        <v>9.8000000000000004E-2</v>
      </c>
      <c r="I88" s="13">
        <f t="shared" si="13"/>
        <v>98</v>
      </c>
    </row>
    <row r="89" spans="1:9" ht="15.75" customHeight="1">
      <c r="A89" s="29">
        <v>32</v>
      </c>
      <c r="B89" s="93" t="s">
        <v>221</v>
      </c>
      <c r="C89" s="94" t="s">
        <v>121</v>
      </c>
      <c r="D89" s="44"/>
      <c r="E89" s="13"/>
      <c r="F89" s="13">
        <v>3</v>
      </c>
      <c r="G89" s="34">
        <v>125</v>
      </c>
      <c r="H89" s="79">
        <f>G89*F89/1000</f>
        <v>0.375</v>
      </c>
      <c r="I89" s="13">
        <f t="shared" si="13"/>
        <v>125</v>
      </c>
    </row>
    <row r="90" spans="1:9" ht="18.75" customHeight="1">
      <c r="A90" s="29">
        <v>33</v>
      </c>
      <c r="B90" s="93" t="s">
        <v>222</v>
      </c>
      <c r="C90" s="94" t="s">
        <v>121</v>
      </c>
      <c r="D90" s="44"/>
      <c r="E90" s="13"/>
      <c r="F90" s="13">
        <v>7</v>
      </c>
      <c r="G90" s="34">
        <v>235</v>
      </c>
      <c r="H90" s="79">
        <f t="shared" ref="H90" si="15">G90*F90/1000</f>
        <v>1.645</v>
      </c>
      <c r="I90" s="13">
        <f t="shared" si="13"/>
        <v>235</v>
      </c>
    </row>
    <row r="91" spans="1:9" ht="17.25" customHeight="1">
      <c r="A91" s="29">
        <v>34</v>
      </c>
      <c r="B91" s="93" t="s">
        <v>189</v>
      </c>
      <c r="C91" s="94" t="s">
        <v>29</v>
      </c>
      <c r="D91" s="44"/>
      <c r="E91" s="13"/>
      <c r="F91" s="13"/>
      <c r="G91" s="34">
        <v>1160.81</v>
      </c>
      <c r="H91" s="79"/>
      <c r="I91" s="13">
        <f>G91*0.058</f>
        <v>67.326980000000006</v>
      </c>
    </row>
    <row r="92" spans="1:9" ht="30.75" customHeight="1">
      <c r="A92" s="29">
        <v>35</v>
      </c>
      <c r="B92" s="93" t="s">
        <v>223</v>
      </c>
      <c r="C92" s="94" t="s">
        <v>39</v>
      </c>
      <c r="D92" s="44"/>
      <c r="E92" s="13"/>
      <c r="F92" s="13"/>
      <c r="G92" s="34">
        <v>3914.31</v>
      </c>
      <c r="H92" s="79"/>
      <c r="I92" s="13">
        <f>G92*0.01</f>
        <v>39.143099999999997</v>
      </c>
    </row>
    <row r="93" spans="1:9" ht="18.75" customHeight="1">
      <c r="A93" s="29">
        <v>36</v>
      </c>
      <c r="B93" s="93" t="s">
        <v>229</v>
      </c>
      <c r="C93" s="94" t="s">
        <v>230</v>
      </c>
      <c r="D93" s="44"/>
      <c r="E93" s="13"/>
      <c r="F93" s="13"/>
      <c r="G93" s="117">
        <v>24628.49</v>
      </c>
      <c r="H93" s="79"/>
      <c r="I93" s="13">
        <f>G93*0.02</f>
        <v>492.56980000000004</v>
      </c>
    </row>
    <row r="94" spans="1:9" ht="18.75" customHeight="1">
      <c r="A94" s="29">
        <v>37</v>
      </c>
      <c r="B94" s="93" t="s">
        <v>224</v>
      </c>
      <c r="C94" s="94" t="s">
        <v>41</v>
      </c>
      <c r="D94" s="44"/>
      <c r="E94" s="13"/>
      <c r="F94" s="13"/>
      <c r="G94" s="34">
        <v>26095.37</v>
      </c>
      <c r="H94" s="79"/>
      <c r="I94" s="13">
        <f>G94*0.02</f>
        <v>521.90739999999994</v>
      </c>
    </row>
    <row r="95" spans="1:9" ht="27.75" customHeight="1">
      <c r="A95" s="29">
        <v>38</v>
      </c>
      <c r="B95" s="99" t="s">
        <v>195</v>
      </c>
      <c r="C95" s="37" t="s">
        <v>194</v>
      </c>
      <c r="D95" s="16" t="s">
        <v>225</v>
      </c>
      <c r="E95" s="13"/>
      <c r="F95" s="13"/>
      <c r="G95" s="34">
        <v>2114.96</v>
      </c>
      <c r="H95" s="79"/>
      <c r="I95" s="13">
        <f>G95*1</f>
        <v>2114.96</v>
      </c>
    </row>
    <row r="96" spans="1:9" ht="18.75" customHeight="1">
      <c r="A96" s="29">
        <v>39</v>
      </c>
      <c r="B96" s="93" t="s">
        <v>226</v>
      </c>
      <c r="C96" s="94" t="s">
        <v>29</v>
      </c>
      <c r="D96" s="44"/>
      <c r="E96" s="13"/>
      <c r="F96" s="13"/>
      <c r="G96" s="34">
        <v>6219.39</v>
      </c>
      <c r="H96" s="79"/>
      <c r="I96" s="13">
        <f>G96*0.0542</f>
        <v>337.09093799999999</v>
      </c>
    </row>
    <row r="97" spans="1:9" ht="18.75" customHeight="1">
      <c r="A97" s="29">
        <v>40</v>
      </c>
      <c r="B97" s="93" t="s">
        <v>83</v>
      </c>
      <c r="C97" s="94" t="s">
        <v>121</v>
      </c>
      <c r="D97" s="44"/>
      <c r="E97" s="13"/>
      <c r="F97" s="13"/>
      <c r="G97" s="34">
        <v>207.55</v>
      </c>
      <c r="H97" s="79"/>
      <c r="I97" s="13">
        <f>G97*3</f>
        <v>622.65000000000009</v>
      </c>
    </row>
    <row r="98" spans="1:9" ht="18.75" hidden="1" customHeight="1">
      <c r="A98" s="29"/>
      <c r="B98" s="124"/>
      <c r="C98" s="125"/>
      <c r="D98" s="44"/>
      <c r="E98" s="13"/>
      <c r="F98" s="13"/>
      <c r="G98" s="117"/>
      <c r="H98" s="79"/>
      <c r="I98" s="13"/>
    </row>
    <row r="99" spans="1:9" ht="19.5" customHeight="1">
      <c r="A99" s="29">
        <v>41</v>
      </c>
      <c r="B99" s="93" t="s">
        <v>227</v>
      </c>
      <c r="C99" s="94" t="s">
        <v>92</v>
      </c>
      <c r="D99" s="44" t="s">
        <v>228</v>
      </c>
      <c r="E99" s="13"/>
      <c r="F99" s="13"/>
      <c r="G99" s="34">
        <v>6813.65</v>
      </c>
      <c r="H99" s="79"/>
      <c r="I99" s="13">
        <f>G99*1</f>
        <v>6813.65</v>
      </c>
    </row>
    <row r="100" spans="1:9" ht="19.5" customHeight="1">
      <c r="A100" s="29">
        <v>42</v>
      </c>
      <c r="B100" s="93" t="s">
        <v>174</v>
      </c>
      <c r="C100" s="94" t="s">
        <v>121</v>
      </c>
      <c r="D100" s="29"/>
      <c r="E100" s="18"/>
      <c r="F100" s="13"/>
      <c r="G100" s="34">
        <v>58.39</v>
      </c>
      <c r="H100" s="79"/>
      <c r="I100" s="13">
        <f>G100*1</f>
        <v>58.39</v>
      </c>
    </row>
    <row r="101" spans="1:9" ht="15.75" customHeight="1">
      <c r="A101" s="29"/>
      <c r="B101" s="42" t="s">
        <v>53</v>
      </c>
      <c r="C101" s="38"/>
      <c r="D101" s="46"/>
      <c r="E101" s="38">
        <v>1</v>
      </c>
      <c r="F101" s="38"/>
      <c r="G101" s="38"/>
      <c r="H101" s="38"/>
      <c r="I101" s="32">
        <f>SUM(I85:I100)</f>
        <v>13617.608217999999</v>
      </c>
    </row>
    <row r="102" spans="1:9" ht="15.75" customHeight="1">
      <c r="A102" s="29"/>
      <c r="B102" s="44" t="s">
        <v>80</v>
      </c>
      <c r="C102" s="15"/>
      <c r="D102" s="15"/>
      <c r="E102" s="39"/>
      <c r="F102" s="39"/>
      <c r="G102" s="40"/>
      <c r="H102" s="40"/>
      <c r="I102" s="17">
        <v>0</v>
      </c>
    </row>
    <row r="103" spans="1:9" ht="15.75" customHeight="1">
      <c r="A103" s="47"/>
      <c r="B103" s="43" t="s">
        <v>155</v>
      </c>
      <c r="C103" s="33"/>
      <c r="D103" s="33"/>
      <c r="E103" s="33"/>
      <c r="F103" s="33"/>
      <c r="G103" s="33"/>
      <c r="H103" s="33"/>
      <c r="I103" s="41">
        <f>I83+I101</f>
        <v>80969.070576899991</v>
      </c>
    </row>
    <row r="104" spans="1:9" ht="15.75" customHeight="1">
      <c r="A104" s="174" t="s">
        <v>262</v>
      </c>
      <c r="B104" s="174"/>
      <c r="C104" s="174"/>
      <c r="D104" s="174"/>
      <c r="E104" s="174"/>
      <c r="F104" s="174"/>
      <c r="G104" s="174"/>
      <c r="H104" s="174"/>
      <c r="I104" s="174"/>
    </row>
    <row r="105" spans="1:9" ht="15.75" customHeight="1">
      <c r="A105" s="55"/>
      <c r="B105" s="175" t="s">
        <v>263</v>
      </c>
      <c r="C105" s="175"/>
      <c r="D105" s="175"/>
      <c r="E105" s="175"/>
      <c r="F105" s="175"/>
      <c r="G105" s="175"/>
      <c r="H105" s="61"/>
      <c r="I105" s="3"/>
    </row>
    <row r="106" spans="1:9" ht="15.75" customHeight="1">
      <c r="A106" s="49"/>
      <c r="B106" s="176" t="s">
        <v>6</v>
      </c>
      <c r="C106" s="176"/>
      <c r="D106" s="176"/>
      <c r="E106" s="176"/>
      <c r="F106" s="176"/>
      <c r="G106" s="176"/>
      <c r="H106" s="24"/>
      <c r="I106" s="5"/>
    </row>
    <row r="107" spans="1:9" ht="15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 customHeight="1">
      <c r="A108" s="177" t="s">
        <v>7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15.75" customHeight="1">
      <c r="A109" s="177" t="s">
        <v>8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.75" customHeight="1">
      <c r="A110" s="169" t="s">
        <v>63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15.75" customHeight="1">
      <c r="A111" s="11"/>
    </row>
    <row r="112" spans="1:9" ht="15.75" customHeight="1">
      <c r="A112" s="182" t="s">
        <v>9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15.75" customHeight="1">
      <c r="A113" s="4"/>
    </row>
    <row r="114" spans="1:9" ht="15.75" customHeight="1">
      <c r="B114" s="52" t="s">
        <v>10</v>
      </c>
      <c r="C114" s="183" t="s">
        <v>90</v>
      </c>
      <c r="D114" s="183"/>
      <c r="E114" s="183"/>
      <c r="F114" s="59"/>
      <c r="I114" s="51"/>
    </row>
    <row r="115" spans="1:9" ht="15.75" customHeight="1">
      <c r="A115" s="49"/>
      <c r="C115" s="176" t="s">
        <v>11</v>
      </c>
      <c r="D115" s="176"/>
      <c r="E115" s="176"/>
      <c r="F115" s="24"/>
      <c r="I115" s="50" t="s">
        <v>12</v>
      </c>
    </row>
    <row r="116" spans="1:9" ht="15.75" customHeight="1">
      <c r="A116" s="25"/>
      <c r="C116" s="12"/>
      <c r="D116" s="12"/>
      <c r="G116" s="12"/>
      <c r="H116" s="12"/>
    </row>
    <row r="117" spans="1:9" ht="15.75" customHeight="1">
      <c r="B117" s="52" t="s">
        <v>13</v>
      </c>
      <c r="C117" s="184"/>
      <c r="D117" s="184"/>
      <c r="E117" s="184"/>
      <c r="F117" s="60"/>
      <c r="I117" s="51"/>
    </row>
    <row r="118" spans="1:9" ht="15.75" customHeight="1">
      <c r="A118" s="49"/>
      <c r="C118" s="159" t="s">
        <v>11</v>
      </c>
      <c r="D118" s="159"/>
      <c r="E118" s="159"/>
      <c r="F118" s="49"/>
      <c r="I118" s="50" t="s">
        <v>12</v>
      </c>
    </row>
    <row r="119" spans="1:9" ht="15.75" customHeight="1">
      <c r="A119" s="4" t="s">
        <v>14</v>
      </c>
    </row>
    <row r="120" spans="1:9" ht="15.75" customHeight="1">
      <c r="A120" s="185" t="s">
        <v>15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45" customHeight="1">
      <c r="A121" s="181" t="s">
        <v>16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30" customHeight="1">
      <c r="A122" s="181" t="s">
        <v>17</v>
      </c>
      <c r="B122" s="181"/>
      <c r="C122" s="181"/>
      <c r="D122" s="181"/>
      <c r="E122" s="181"/>
      <c r="F122" s="181"/>
      <c r="G122" s="181"/>
      <c r="H122" s="181"/>
      <c r="I122" s="181"/>
    </row>
    <row r="123" spans="1:9" ht="30" customHeight="1">
      <c r="A123" s="181" t="s">
        <v>21</v>
      </c>
      <c r="B123" s="181"/>
      <c r="C123" s="181"/>
      <c r="D123" s="181"/>
      <c r="E123" s="181"/>
      <c r="F123" s="181"/>
      <c r="G123" s="181"/>
      <c r="H123" s="181"/>
      <c r="I123" s="181"/>
    </row>
    <row r="124" spans="1:9" ht="15" customHeight="1">
      <c r="A124" s="181" t="s">
        <v>20</v>
      </c>
      <c r="B124" s="181"/>
      <c r="C124" s="181"/>
      <c r="D124" s="181"/>
      <c r="E124" s="181"/>
      <c r="F124" s="181"/>
      <c r="G124" s="181"/>
      <c r="H124" s="181"/>
      <c r="I124" s="181"/>
    </row>
  </sheetData>
  <autoFilter ref="I12:I61"/>
  <mergeCells count="29"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  <mergeCell ref="A110:I110"/>
    <mergeCell ref="A15:I15"/>
    <mergeCell ref="A27:I27"/>
    <mergeCell ref="A43:I43"/>
    <mergeCell ref="A54:I54"/>
    <mergeCell ref="A104:I104"/>
    <mergeCell ref="B105:G105"/>
    <mergeCell ref="B106:G106"/>
    <mergeCell ref="A108:I108"/>
    <mergeCell ref="A109:I109"/>
    <mergeCell ref="A84:I84"/>
    <mergeCell ref="R66:U66"/>
    <mergeCell ref="A80:I80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topLeftCell="A68" workbookViewId="0">
      <selection activeCell="B88" sqref="B88:I88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5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150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233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43646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25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si="0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hidden="1" customHeight="1">
      <c r="A21" s="29">
        <v>5</v>
      </c>
      <c r="B21" s="62" t="s">
        <v>98</v>
      </c>
      <c r="C21" s="63" t="s">
        <v>103</v>
      </c>
      <c r="D21" s="62" t="s">
        <v>240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5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6</v>
      </c>
      <c r="B29" s="62" t="s">
        <v>109</v>
      </c>
      <c r="C29" s="63" t="s">
        <v>110</v>
      </c>
      <c r="D29" s="62" t="s">
        <v>238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customHeight="1">
      <c r="A30" s="29">
        <v>7</v>
      </c>
      <c r="B30" s="62" t="s">
        <v>142</v>
      </c>
      <c r="C30" s="63" t="s">
        <v>110</v>
      </c>
      <c r="D30" s="62" t="s">
        <v>237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4" si="1">SUM(F30*G30/1000)</f>
        <v>5.6098179072000001</v>
      </c>
      <c r="I30" s="13">
        <f t="shared" ref="I30:I32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240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customHeight="1">
      <c r="A32" s="29">
        <v>8</v>
      </c>
      <c r="B32" s="62" t="s">
        <v>140</v>
      </c>
      <c r="C32" s="63" t="s">
        <v>41</v>
      </c>
      <c r="D32" s="62" t="s">
        <v>243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si="1"/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1"/>
        <v>2.4294600000000002</v>
      </c>
      <c r="I34" s="13">
        <v>0</v>
      </c>
      <c r="J34" s="23"/>
    </row>
    <row r="35" spans="1:14" ht="15.75" hidden="1" customHeight="1">
      <c r="A35" s="29"/>
      <c r="B35" s="84" t="s">
        <v>5</v>
      </c>
      <c r="C35" s="63"/>
      <c r="D35" s="62"/>
      <c r="E35" s="48"/>
      <c r="F35" s="64"/>
      <c r="G35" s="64"/>
      <c r="H35" s="65" t="s">
        <v>129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3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141</v>
      </c>
      <c r="C37" s="63" t="s">
        <v>29</v>
      </c>
      <c r="D37" s="62" t="s">
        <v>114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3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95</v>
      </c>
      <c r="C38" s="63" t="s">
        <v>115</v>
      </c>
      <c r="D38" s="62" t="s">
        <v>68</v>
      </c>
      <c r="E38" s="48"/>
      <c r="F38" s="64">
        <v>40</v>
      </c>
      <c r="G38" s="64">
        <v>213.2</v>
      </c>
      <c r="H38" s="65">
        <f t="shared" si="3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116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3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84</v>
      </c>
      <c r="C40" s="63" t="s">
        <v>110</v>
      </c>
      <c r="D40" s="62" t="s">
        <v>117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3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118</v>
      </c>
      <c r="C41" s="63" t="s">
        <v>110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3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3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customHeight="1">
      <c r="A43" s="171" t="s">
        <v>136</v>
      </c>
      <c r="B43" s="172"/>
      <c r="C43" s="172"/>
      <c r="D43" s="172"/>
      <c r="E43" s="172"/>
      <c r="F43" s="172"/>
      <c r="G43" s="172"/>
      <c r="H43" s="172"/>
      <c r="I43" s="173"/>
      <c r="J43" s="23"/>
      <c r="L43" s="19"/>
      <c r="M43" s="20"/>
      <c r="N43" s="21"/>
    </row>
    <row r="44" spans="1:14" ht="15.75" hidden="1" customHeight="1">
      <c r="A44" s="29"/>
      <c r="B44" s="62" t="s">
        <v>133</v>
      </c>
      <c r="C44" s="63" t="s">
        <v>110</v>
      </c>
      <c r="D44" s="62" t="s">
        <v>43</v>
      </c>
      <c r="E44" s="48">
        <v>1795.9</v>
      </c>
      <c r="F44" s="64">
        <f>SUM(E44*2/1000)</f>
        <v>3.5918000000000001</v>
      </c>
      <c r="G44" s="13">
        <v>865.61</v>
      </c>
      <c r="H44" s="65">
        <f t="shared" ref="H44:H53" si="4">SUM(F44*G44/1000)</f>
        <v>3.1090979980000002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2" t="s">
        <v>36</v>
      </c>
      <c r="C45" s="63" t="s">
        <v>110</v>
      </c>
      <c r="D45" s="62" t="s">
        <v>43</v>
      </c>
      <c r="E45" s="48">
        <v>104</v>
      </c>
      <c r="F45" s="64">
        <f>SUM(E45*2/1000)</f>
        <v>0.20799999999999999</v>
      </c>
      <c r="G45" s="13">
        <v>619.46</v>
      </c>
      <c r="H45" s="65">
        <f t="shared" si="4"/>
        <v>0.12884767999999999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37</v>
      </c>
      <c r="C46" s="63" t="s">
        <v>110</v>
      </c>
      <c r="D46" s="62" t="s">
        <v>43</v>
      </c>
      <c r="E46" s="48">
        <v>1996.87</v>
      </c>
      <c r="F46" s="64">
        <f>SUM(E46*2/1000)</f>
        <v>3.9937399999999998</v>
      </c>
      <c r="G46" s="13">
        <v>619.46</v>
      </c>
      <c r="H46" s="65">
        <f t="shared" si="4"/>
        <v>2.4739621804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38</v>
      </c>
      <c r="C47" s="63" t="s">
        <v>110</v>
      </c>
      <c r="D47" s="62" t="s">
        <v>43</v>
      </c>
      <c r="E47" s="48">
        <v>2630.35</v>
      </c>
      <c r="F47" s="64">
        <f>SUM(E47*2/1000)</f>
        <v>5.2606999999999999</v>
      </c>
      <c r="G47" s="13">
        <v>648.64</v>
      </c>
      <c r="H47" s="65">
        <f t="shared" si="4"/>
        <v>3.4123004479999999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34</v>
      </c>
      <c r="C48" s="63" t="s">
        <v>35</v>
      </c>
      <c r="D48" s="62" t="s">
        <v>43</v>
      </c>
      <c r="E48" s="48">
        <v>131.47</v>
      </c>
      <c r="F48" s="64">
        <f>SUM(E48*2/100)</f>
        <v>2.6294</v>
      </c>
      <c r="G48" s="13">
        <v>77.84</v>
      </c>
      <c r="H48" s="65">
        <f t="shared" si="4"/>
        <v>0.20467249599999998</v>
      </c>
      <c r="I48" s="13">
        <v>0</v>
      </c>
      <c r="J48" s="23"/>
      <c r="L48" s="19"/>
      <c r="M48" s="20"/>
      <c r="N48" s="21"/>
    </row>
    <row r="49" spans="1:22" ht="15.75" hidden="1" customHeight="1">
      <c r="A49" s="29">
        <v>14</v>
      </c>
      <c r="B49" s="62" t="s">
        <v>58</v>
      </c>
      <c r="C49" s="63" t="s">
        <v>110</v>
      </c>
      <c r="D49" s="62" t="s">
        <v>143</v>
      </c>
      <c r="E49" s="48">
        <v>2872.4</v>
      </c>
      <c r="F49" s="64">
        <f>SUM(E49*5/1000)</f>
        <v>14.362</v>
      </c>
      <c r="G49" s="13">
        <v>1297.28</v>
      </c>
      <c r="H49" s="65">
        <f t="shared" si="4"/>
        <v>18.631535359999997</v>
      </c>
      <c r="I49" s="13">
        <f>F49/5*G49</f>
        <v>3726.3070719999996</v>
      </c>
      <c r="J49" s="23"/>
      <c r="L49" s="19"/>
      <c r="M49" s="20"/>
      <c r="N49" s="21"/>
    </row>
    <row r="50" spans="1:22" ht="31.5" hidden="1" customHeight="1">
      <c r="A50" s="29"/>
      <c r="B50" s="62" t="s">
        <v>119</v>
      </c>
      <c r="C50" s="63" t="s">
        <v>110</v>
      </c>
      <c r="D50" s="62" t="s">
        <v>43</v>
      </c>
      <c r="E50" s="48">
        <v>2872.4</v>
      </c>
      <c r="F50" s="64">
        <f>SUM(E50*2/1000)</f>
        <v>5.7448000000000006</v>
      </c>
      <c r="G50" s="13">
        <v>1297.28</v>
      </c>
      <c r="H50" s="65">
        <f t="shared" si="4"/>
        <v>7.4526141440000009</v>
      </c>
      <c r="I50" s="13">
        <v>0</v>
      </c>
      <c r="J50" s="23"/>
      <c r="L50" s="19"/>
      <c r="M50" s="20"/>
      <c r="N50" s="21"/>
    </row>
    <row r="51" spans="1:22" ht="31.5" hidden="1" customHeight="1">
      <c r="A51" s="29"/>
      <c r="B51" s="62" t="s">
        <v>120</v>
      </c>
      <c r="C51" s="63" t="s">
        <v>39</v>
      </c>
      <c r="D51" s="62" t="s">
        <v>43</v>
      </c>
      <c r="E51" s="48">
        <v>40</v>
      </c>
      <c r="F51" s="64">
        <f>SUM(E51*2/100)</f>
        <v>0.8</v>
      </c>
      <c r="G51" s="13">
        <v>2918.89</v>
      </c>
      <c r="H51" s="65">
        <f t="shared" si="4"/>
        <v>2.3351120000000001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2" t="s">
        <v>40</v>
      </c>
      <c r="C52" s="63" t="s">
        <v>41</v>
      </c>
      <c r="D52" s="62" t="s">
        <v>43</v>
      </c>
      <c r="E52" s="48">
        <v>1</v>
      </c>
      <c r="F52" s="64">
        <v>0.02</v>
      </c>
      <c r="G52" s="13">
        <v>6042.12</v>
      </c>
      <c r="H52" s="65">
        <f t="shared" si="4"/>
        <v>0.1208424</v>
      </c>
      <c r="I52" s="13">
        <v>0</v>
      </c>
      <c r="J52" s="23"/>
      <c r="L52" s="19"/>
      <c r="M52" s="20"/>
      <c r="N52" s="21"/>
    </row>
    <row r="53" spans="1:22" ht="15.75" customHeight="1">
      <c r="A53" s="29">
        <v>9</v>
      </c>
      <c r="B53" s="62" t="s">
        <v>42</v>
      </c>
      <c r="C53" s="63" t="s">
        <v>30</v>
      </c>
      <c r="D53" s="134">
        <v>43620</v>
      </c>
      <c r="E53" s="48">
        <v>160</v>
      </c>
      <c r="F53" s="64">
        <f>SUM(E53)*3</f>
        <v>480</v>
      </c>
      <c r="G53" s="13">
        <v>70.209999999999994</v>
      </c>
      <c r="H53" s="65">
        <f t="shared" si="4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71" t="s">
        <v>137</v>
      </c>
      <c r="B54" s="172"/>
      <c r="C54" s="172"/>
      <c r="D54" s="172"/>
      <c r="E54" s="172"/>
      <c r="F54" s="172"/>
      <c r="G54" s="172"/>
      <c r="H54" s="172"/>
      <c r="I54" s="173"/>
      <c r="J54" s="23"/>
      <c r="L54" s="19"/>
      <c r="M54" s="20"/>
      <c r="N54" s="21"/>
    </row>
    <row r="55" spans="1:22" ht="15.75" hidden="1" customHeight="1">
      <c r="A55" s="29"/>
      <c r="B55" s="84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2" t="s">
        <v>122</v>
      </c>
      <c r="C56" s="63" t="s">
        <v>103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5.75" customHeight="1">
      <c r="A57" s="29"/>
      <c r="B57" s="85" t="s">
        <v>45</v>
      </c>
      <c r="C57" s="72"/>
      <c r="D57" s="73"/>
      <c r="E57" s="74"/>
      <c r="F57" s="76"/>
      <c r="G57" s="13"/>
      <c r="H57" s="78"/>
      <c r="I57" s="13"/>
      <c r="J57" s="23"/>
      <c r="L57" s="19"/>
      <c r="M57" s="20"/>
      <c r="N57" s="21"/>
    </row>
    <row r="58" spans="1:22" ht="15.75" hidden="1" customHeight="1">
      <c r="A58" s="29"/>
      <c r="B58" s="73" t="s">
        <v>46</v>
      </c>
      <c r="C58" s="72" t="s">
        <v>55</v>
      </c>
      <c r="D58" s="73" t="s">
        <v>56</v>
      </c>
      <c r="E58" s="74">
        <v>2686</v>
      </c>
      <c r="F58" s="76">
        <f>E58/100</f>
        <v>26.86</v>
      </c>
      <c r="G58" s="13">
        <v>848.37</v>
      </c>
      <c r="H58" s="78">
        <f>G58*F58/1000</f>
        <v>22.787218199999998</v>
      </c>
      <c r="I58" s="13">
        <v>0</v>
      </c>
      <c r="J58" s="23"/>
      <c r="L58" s="19"/>
    </row>
    <row r="59" spans="1:22" ht="15.75" customHeight="1">
      <c r="A59" s="29">
        <v>10</v>
      </c>
      <c r="B59" s="73" t="s">
        <v>96</v>
      </c>
      <c r="C59" s="72" t="s">
        <v>25</v>
      </c>
      <c r="D59" s="73" t="s">
        <v>216</v>
      </c>
      <c r="E59" s="74">
        <v>343</v>
      </c>
      <c r="F59" s="76">
        <v>4116</v>
      </c>
      <c r="G59" s="13">
        <v>1.4</v>
      </c>
      <c r="H59" s="78">
        <f>F59*G59</f>
        <v>5762.4</v>
      </c>
      <c r="I59" s="13">
        <f>F59/12*G59</f>
        <v>480.2</v>
      </c>
    </row>
    <row r="60" spans="1:22" ht="15.75" hidden="1" customHeight="1">
      <c r="A60" s="29"/>
      <c r="B60" s="85" t="s">
        <v>134</v>
      </c>
      <c r="C60" s="72"/>
      <c r="D60" s="73"/>
      <c r="E60" s="74"/>
      <c r="F60" s="76"/>
      <c r="G60" s="13"/>
      <c r="H60" s="78"/>
      <c r="I60" s="13"/>
    </row>
    <row r="61" spans="1:22" ht="15.75" hidden="1" customHeight="1">
      <c r="A61" s="29"/>
      <c r="B61" s="73" t="s">
        <v>135</v>
      </c>
      <c r="C61" s="72" t="s">
        <v>30</v>
      </c>
      <c r="D61" s="73" t="s">
        <v>68</v>
      </c>
      <c r="E61" s="74">
        <v>3</v>
      </c>
      <c r="F61" s="75">
        <v>3</v>
      </c>
      <c r="G61" s="77">
        <v>254.16</v>
      </c>
      <c r="H61" s="76">
        <v>0.76200000000000001</v>
      </c>
      <c r="I61" s="13">
        <v>0</v>
      </c>
    </row>
    <row r="62" spans="1:22" ht="21" customHeight="1">
      <c r="A62" s="29"/>
      <c r="B62" s="85" t="s">
        <v>47</v>
      </c>
      <c r="C62" s="72"/>
      <c r="D62" s="73"/>
      <c r="E62" s="74"/>
      <c r="F62" s="75"/>
      <c r="G62" s="75"/>
      <c r="H62" s="76" t="s">
        <v>129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21" hidden="1" customHeight="1">
      <c r="A63" s="29">
        <v>13</v>
      </c>
      <c r="B63" s="14" t="s">
        <v>48</v>
      </c>
      <c r="C63" s="16" t="s">
        <v>121</v>
      </c>
      <c r="D63" s="73" t="s">
        <v>68</v>
      </c>
      <c r="E63" s="18">
        <v>15</v>
      </c>
      <c r="F63" s="64">
        <v>15</v>
      </c>
      <c r="G63" s="13">
        <v>237.74</v>
      </c>
      <c r="H63" s="79">
        <f t="shared" ref="H63:H76" si="5">SUM(F63*G63/1000)</f>
        <v>3.5661000000000005</v>
      </c>
      <c r="I63" s="13">
        <f>G63</f>
        <v>237.74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26.25" hidden="1" customHeight="1">
      <c r="A64" s="29"/>
      <c r="B64" s="14" t="s">
        <v>49</v>
      </c>
      <c r="C64" s="16" t="s">
        <v>121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5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8" customHeight="1">
      <c r="A65" s="29">
        <v>11</v>
      </c>
      <c r="B65" s="14" t="s">
        <v>50</v>
      </c>
      <c r="C65" s="16" t="s">
        <v>123</v>
      </c>
      <c r="D65" s="14"/>
      <c r="E65" s="48">
        <v>24123</v>
      </c>
      <c r="F65" s="13">
        <f>SUM(E65/100)</f>
        <v>241.23</v>
      </c>
      <c r="G65" s="13">
        <v>226.79</v>
      </c>
      <c r="H65" s="79">
        <f t="shared" si="5"/>
        <v>54.708551699999994</v>
      </c>
      <c r="I65" s="13">
        <f>F65*G65</f>
        <v>54708.551699999996</v>
      </c>
      <c r="J65" s="5"/>
      <c r="K65" s="5"/>
      <c r="L65" s="5"/>
      <c r="M65" s="5"/>
      <c r="N65" s="5"/>
      <c r="O65" s="5"/>
      <c r="P65" s="5"/>
      <c r="Q65" s="5"/>
      <c r="R65" s="159"/>
      <c r="S65" s="159"/>
      <c r="T65" s="159"/>
      <c r="U65" s="159"/>
    </row>
    <row r="66" spans="1:21" ht="18.75" customHeight="1">
      <c r="A66" s="29">
        <v>12</v>
      </c>
      <c r="B66" s="14" t="s">
        <v>51</v>
      </c>
      <c r="C66" s="16" t="s">
        <v>124</v>
      </c>
      <c r="D66" s="14"/>
      <c r="E66" s="48">
        <v>24123</v>
      </c>
      <c r="F66" s="13">
        <f>SUM(E66/1000)</f>
        <v>24.123000000000001</v>
      </c>
      <c r="G66" s="13">
        <v>176.61</v>
      </c>
      <c r="H66" s="79">
        <f t="shared" si="5"/>
        <v>4.2603630300000006</v>
      </c>
      <c r="I66" s="13">
        <f t="shared" ref="I66:I70" si="6">F66*G66</f>
        <v>4260.3630300000004</v>
      </c>
    </row>
    <row r="67" spans="1:21" ht="15.75" customHeight="1">
      <c r="A67" s="29">
        <v>13</v>
      </c>
      <c r="B67" s="14" t="s">
        <v>52</v>
      </c>
      <c r="C67" s="16" t="s">
        <v>78</v>
      </c>
      <c r="D67" s="14"/>
      <c r="E67" s="48">
        <v>2730</v>
      </c>
      <c r="F67" s="13">
        <f>SUM(E67/100)</f>
        <v>27.3</v>
      </c>
      <c r="G67" s="13">
        <v>2217.7800000000002</v>
      </c>
      <c r="H67" s="79">
        <f t="shared" si="5"/>
        <v>60.545394000000009</v>
      </c>
      <c r="I67" s="13">
        <f t="shared" si="6"/>
        <v>60545.394000000008</v>
      </c>
    </row>
    <row r="68" spans="1:21" ht="16.5" customHeight="1">
      <c r="A68" s="29">
        <v>14</v>
      </c>
      <c r="B68" s="80" t="s">
        <v>125</v>
      </c>
      <c r="C68" s="16" t="s">
        <v>33</v>
      </c>
      <c r="D68" s="14"/>
      <c r="E68" s="48">
        <v>23</v>
      </c>
      <c r="F68" s="13">
        <f>SUM(E68)</f>
        <v>23</v>
      </c>
      <c r="G68" s="13">
        <v>42.67</v>
      </c>
      <c r="H68" s="79">
        <f t="shared" si="5"/>
        <v>0.98141000000000012</v>
      </c>
      <c r="I68" s="13">
        <f t="shared" si="6"/>
        <v>981.41000000000008</v>
      </c>
    </row>
    <row r="69" spans="1:21" ht="16.5" customHeight="1">
      <c r="A69" s="29">
        <v>15</v>
      </c>
      <c r="B69" s="80" t="s">
        <v>126</v>
      </c>
      <c r="C69" s="16" t="s">
        <v>33</v>
      </c>
      <c r="D69" s="14"/>
      <c r="E69" s="48">
        <v>23</v>
      </c>
      <c r="F69" s="13">
        <f>SUM(E69)</f>
        <v>23</v>
      </c>
      <c r="G69" s="13">
        <v>39.81</v>
      </c>
      <c r="H69" s="79">
        <f t="shared" si="5"/>
        <v>0.91563000000000005</v>
      </c>
      <c r="I69" s="13">
        <f t="shared" si="6"/>
        <v>915.63000000000011</v>
      </c>
    </row>
    <row r="70" spans="1:21" ht="21" hidden="1" customHeight="1">
      <c r="A70" s="29"/>
      <c r="B70" s="14" t="s">
        <v>59</v>
      </c>
      <c r="C70" s="16" t="s">
        <v>60</v>
      </c>
      <c r="D70" s="14" t="s">
        <v>56</v>
      </c>
      <c r="E70" s="18">
        <v>10</v>
      </c>
      <c r="F70" s="64">
        <f>SUM(E70)</f>
        <v>10</v>
      </c>
      <c r="G70" s="13">
        <v>53.32</v>
      </c>
      <c r="H70" s="79">
        <f t="shared" si="5"/>
        <v>0.53320000000000001</v>
      </c>
      <c r="I70" s="13">
        <f t="shared" si="6"/>
        <v>533.20000000000005</v>
      </c>
    </row>
    <row r="71" spans="1:21" ht="20.25" hidden="1" customHeight="1">
      <c r="A71" s="29"/>
      <c r="B71" s="54" t="s">
        <v>74</v>
      </c>
      <c r="C71" s="16"/>
      <c r="D71" s="14"/>
      <c r="E71" s="18"/>
      <c r="F71" s="13"/>
      <c r="G71" s="13"/>
      <c r="H71" s="79" t="s">
        <v>129</v>
      </c>
      <c r="I71" s="13"/>
    </row>
    <row r="72" spans="1:21" ht="21.75" hidden="1" customHeight="1">
      <c r="A72" s="29">
        <v>12</v>
      </c>
      <c r="B72" s="14" t="s">
        <v>75</v>
      </c>
      <c r="C72" s="16" t="s">
        <v>31</v>
      </c>
      <c r="D72" s="14"/>
      <c r="E72" s="18">
        <v>2</v>
      </c>
      <c r="F72" s="56">
        <v>0.2</v>
      </c>
      <c r="G72" s="13">
        <v>536.23</v>
      </c>
      <c r="H72" s="79">
        <v>0.251</v>
      </c>
      <c r="I72" s="13">
        <f>G72*2.9</f>
        <v>1555.067</v>
      </c>
    </row>
    <row r="73" spans="1:21" ht="23.25" hidden="1" customHeight="1">
      <c r="A73" s="29"/>
      <c r="B73" s="14" t="s">
        <v>89</v>
      </c>
      <c r="C73" s="16" t="s">
        <v>30</v>
      </c>
      <c r="D73" s="14"/>
      <c r="E73" s="18">
        <v>1</v>
      </c>
      <c r="F73" s="64">
        <f>SUM(E73)</f>
        <v>1</v>
      </c>
      <c r="G73" s="13">
        <v>383.25</v>
      </c>
      <c r="H73" s="79">
        <f t="shared" si="5"/>
        <v>0.38324999999999998</v>
      </c>
      <c r="I73" s="13">
        <v>0</v>
      </c>
    </row>
    <row r="74" spans="1:21" ht="24.75" hidden="1" customHeight="1">
      <c r="A74" s="29"/>
      <c r="B74" s="14" t="s">
        <v>76</v>
      </c>
      <c r="C74" s="16" t="s">
        <v>30</v>
      </c>
      <c r="D74" s="14"/>
      <c r="E74" s="18">
        <v>2</v>
      </c>
      <c r="F74" s="13">
        <v>2</v>
      </c>
      <c r="G74" s="13">
        <v>911.85</v>
      </c>
      <c r="H74" s="79">
        <f>F74*G74/1000</f>
        <v>1.8237000000000001</v>
      </c>
      <c r="I74" s="13">
        <v>0</v>
      </c>
    </row>
    <row r="75" spans="1:21" ht="21" hidden="1" customHeight="1">
      <c r="A75" s="29"/>
      <c r="B75" s="81" t="s">
        <v>77</v>
      </c>
      <c r="C75" s="16"/>
      <c r="D75" s="14"/>
      <c r="E75" s="18"/>
      <c r="F75" s="13"/>
      <c r="G75" s="13" t="s">
        <v>129</v>
      </c>
      <c r="H75" s="79" t="s">
        <v>129</v>
      </c>
      <c r="I75" s="13"/>
    </row>
    <row r="76" spans="1:21" ht="20.25" hidden="1" customHeight="1">
      <c r="A76" s="29"/>
      <c r="B76" s="44" t="s">
        <v>130</v>
      </c>
      <c r="C76" s="16" t="s">
        <v>78</v>
      </c>
      <c r="D76" s="14"/>
      <c r="E76" s="18"/>
      <c r="F76" s="13">
        <v>1.35</v>
      </c>
      <c r="G76" s="13">
        <v>2949.85</v>
      </c>
      <c r="H76" s="79">
        <f t="shared" si="5"/>
        <v>3.9822975</v>
      </c>
      <c r="I76" s="13">
        <v>0</v>
      </c>
    </row>
    <row r="77" spans="1:21" ht="20.25" hidden="1" customHeight="1">
      <c r="A77" s="29"/>
      <c r="B77" s="67" t="s">
        <v>127</v>
      </c>
      <c r="C77" s="81"/>
      <c r="D77" s="31"/>
      <c r="E77" s="32"/>
      <c r="F77" s="68"/>
      <c r="G77" s="68"/>
      <c r="H77" s="82">
        <f>SUM(H56:H76)</f>
        <v>5942.0851510459988</v>
      </c>
      <c r="I77" s="68"/>
    </row>
    <row r="78" spans="1:21" ht="19.5" hidden="1" customHeight="1">
      <c r="A78" s="29">
        <v>14</v>
      </c>
      <c r="B78" s="62" t="s">
        <v>128</v>
      </c>
      <c r="C78" s="16"/>
      <c r="D78" s="14"/>
      <c r="E78" s="57"/>
      <c r="F78" s="13">
        <v>1</v>
      </c>
      <c r="G78" s="13">
        <v>21010.2</v>
      </c>
      <c r="H78" s="79">
        <f>G78*F78/1000</f>
        <v>21.010200000000001</v>
      </c>
      <c r="I78" s="13">
        <v>7520.24</v>
      </c>
    </row>
    <row r="79" spans="1:21" ht="15.75" customHeight="1">
      <c r="A79" s="160" t="s">
        <v>138</v>
      </c>
      <c r="B79" s="161"/>
      <c r="C79" s="161"/>
      <c r="D79" s="161"/>
      <c r="E79" s="161"/>
      <c r="F79" s="161"/>
      <c r="G79" s="161"/>
      <c r="H79" s="161"/>
      <c r="I79" s="162"/>
    </row>
    <row r="80" spans="1:21" ht="15.75" customHeight="1">
      <c r="A80" s="29">
        <v>16</v>
      </c>
      <c r="B80" s="62" t="s">
        <v>131</v>
      </c>
      <c r="C80" s="16" t="s">
        <v>57</v>
      </c>
      <c r="D80" s="83"/>
      <c r="E80" s="13">
        <v>4591.2</v>
      </c>
      <c r="F80" s="13">
        <f>SUM(E80*12)</f>
        <v>55094.399999999994</v>
      </c>
      <c r="G80" s="13">
        <v>2.54</v>
      </c>
      <c r="H80" s="79">
        <f>SUM(F80*G80/1000)</f>
        <v>139.93977599999999</v>
      </c>
      <c r="I80" s="13">
        <f>F80/12*G80</f>
        <v>11661.647999999999</v>
      </c>
    </row>
    <row r="81" spans="1:9" ht="31.5" customHeight="1">
      <c r="A81" s="29">
        <v>17</v>
      </c>
      <c r="B81" s="14" t="s">
        <v>79</v>
      </c>
      <c r="C81" s="16"/>
      <c r="D81" s="83"/>
      <c r="E81" s="48">
        <f>E80</f>
        <v>4591.2</v>
      </c>
      <c r="F81" s="13">
        <f>E81*12</f>
        <v>55094.399999999994</v>
      </c>
      <c r="G81" s="13">
        <v>2.0499999999999998</v>
      </c>
      <c r="H81" s="79">
        <f>F81*G81/1000</f>
        <v>112.94351999999998</v>
      </c>
      <c r="I81" s="13">
        <f>F81/12*G81</f>
        <v>9411.9599999999991</v>
      </c>
    </row>
    <row r="82" spans="1:9" ht="15.75" customHeight="1">
      <c r="A82" s="45"/>
      <c r="B82" s="36" t="s">
        <v>81</v>
      </c>
      <c r="C82" s="37"/>
      <c r="D82" s="15"/>
      <c r="E82" s="15"/>
      <c r="F82" s="15"/>
      <c r="G82" s="18"/>
      <c r="H82" s="18"/>
      <c r="I82" s="32">
        <f>I81+I80+I69+I68+I67+I66+I65+I59+I53+I32+I30+I29+I26+I20+I18+I17+I16</f>
        <v>179008.42216620003</v>
      </c>
    </row>
    <row r="83" spans="1:9" ht="15.75" customHeight="1">
      <c r="A83" s="178" t="s">
        <v>62</v>
      </c>
      <c r="B83" s="179"/>
      <c r="C83" s="179"/>
      <c r="D83" s="179"/>
      <c r="E83" s="179"/>
      <c r="F83" s="179"/>
      <c r="G83" s="179"/>
      <c r="H83" s="179"/>
      <c r="I83" s="180"/>
    </row>
    <row r="84" spans="1:9" ht="33.75" customHeight="1">
      <c r="A84" s="29">
        <v>18</v>
      </c>
      <c r="B84" s="93" t="s">
        <v>190</v>
      </c>
      <c r="C84" s="94" t="s">
        <v>92</v>
      </c>
      <c r="D84" s="44"/>
      <c r="E84" s="34"/>
      <c r="F84" s="34">
        <f>124/3</f>
        <v>41.333333333333336</v>
      </c>
      <c r="G84" s="34">
        <v>561.86</v>
      </c>
      <c r="H84" s="95">
        <f t="shared" ref="H84:H86" si="7">G84*F84/1000</f>
        <v>23.223546666666667</v>
      </c>
      <c r="I84" s="13">
        <f>G84*1</f>
        <v>561.86</v>
      </c>
    </row>
    <row r="85" spans="1:9" ht="35.25" customHeight="1">
      <c r="A85" s="29">
        <v>19</v>
      </c>
      <c r="B85" s="93" t="s">
        <v>212</v>
      </c>
      <c r="C85" s="94" t="s">
        <v>92</v>
      </c>
      <c r="D85" s="44"/>
      <c r="E85" s="13"/>
      <c r="F85" s="13">
        <v>0.06</v>
      </c>
      <c r="G85" s="34">
        <v>644.72</v>
      </c>
      <c r="H85" s="79">
        <f t="shared" si="7"/>
        <v>3.8683200000000001E-2</v>
      </c>
      <c r="I85" s="13">
        <f>G85*1</f>
        <v>644.72</v>
      </c>
    </row>
    <row r="86" spans="1:9" ht="15.75" customHeight="1">
      <c r="A86" s="29">
        <v>20</v>
      </c>
      <c r="B86" s="93" t="s">
        <v>83</v>
      </c>
      <c r="C86" s="94" t="s">
        <v>121</v>
      </c>
      <c r="D86" s="44"/>
      <c r="E86" s="34"/>
      <c r="F86" s="34">
        <v>2</v>
      </c>
      <c r="G86" s="34">
        <v>207.55</v>
      </c>
      <c r="H86" s="95">
        <f t="shared" si="7"/>
        <v>0.41510000000000002</v>
      </c>
      <c r="I86" s="13">
        <f>G86*1</f>
        <v>207.55</v>
      </c>
    </row>
    <row r="87" spans="1:9" ht="15.75" customHeight="1">
      <c r="A87" s="29">
        <v>21</v>
      </c>
      <c r="B87" s="93" t="s">
        <v>234</v>
      </c>
      <c r="C87" s="94" t="s">
        <v>235</v>
      </c>
      <c r="D87" s="44"/>
      <c r="E87" s="34"/>
      <c r="F87" s="34"/>
      <c r="G87" s="34">
        <v>24000</v>
      </c>
      <c r="H87" s="95"/>
      <c r="I87" s="13">
        <f>G87*1</f>
        <v>24000</v>
      </c>
    </row>
    <row r="88" spans="1:9" ht="15.75" customHeight="1">
      <c r="A88" s="29">
        <v>22</v>
      </c>
      <c r="B88" s="93" t="s">
        <v>174</v>
      </c>
      <c r="C88" s="94" t="s">
        <v>121</v>
      </c>
      <c r="D88" s="29"/>
      <c r="E88" s="18"/>
      <c r="F88" s="13"/>
      <c r="G88" s="34">
        <v>58.39</v>
      </c>
      <c r="H88" s="79"/>
      <c r="I88" s="13">
        <f>G88*1</f>
        <v>58.39</v>
      </c>
    </row>
    <row r="89" spans="1:9" ht="15.75" customHeight="1">
      <c r="A89" s="29"/>
      <c r="B89" s="42" t="s">
        <v>53</v>
      </c>
      <c r="C89" s="38"/>
      <c r="D89" s="46"/>
      <c r="E89" s="38">
        <v>1</v>
      </c>
      <c r="F89" s="38"/>
      <c r="G89" s="38"/>
      <c r="H89" s="38"/>
      <c r="I89" s="32">
        <f>SUM(I84:I88)</f>
        <v>25472.52</v>
      </c>
    </row>
    <row r="90" spans="1:9" ht="15.75" customHeight="1">
      <c r="A90" s="29"/>
      <c r="B90" s="44" t="s">
        <v>80</v>
      </c>
      <c r="C90" s="15"/>
      <c r="D90" s="15"/>
      <c r="E90" s="39"/>
      <c r="F90" s="39"/>
      <c r="G90" s="40"/>
      <c r="H90" s="40"/>
      <c r="I90" s="17">
        <v>0</v>
      </c>
    </row>
    <row r="91" spans="1:9" ht="15.75" customHeight="1">
      <c r="A91" s="47"/>
      <c r="B91" s="43" t="s">
        <v>155</v>
      </c>
      <c r="C91" s="33"/>
      <c r="D91" s="33"/>
      <c r="E91" s="33"/>
      <c r="F91" s="33"/>
      <c r="G91" s="33"/>
      <c r="H91" s="33"/>
      <c r="I91" s="41">
        <f>I82+I89</f>
        <v>204480.94216620002</v>
      </c>
    </row>
    <row r="92" spans="1:9" ht="15.75" customHeight="1">
      <c r="A92" s="174" t="s">
        <v>264</v>
      </c>
      <c r="B92" s="174"/>
      <c r="C92" s="174"/>
      <c r="D92" s="174"/>
      <c r="E92" s="174"/>
      <c r="F92" s="174"/>
      <c r="G92" s="174"/>
      <c r="H92" s="174"/>
      <c r="I92" s="174"/>
    </row>
    <row r="93" spans="1:9" ht="15.75" customHeight="1">
      <c r="A93" s="55"/>
      <c r="B93" s="175" t="s">
        <v>265</v>
      </c>
      <c r="C93" s="175"/>
      <c r="D93" s="175"/>
      <c r="E93" s="175"/>
      <c r="F93" s="175"/>
      <c r="G93" s="175"/>
      <c r="H93" s="61"/>
      <c r="I93" s="3"/>
    </row>
    <row r="94" spans="1:9" ht="15.75" customHeight="1">
      <c r="A94" s="49"/>
      <c r="B94" s="176" t="s">
        <v>6</v>
      </c>
      <c r="C94" s="176"/>
      <c r="D94" s="176"/>
      <c r="E94" s="176"/>
      <c r="F94" s="176"/>
      <c r="G94" s="176"/>
      <c r="H94" s="2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77" t="s">
        <v>7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 customHeight="1">
      <c r="A97" s="177" t="s">
        <v>8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 customHeight="1">
      <c r="A98" s="169" t="s">
        <v>63</v>
      </c>
      <c r="B98" s="169"/>
      <c r="C98" s="169"/>
      <c r="D98" s="169"/>
      <c r="E98" s="169"/>
      <c r="F98" s="169"/>
      <c r="G98" s="169"/>
      <c r="H98" s="169"/>
      <c r="I98" s="169"/>
    </row>
    <row r="99" spans="1:9" ht="15.75" customHeight="1">
      <c r="A99" s="11"/>
    </row>
    <row r="100" spans="1:9" ht="15.75" customHeight="1">
      <c r="A100" s="182" t="s">
        <v>9</v>
      </c>
      <c r="B100" s="182"/>
      <c r="C100" s="182"/>
      <c r="D100" s="182"/>
      <c r="E100" s="182"/>
      <c r="F100" s="182"/>
      <c r="G100" s="182"/>
      <c r="H100" s="182"/>
      <c r="I100" s="182"/>
    </row>
    <row r="101" spans="1:9" ht="15.75" customHeight="1">
      <c r="A101" s="4"/>
    </row>
    <row r="102" spans="1:9" ht="15.75" customHeight="1">
      <c r="B102" s="52" t="s">
        <v>10</v>
      </c>
      <c r="C102" s="183" t="s">
        <v>90</v>
      </c>
      <c r="D102" s="183"/>
      <c r="E102" s="183"/>
      <c r="F102" s="59"/>
      <c r="I102" s="51"/>
    </row>
    <row r="103" spans="1:9" ht="15.75" customHeight="1">
      <c r="A103" s="49"/>
      <c r="C103" s="176" t="s">
        <v>11</v>
      </c>
      <c r="D103" s="176"/>
      <c r="E103" s="176"/>
      <c r="F103" s="24"/>
      <c r="I103" s="50" t="s">
        <v>12</v>
      </c>
    </row>
    <row r="104" spans="1:9" ht="15.75" customHeight="1">
      <c r="A104" s="25"/>
      <c r="C104" s="12"/>
      <c r="D104" s="12"/>
      <c r="G104" s="12"/>
      <c r="H104" s="12"/>
    </row>
    <row r="105" spans="1:9" ht="15.75" customHeight="1">
      <c r="B105" s="52" t="s">
        <v>13</v>
      </c>
      <c r="C105" s="184"/>
      <c r="D105" s="184"/>
      <c r="E105" s="184"/>
      <c r="F105" s="60"/>
      <c r="I105" s="51"/>
    </row>
    <row r="106" spans="1:9" ht="15.75" customHeight="1">
      <c r="A106" s="49"/>
      <c r="C106" s="159" t="s">
        <v>11</v>
      </c>
      <c r="D106" s="159"/>
      <c r="E106" s="159"/>
      <c r="F106" s="49"/>
      <c r="I106" s="50" t="s">
        <v>12</v>
      </c>
    </row>
    <row r="107" spans="1:9" ht="15.75" customHeight="1">
      <c r="A107" s="4" t="s">
        <v>14</v>
      </c>
    </row>
    <row r="108" spans="1:9" ht="15.75" customHeight="1">
      <c r="A108" s="185" t="s">
        <v>15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45" customHeight="1">
      <c r="A109" s="181" t="s">
        <v>16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ht="30" customHeight="1">
      <c r="A110" s="181" t="s">
        <v>17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30" customHeight="1">
      <c r="A111" s="181" t="s">
        <v>21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15" customHeight="1">
      <c r="A112" s="181" t="s">
        <v>20</v>
      </c>
      <c r="B112" s="181"/>
      <c r="C112" s="181"/>
      <c r="D112" s="181"/>
      <c r="E112" s="181"/>
      <c r="F112" s="181"/>
      <c r="G112" s="181"/>
      <c r="H112" s="181"/>
      <c r="I112" s="181"/>
    </row>
  </sheetData>
  <autoFilter ref="I12:I60"/>
  <mergeCells count="29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43:I43"/>
    <mergeCell ref="A54:I54"/>
    <mergeCell ref="A92:I92"/>
    <mergeCell ref="B93:G93"/>
    <mergeCell ref="B94:G94"/>
    <mergeCell ref="A96:I96"/>
    <mergeCell ref="A97:I97"/>
    <mergeCell ref="A83:I83"/>
    <mergeCell ref="R65:U65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0"/>
  <sheetViews>
    <sheetView topLeftCell="A18" workbookViewId="0">
      <selection activeCell="B29" sqref="B29:I32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151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266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43677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18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216</v>
      </c>
      <c r="E19" s="48">
        <v>38.4</v>
      </c>
      <c r="F19" s="64">
        <f>SUM(E19/10)</f>
        <v>3.84</v>
      </c>
      <c r="G19" s="64">
        <v>181.91</v>
      </c>
      <c r="H19" s="65">
        <f t="shared" ref="H19:H25" si="1">SUM(F19*G19/1000)</f>
        <v>0.6985344</v>
      </c>
      <c r="I19" s="13">
        <f>F19*G19</f>
        <v>698.53440000000001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ref="H20" si="2">SUM(F20*G20/1000)</f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customHeight="1">
      <c r="A21" s="29">
        <v>5</v>
      </c>
      <c r="B21" s="62" t="s">
        <v>98</v>
      </c>
      <c r="C21" s="63" t="s">
        <v>103</v>
      </c>
      <c r="D21" s="62" t="s">
        <v>216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1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259</v>
      </c>
      <c r="E22" s="48">
        <v>714</v>
      </c>
      <c r="F22" s="64">
        <f>SUM(E22/100)</f>
        <v>7.14</v>
      </c>
      <c r="G22" s="64">
        <v>287.83999999999997</v>
      </c>
      <c r="H22" s="65">
        <f t="shared" si="1"/>
        <v>2.0551775999999995</v>
      </c>
      <c r="I22" s="13">
        <f>F22*G22</f>
        <v>2055.1775999999995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259</v>
      </c>
      <c r="E23" s="58">
        <v>96.6</v>
      </c>
      <c r="F23" s="64">
        <f>SUM(E23/100)</f>
        <v>0.96599999999999997</v>
      </c>
      <c r="G23" s="64">
        <v>47.34</v>
      </c>
      <c r="H23" s="65">
        <f t="shared" si="1"/>
        <v>4.5730440000000004E-2</v>
      </c>
      <c r="I23" s="13">
        <f t="shared" ref="I23:I25" si="3">F23*G23</f>
        <v>45.730440000000002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260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f t="shared" si="3"/>
        <v>1999.7759999999998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261</v>
      </c>
      <c r="E25" s="48">
        <v>17</v>
      </c>
      <c r="F25" s="64">
        <f>SUM(E25/100)</f>
        <v>0.17</v>
      </c>
      <c r="G25" s="64">
        <v>556.74</v>
      </c>
      <c r="H25" s="65">
        <f t="shared" si="1"/>
        <v>9.4645800000000002E-2</v>
      </c>
      <c r="I25" s="13">
        <f t="shared" si="3"/>
        <v>94.645800000000008</v>
      </c>
      <c r="J25" s="22"/>
      <c r="K25" s="8"/>
      <c r="L25" s="8"/>
      <c r="M25" s="8"/>
    </row>
    <row r="26" spans="1:13" ht="15.75" customHeight="1">
      <c r="A26" s="29">
        <v>6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7</v>
      </c>
      <c r="B29" s="62" t="s">
        <v>109</v>
      </c>
      <c r="C29" s="63" t="s">
        <v>110</v>
      </c>
      <c r="D29" s="62" t="s">
        <v>238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customHeight="1">
      <c r="A30" s="29">
        <v>8</v>
      </c>
      <c r="B30" s="62" t="s">
        <v>142</v>
      </c>
      <c r="C30" s="63" t="s">
        <v>110</v>
      </c>
      <c r="D30" s="62" t="s">
        <v>237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4" si="4">SUM(F30*G30/1000)</f>
        <v>5.6098179072000001</v>
      </c>
      <c r="I30" s="13">
        <f t="shared" ref="I30:I32" si="5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240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4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customHeight="1">
      <c r="A32" s="29">
        <v>9</v>
      </c>
      <c r="B32" s="62" t="s">
        <v>140</v>
      </c>
      <c r="C32" s="63" t="s">
        <v>41</v>
      </c>
      <c r="D32" s="62" t="s">
        <v>243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5"/>
        <v>2876.5106666666666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si="4"/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4"/>
        <v>2.4294600000000002</v>
      </c>
      <c r="I34" s="13">
        <v>0</v>
      </c>
      <c r="J34" s="23"/>
    </row>
    <row r="35" spans="1:14" ht="15.75" hidden="1" customHeight="1">
      <c r="A35" s="29"/>
      <c r="B35" s="84" t="s">
        <v>5</v>
      </c>
      <c r="C35" s="63"/>
      <c r="D35" s="62"/>
      <c r="E35" s="48"/>
      <c r="F35" s="64"/>
      <c r="G35" s="64"/>
      <c r="H35" s="65" t="s">
        <v>129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6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141</v>
      </c>
      <c r="C37" s="63" t="s">
        <v>29</v>
      </c>
      <c r="D37" s="62" t="s">
        <v>114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6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95</v>
      </c>
      <c r="C38" s="63" t="s">
        <v>115</v>
      </c>
      <c r="D38" s="62" t="s">
        <v>68</v>
      </c>
      <c r="E38" s="48"/>
      <c r="F38" s="64">
        <v>40</v>
      </c>
      <c r="G38" s="64">
        <v>213.2</v>
      </c>
      <c r="H38" s="65">
        <f t="shared" si="6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116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6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84</v>
      </c>
      <c r="C40" s="63" t="s">
        <v>110</v>
      </c>
      <c r="D40" s="62" t="s">
        <v>117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6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118</v>
      </c>
      <c r="C41" s="63" t="s">
        <v>110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6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6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hidden="1" customHeight="1">
      <c r="A43" s="171" t="s">
        <v>136</v>
      </c>
      <c r="B43" s="172"/>
      <c r="C43" s="172"/>
      <c r="D43" s="172"/>
      <c r="E43" s="172"/>
      <c r="F43" s="172"/>
      <c r="G43" s="172"/>
      <c r="H43" s="172"/>
      <c r="I43" s="173"/>
      <c r="J43" s="23"/>
      <c r="L43" s="19"/>
      <c r="M43" s="20"/>
      <c r="N43" s="21"/>
    </row>
    <row r="44" spans="1:14" ht="15.75" hidden="1" customHeight="1">
      <c r="A44" s="29"/>
      <c r="B44" s="62" t="s">
        <v>133</v>
      </c>
      <c r="C44" s="63" t="s">
        <v>110</v>
      </c>
      <c r="D44" s="62" t="s">
        <v>43</v>
      </c>
      <c r="E44" s="48">
        <v>1795.9</v>
      </c>
      <c r="F44" s="64">
        <f>SUM(E44*2/1000)</f>
        <v>3.5918000000000001</v>
      </c>
      <c r="G44" s="13">
        <v>865.61</v>
      </c>
      <c r="H44" s="65">
        <f t="shared" ref="H44:H53" si="7">SUM(F44*G44/1000)</f>
        <v>3.1090979980000002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2" t="s">
        <v>36</v>
      </c>
      <c r="C45" s="63" t="s">
        <v>110</v>
      </c>
      <c r="D45" s="62" t="s">
        <v>43</v>
      </c>
      <c r="E45" s="48">
        <v>104</v>
      </c>
      <c r="F45" s="64">
        <f>SUM(E45*2/1000)</f>
        <v>0.20799999999999999</v>
      </c>
      <c r="G45" s="13">
        <v>619.46</v>
      </c>
      <c r="H45" s="65">
        <f t="shared" si="7"/>
        <v>0.12884767999999999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37</v>
      </c>
      <c r="C46" s="63" t="s">
        <v>110</v>
      </c>
      <c r="D46" s="62" t="s">
        <v>43</v>
      </c>
      <c r="E46" s="48">
        <v>1996.87</v>
      </c>
      <c r="F46" s="64">
        <f>SUM(E46*2/1000)</f>
        <v>3.9937399999999998</v>
      </c>
      <c r="G46" s="13">
        <v>619.46</v>
      </c>
      <c r="H46" s="65">
        <f t="shared" si="7"/>
        <v>2.4739621804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38</v>
      </c>
      <c r="C47" s="63" t="s">
        <v>110</v>
      </c>
      <c r="D47" s="62" t="s">
        <v>43</v>
      </c>
      <c r="E47" s="48">
        <v>2630.35</v>
      </c>
      <c r="F47" s="64">
        <f>SUM(E47*2/1000)</f>
        <v>5.2606999999999999</v>
      </c>
      <c r="G47" s="13">
        <v>648.64</v>
      </c>
      <c r="H47" s="65">
        <f t="shared" si="7"/>
        <v>3.4123004479999999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34</v>
      </c>
      <c r="C48" s="63" t="s">
        <v>35</v>
      </c>
      <c r="D48" s="62" t="s">
        <v>43</v>
      </c>
      <c r="E48" s="48">
        <v>131.47</v>
      </c>
      <c r="F48" s="64">
        <f>SUM(E48*2/100)</f>
        <v>2.6294</v>
      </c>
      <c r="G48" s="13">
        <v>77.84</v>
      </c>
      <c r="H48" s="65">
        <f t="shared" si="7"/>
        <v>0.20467249599999998</v>
      </c>
      <c r="I48" s="13">
        <v>0</v>
      </c>
      <c r="J48" s="23"/>
      <c r="L48" s="19"/>
      <c r="M48" s="20"/>
      <c r="N48" s="21"/>
    </row>
    <row r="49" spans="1:22" ht="15.75" hidden="1" customHeight="1">
      <c r="A49" s="29">
        <v>14</v>
      </c>
      <c r="B49" s="62" t="s">
        <v>58</v>
      </c>
      <c r="C49" s="63" t="s">
        <v>110</v>
      </c>
      <c r="D49" s="62" t="s">
        <v>143</v>
      </c>
      <c r="E49" s="48">
        <v>2872.4</v>
      </c>
      <c r="F49" s="64">
        <f>SUM(E49*5/1000)</f>
        <v>14.362</v>
      </c>
      <c r="G49" s="13">
        <v>1297.28</v>
      </c>
      <c r="H49" s="65">
        <f t="shared" si="7"/>
        <v>18.631535359999997</v>
      </c>
      <c r="I49" s="13">
        <f>F49/5*G49</f>
        <v>3726.3070719999996</v>
      </c>
      <c r="J49" s="23"/>
      <c r="L49" s="19"/>
      <c r="M49" s="20"/>
      <c r="N49" s="21"/>
    </row>
    <row r="50" spans="1:22" ht="31.5" hidden="1" customHeight="1">
      <c r="A50" s="29"/>
      <c r="B50" s="62" t="s">
        <v>119</v>
      </c>
      <c r="C50" s="63" t="s">
        <v>110</v>
      </c>
      <c r="D50" s="62" t="s">
        <v>43</v>
      </c>
      <c r="E50" s="48">
        <v>2872.4</v>
      </c>
      <c r="F50" s="64">
        <f>SUM(E50*2/1000)</f>
        <v>5.7448000000000006</v>
      </c>
      <c r="G50" s="13">
        <v>1297.28</v>
      </c>
      <c r="H50" s="65">
        <f t="shared" si="7"/>
        <v>7.4526141440000009</v>
      </c>
      <c r="I50" s="13">
        <v>0</v>
      </c>
      <c r="J50" s="23"/>
      <c r="L50" s="19"/>
      <c r="M50" s="20"/>
      <c r="N50" s="21"/>
    </row>
    <row r="51" spans="1:22" ht="31.5" hidden="1" customHeight="1">
      <c r="A51" s="29"/>
      <c r="B51" s="62" t="s">
        <v>120</v>
      </c>
      <c r="C51" s="63" t="s">
        <v>39</v>
      </c>
      <c r="D51" s="62" t="s">
        <v>43</v>
      </c>
      <c r="E51" s="48">
        <v>40</v>
      </c>
      <c r="F51" s="64">
        <f>SUM(E51*2/100)</f>
        <v>0.8</v>
      </c>
      <c r="G51" s="13">
        <v>2918.89</v>
      </c>
      <c r="H51" s="65">
        <f t="shared" si="7"/>
        <v>2.3351120000000001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2" t="s">
        <v>40</v>
      </c>
      <c r="C52" s="63" t="s">
        <v>41</v>
      </c>
      <c r="D52" s="62" t="s">
        <v>43</v>
      </c>
      <c r="E52" s="48">
        <v>1</v>
      </c>
      <c r="F52" s="64">
        <v>0.02</v>
      </c>
      <c r="G52" s="13">
        <v>6042.12</v>
      </c>
      <c r="H52" s="65">
        <f t="shared" si="7"/>
        <v>0.1208424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15</v>
      </c>
      <c r="B53" s="62" t="s">
        <v>42</v>
      </c>
      <c r="C53" s="63" t="s">
        <v>30</v>
      </c>
      <c r="D53" s="62" t="s">
        <v>72</v>
      </c>
      <c r="E53" s="48">
        <v>160</v>
      </c>
      <c r="F53" s="64">
        <f>SUM(E53)*3</f>
        <v>480</v>
      </c>
      <c r="G53" s="13">
        <v>70.209999999999994</v>
      </c>
      <c r="H53" s="65">
        <f t="shared" si="7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71" t="s">
        <v>146</v>
      </c>
      <c r="B54" s="172"/>
      <c r="C54" s="172"/>
      <c r="D54" s="172"/>
      <c r="E54" s="172"/>
      <c r="F54" s="172"/>
      <c r="G54" s="172"/>
      <c r="H54" s="172"/>
      <c r="I54" s="173"/>
      <c r="J54" s="23"/>
      <c r="L54" s="19"/>
      <c r="M54" s="20"/>
      <c r="N54" s="21"/>
    </row>
    <row r="55" spans="1:22" ht="15.75" hidden="1" customHeight="1">
      <c r="A55" s="29"/>
      <c r="B55" s="84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2" t="s">
        <v>122</v>
      </c>
      <c r="C56" s="63" t="s">
        <v>103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5.75" customHeight="1">
      <c r="A57" s="29"/>
      <c r="B57" s="85" t="s">
        <v>45</v>
      </c>
      <c r="C57" s="72"/>
      <c r="D57" s="73"/>
      <c r="E57" s="74"/>
      <c r="F57" s="76"/>
      <c r="G57" s="13"/>
      <c r="H57" s="78"/>
      <c r="I57" s="13"/>
      <c r="J57" s="23"/>
      <c r="L57" s="19"/>
      <c r="M57" s="20"/>
      <c r="N57" s="21"/>
    </row>
    <row r="58" spans="1:22" ht="15.75" hidden="1" customHeight="1">
      <c r="A58" s="29"/>
      <c r="B58" s="73" t="s">
        <v>46</v>
      </c>
      <c r="C58" s="72" t="s">
        <v>55</v>
      </c>
      <c r="D58" s="73" t="s">
        <v>56</v>
      </c>
      <c r="E58" s="74">
        <v>2686</v>
      </c>
      <c r="F58" s="76">
        <f>E58/100</f>
        <v>26.86</v>
      </c>
      <c r="G58" s="13">
        <v>848.37</v>
      </c>
      <c r="H58" s="78">
        <f>G58*F58/1000</f>
        <v>22.787218199999998</v>
      </c>
      <c r="I58" s="13">
        <v>0</v>
      </c>
      <c r="J58" s="23"/>
      <c r="L58" s="19"/>
    </row>
    <row r="59" spans="1:22" ht="15.75" customHeight="1">
      <c r="A59" s="29">
        <v>10</v>
      </c>
      <c r="B59" s="73" t="s">
        <v>96</v>
      </c>
      <c r="C59" s="72" t="s">
        <v>25</v>
      </c>
      <c r="D59" s="73" t="s">
        <v>216</v>
      </c>
      <c r="E59" s="74">
        <v>343</v>
      </c>
      <c r="F59" s="76">
        <v>4116</v>
      </c>
      <c r="G59" s="13">
        <v>1.4</v>
      </c>
      <c r="H59" s="78">
        <f>F59*G59</f>
        <v>5762.4</v>
      </c>
      <c r="I59" s="13">
        <f>F59/12*G59</f>
        <v>480.2</v>
      </c>
    </row>
    <row r="60" spans="1:22" ht="15.75" hidden="1" customHeight="1">
      <c r="A60" s="29"/>
      <c r="B60" s="85" t="s">
        <v>134</v>
      </c>
      <c r="C60" s="72"/>
      <c r="D60" s="73"/>
      <c r="E60" s="74"/>
      <c r="F60" s="76"/>
      <c r="G60" s="13"/>
      <c r="H60" s="78"/>
      <c r="I60" s="13"/>
    </row>
    <row r="61" spans="1:22" ht="15.75" hidden="1" customHeight="1">
      <c r="A61" s="29"/>
      <c r="B61" s="73" t="s">
        <v>135</v>
      </c>
      <c r="C61" s="72" t="s">
        <v>30</v>
      </c>
      <c r="D61" s="73" t="s">
        <v>68</v>
      </c>
      <c r="E61" s="74">
        <v>3</v>
      </c>
      <c r="F61" s="75">
        <v>3</v>
      </c>
      <c r="G61" s="77">
        <v>254.16</v>
      </c>
      <c r="H61" s="76">
        <v>0.76200000000000001</v>
      </c>
      <c r="I61" s="13">
        <v>0</v>
      </c>
    </row>
    <row r="62" spans="1:22" ht="15.75" hidden="1" customHeight="1">
      <c r="A62" s="29"/>
      <c r="B62" s="85" t="s">
        <v>47</v>
      </c>
      <c r="C62" s="72"/>
      <c r="D62" s="73"/>
      <c r="E62" s="74"/>
      <c r="F62" s="75"/>
      <c r="G62" s="75"/>
      <c r="H62" s="76" t="s">
        <v>129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>
        <v>13</v>
      </c>
      <c r="B63" s="14" t="s">
        <v>48</v>
      </c>
      <c r="C63" s="16" t="s">
        <v>121</v>
      </c>
      <c r="D63" s="73" t="s">
        <v>68</v>
      </c>
      <c r="E63" s="18">
        <v>15</v>
      </c>
      <c r="F63" s="64">
        <v>15</v>
      </c>
      <c r="G63" s="13">
        <v>237.74</v>
      </c>
      <c r="H63" s="79">
        <f t="shared" ref="H63:H76" si="8">SUM(F63*G63/1000)</f>
        <v>3.5661000000000005</v>
      </c>
      <c r="I63" s="13">
        <f>G63*3</f>
        <v>713.22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14" t="s">
        <v>49</v>
      </c>
      <c r="C64" s="16" t="s">
        <v>121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8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4" t="s">
        <v>50</v>
      </c>
      <c r="C65" s="16" t="s">
        <v>123</v>
      </c>
      <c r="D65" s="14" t="s">
        <v>56</v>
      </c>
      <c r="E65" s="48">
        <v>24123</v>
      </c>
      <c r="F65" s="13">
        <f>SUM(E65/100)</f>
        <v>241.23</v>
      </c>
      <c r="G65" s="13">
        <v>226.79</v>
      </c>
      <c r="H65" s="79">
        <f t="shared" si="8"/>
        <v>54.708551699999994</v>
      </c>
      <c r="I65" s="13">
        <f>F65*G65</f>
        <v>54708.551699999996</v>
      </c>
      <c r="J65" s="5"/>
      <c r="K65" s="5"/>
      <c r="L65" s="5"/>
      <c r="M65" s="5"/>
      <c r="N65" s="5"/>
      <c r="O65" s="5"/>
      <c r="P65" s="5"/>
      <c r="Q65" s="5"/>
      <c r="R65" s="159"/>
      <c r="S65" s="159"/>
      <c r="T65" s="159"/>
      <c r="U65" s="159"/>
    </row>
    <row r="66" spans="1:21" ht="15.75" hidden="1" customHeight="1">
      <c r="A66" s="29"/>
      <c r="B66" s="14" t="s">
        <v>51</v>
      </c>
      <c r="C66" s="16" t="s">
        <v>124</v>
      </c>
      <c r="D66" s="14"/>
      <c r="E66" s="48">
        <v>24123</v>
      </c>
      <c r="F66" s="13">
        <f>SUM(E66/1000)</f>
        <v>24.123000000000001</v>
      </c>
      <c r="G66" s="13">
        <v>176.61</v>
      </c>
      <c r="H66" s="79">
        <f t="shared" si="8"/>
        <v>4.2603630300000006</v>
      </c>
      <c r="I66" s="13">
        <f t="shared" ref="I66:I70" si="9">F66*G66</f>
        <v>4260.3630300000004</v>
      </c>
    </row>
    <row r="67" spans="1:21" ht="15.75" hidden="1" customHeight="1">
      <c r="A67" s="29"/>
      <c r="B67" s="14" t="s">
        <v>52</v>
      </c>
      <c r="C67" s="16" t="s">
        <v>78</v>
      </c>
      <c r="D67" s="14" t="s">
        <v>56</v>
      </c>
      <c r="E67" s="48">
        <v>2730</v>
      </c>
      <c r="F67" s="13">
        <f>SUM(E67/100)</f>
        <v>27.3</v>
      </c>
      <c r="G67" s="13">
        <v>2217.7800000000002</v>
      </c>
      <c r="H67" s="79">
        <f t="shared" si="8"/>
        <v>60.545394000000009</v>
      </c>
      <c r="I67" s="13">
        <f t="shared" si="9"/>
        <v>60545.394000000008</v>
      </c>
    </row>
    <row r="68" spans="1:21" ht="15.75" hidden="1" customHeight="1">
      <c r="A68" s="29"/>
      <c r="B68" s="80" t="s">
        <v>125</v>
      </c>
      <c r="C68" s="16" t="s">
        <v>33</v>
      </c>
      <c r="D68" s="14"/>
      <c r="E68" s="48">
        <v>23</v>
      </c>
      <c r="F68" s="13">
        <f>SUM(E68)</f>
        <v>23</v>
      </c>
      <c r="G68" s="13">
        <v>42.67</v>
      </c>
      <c r="H68" s="79">
        <f t="shared" si="8"/>
        <v>0.98141000000000012</v>
      </c>
      <c r="I68" s="13">
        <f t="shared" si="9"/>
        <v>981.41000000000008</v>
      </c>
    </row>
    <row r="69" spans="1:21" ht="15.75" hidden="1" customHeight="1">
      <c r="A69" s="29"/>
      <c r="B69" s="80" t="s">
        <v>126</v>
      </c>
      <c r="C69" s="16" t="s">
        <v>33</v>
      </c>
      <c r="D69" s="14"/>
      <c r="E69" s="48">
        <v>23</v>
      </c>
      <c r="F69" s="13">
        <f>SUM(E69)</f>
        <v>23</v>
      </c>
      <c r="G69" s="13">
        <v>39.81</v>
      </c>
      <c r="H69" s="79">
        <f t="shared" si="8"/>
        <v>0.91563000000000005</v>
      </c>
      <c r="I69" s="13">
        <f t="shared" si="9"/>
        <v>915.63000000000011</v>
      </c>
    </row>
    <row r="70" spans="1:21" ht="15.75" hidden="1" customHeight="1">
      <c r="A70" s="29"/>
      <c r="B70" s="14" t="s">
        <v>59</v>
      </c>
      <c r="C70" s="16" t="s">
        <v>60</v>
      </c>
      <c r="D70" s="14" t="s">
        <v>56</v>
      </c>
      <c r="E70" s="18">
        <v>10</v>
      </c>
      <c r="F70" s="64">
        <f>SUM(E70)</f>
        <v>10</v>
      </c>
      <c r="G70" s="13">
        <v>53.32</v>
      </c>
      <c r="H70" s="79">
        <f t="shared" si="8"/>
        <v>0.53320000000000001</v>
      </c>
      <c r="I70" s="13">
        <f t="shared" si="9"/>
        <v>533.20000000000005</v>
      </c>
    </row>
    <row r="71" spans="1:21" ht="15.75" customHeight="1">
      <c r="A71" s="29"/>
      <c r="B71" s="54" t="s">
        <v>74</v>
      </c>
      <c r="C71" s="16"/>
      <c r="D71" s="14"/>
      <c r="E71" s="18"/>
      <c r="F71" s="13"/>
      <c r="G71" s="13"/>
      <c r="H71" s="79" t="s">
        <v>129</v>
      </c>
      <c r="I71" s="13"/>
    </row>
    <row r="72" spans="1:21" ht="15.75" customHeight="1">
      <c r="A72" s="29">
        <v>11</v>
      </c>
      <c r="B72" s="14" t="s">
        <v>75</v>
      </c>
      <c r="C72" s="16" t="s">
        <v>31</v>
      </c>
      <c r="D72" s="14"/>
      <c r="E72" s="18">
        <v>2</v>
      </c>
      <c r="F72" s="56">
        <v>0.2</v>
      </c>
      <c r="G72" s="13">
        <v>536.23</v>
      </c>
      <c r="H72" s="79">
        <v>0.251</v>
      </c>
      <c r="I72" s="13">
        <f>G72*0.2</f>
        <v>107.24600000000001</v>
      </c>
    </row>
    <row r="73" spans="1:21" ht="15.75" hidden="1" customHeight="1">
      <c r="A73" s="29"/>
      <c r="B73" s="14" t="s">
        <v>89</v>
      </c>
      <c r="C73" s="16" t="s">
        <v>30</v>
      </c>
      <c r="D73" s="14"/>
      <c r="E73" s="18">
        <v>1</v>
      </c>
      <c r="F73" s="64">
        <f>SUM(E73)</f>
        <v>1</v>
      </c>
      <c r="G73" s="13">
        <v>383.25</v>
      </c>
      <c r="H73" s="79">
        <f t="shared" si="8"/>
        <v>0.38324999999999998</v>
      </c>
      <c r="I73" s="13">
        <v>0</v>
      </c>
    </row>
    <row r="74" spans="1:21" ht="15.75" hidden="1" customHeight="1">
      <c r="A74" s="29"/>
      <c r="B74" s="14" t="s">
        <v>76</v>
      </c>
      <c r="C74" s="16" t="s">
        <v>30</v>
      </c>
      <c r="D74" s="14"/>
      <c r="E74" s="18">
        <v>2</v>
      </c>
      <c r="F74" s="13">
        <v>2</v>
      </c>
      <c r="G74" s="13">
        <v>911.85</v>
      </c>
      <c r="H74" s="79">
        <f>F74*G74/1000</f>
        <v>1.8237000000000001</v>
      </c>
      <c r="I74" s="13">
        <v>0</v>
      </c>
    </row>
    <row r="75" spans="1:21" ht="15.75" customHeight="1">
      <c r="A75" s="29"/>
      <c r="B75" s="81" t="s">
        <v>77</v>
      </c>
      <c r="C75" s="16"/>
      <c r="D75" s="14"/>
      <c r="E75" s="18"/>
      <c r="F75" s="13"/>
      <c r="G75" s="13" t="s">
        <v>129</v>
      </c>
      <c r="H75" s="79" t="s">
        <v>129</v>
      </c>
      <c r="I75" s="13"/>
    </row>
    <row r="76" spans="1:21" ht="15.75" hidden="1" customHeight="1">
      <c r="A76" s="29"/>
      <c r="B76" s="44" t="s">
        <v>130</v>
      </c>
      <c r="C76" s="16" t="s">
        <v>78</v>
      </c>
      <c r="D76" s="14"/>
      <c r="E76" s="18"/>
      <c r="F76" s="13">
        <v>1.35</v>
      </c>
      <c r="G76" s="13">
        <v>2949.85</v>
      </c>
      <c r="H76" s="79">
        <f t="shared" si="8"/>
        <v>3.9822975</v>
      </c>
      <c r="I76" s="13">
        <v>0</v>
      </c>
    </row>
    <row r="77" spans="1:21" ht="15.75" hidden="1" customHeight="1">
      <c r="A77" s="29"/>
      <c r="B77" s="67" t="s">
        <v>127</v>
      </c>
      <c r="C77" s="81"/>
      <c r="D77" s="31"/>
      <c r="E77" s="32"/>
      <c r="F77" s="68"/>
      <c r="G77" s="68"/>
      <c r="H77" s="82">
        <f>SUM(H56:H76)</f>
        <v>5942.0851510459988</v>
      </c>
      <c r="I77" s="68"/>
    </row>
    <row r="78" spans="1:21" ht="15.75" hidden="1" customHeight="1">
      <c r="A78" s="29">
        <v>13</v>
      </c>
      <c r="B78" s="62" t="s">
        <v>128</v>
      </c>
      <c r="C78" s="16"/>
      <c r="D78" s="14"/>
      <c r="E78" s="57"/>
      <c r="F78" s="13">
        <v>1</v>
      </c>
      <c r="G78" s="35">
        <v>21010.2</v>
      </c>
      <c r="H78" s="79">
        <f>G78*F78/1000</f>
        <v>21.010200000000001</v>
      </c>
      <c r="I78" s="13">
        <f>G78</f>
        <v>21010.2</v>
      </c>
    </row>
    <row r="79" spans="1:21" ht="15.75" customHeight="1">
      <c r="A79" s="160" t="s">
        <v>147</v>
      </c>
      <c r="B79" s="161"/>
      <c r="C79" s="161"/>
      <c r="D79" s="161"/>
      <c r="E79" s="161"/>
      <c r="F79" s="161"/>
      <c r="G79" s="161"/>
      <c r="H79" s="161"/>
      <c r="I79" s="162"/>
    </row>
    <row r="80" spans="1:21" ht="15.75" customHeight="1">
      <c r="A80" s="29">
        <v>12</v>
      </c>
      <c r="B80" s="62" t="s">
        <v>131</v>
      </c>
      <c r="C80" s="16" t="s">
        <v>57</v>
      </c>
      <c r="D80" s="83"/>
      <c r="E80" s="13">
        <v>4591.2</v>
      </c>
      <c r="F80" s="13">
        <f>SUM(E80*12)</f>
        <v>55094.399999999994</v>
      </c>
      <c r="G80" s="13">
        <v>2.54</v>
      </c>
      <c r="H80" s="79">
        <f>SUM(F80*G80/1000)</f>
        <v>139.93977599999999</v>
      </c>
      <c r="I80" s="13">
        <f>F80/12*G80</f>
        <v>11661.647999999999</v>
      </c>
    </row>
    <row r="81" spans="1:9" ht="31.5" customHeight="1">
      <c r="A81" s="29">
        <v>13</v>
      </c>
      <c r="B81" s="14" t="s">
        <v>79</v>
      </c>
      <c r="C81" s="16"/>
      <c r="D81" s="83"/>
      <c r="E81" s="48">
        <f>E80</f>
        <v>4591.2</v>
      </c>
      <c r="F81" s="13">
        <f>E81*12</f>
        <v>55094.399999999994</v>
      </c>
      <c r="G81" s="13">
        <v>2.0499999999999998</v>
      </c>
      <c r="H81" s="79">
        <f>F81*G81/1000</f>
        <v>112.94351999999998</v>
      </c>
      <c r="I81" s="13">
        <f>F81/12*G81</f>
        <v>9411.9599999999991</v>
      </c>
    </row>
    <row r="82" spans="1:9" ht="15.75" customHeight="1">
      <c r="A82" s="45"/>
      <c r="B82" s="36" t="s">
        <v>81</v>
      </c>
      <c r="C82" s="37"/>
      <c r="D82" s="15"/>
      <c r="E82" s="15"/>
      <c r="F82" s="15"/>
      <c r="G82" s="18"/>
      <c r="H82" s="18"/>
      <c r="I82" s="32">
        <f>I81+I80+I72+I59+I32+I30+I29+I26+I21+I20+I18+I17+I16</f>
        <v>46491.696960200003</v>
      </c>
    </row>
    <row r="83" spans="1:9" ht="15.75" customHeight="1">
      <c r="A83" s="178" t="s">
        <v>62</v>
      </c>
      <c r="B83" s="179"/>
      <c r="C83" s="179"/>
      <c r="D83" s="179"/>
      <c r="E83" s="179"/>
      <c r="F83" s="179"/>
      <c r="G83" s="179"/>
      <c r="H83" s="179"/>
      <c r="I83" s="180"/>
    </row>
    <row r="84" spans="1:9" ht="18" customHeight="1">
      <c r="A84" s="29">
        <v>14</v>
      </c>
      <c r="B84" s="93" t="s">
        <v>161</v>
      </c>
      <c r="C84" s="94" t="s">
        <v>169</v>
      </c>
      <c r="D84" s="44" t="s">
        <v>211</v>
      </c>
      <c r="E84" s="13"/>
      <c r="F84" s="13">
        <v>0.06</v>
      </c>
      <c r="G84" s="34">
        <v>273</v>
      </c>
      <c r="H84" s="79">
        <f t="shared" ref="H84" si="10">G84*F84/1000</f>
        <v>1.6379999999999999E-2</v>
      </c>
      <c r="I84" s="13">
        <f>G84*10</f>
        <v>2730</v>
      </c>
    </row>
    <row r="85" spans="1:9" ht="20.25" customHeight="1">
      <c r="A85" s="29">
        <v>15</v>
      </c>
      <c r="B85" s="93" t="s">
        <v>189</v>
      </c>
      <c r="C85" s="94" t="s">
        <v>29</v>
      </c>
      <c r="D85" s="44"/>
      <c r="E85" s="13"/>
      <c r="F85" s="13">
        <v>1</v>
      </c>
      <c r="G85" s="34">
        <v>1160.81</v>
      </c>
      <c r="H85" s="79">
        <f>G85*F85/1000</f>
        <v>1.1608099999999999</v>
      </c>
      <c r="I85" s="13">
        <f>G85*0.06</f>
        <v>69.648599999999988</v>
      </c>
    </row>
    <row r="86" spans="1:9" ht="31.5" customHeight="1">
      <c r="A86" s="29">
        <v>16</v>
      </c>
      <c r="B86" s="93" t="s">
        <v>223</v>
      </c>
      <c r="C86" s="94" t="s">
        <v>39</v>
      </c>
      <c r="D86" s="44"/>
      <c r="E86" s="13"/>
      <c r="F86" s="13"/>
      <c r="G86" s="34">
        <v>3914.31</v>
      </c>
      <c r="H86" s="79"/>
      <c r="I86" s="13">
        <f>G86*0.01</f>
        <v>39.143099999999997</v>
      </c>
    </row>
    <row r="87" spans="1:9" ht="17.25" customHeight="1">
      <c r="A87" s="29">
        <v>17</v>
      </c>
      <c r="B87" s="93" t="s">
        <v>267</v>
      </c>
      <c r="C87" s="94" t="s">
        <v>121</v>
      </c>
      <c r="D87" s="44"/>
      <c r="E87" s="13"/>
      <c r="F87" s="13"/>
      <c r="G87" s="34">
        <v>143.13999999999999</v>
      </c>
      <c r="H87" s="79"/>
      <c r="I87" s="13">
        <f>G87*2</f>
        <v>286.27999999999997</v>
      </c>
    </row>
    <row r="88" spans="1:9" ht="17.25" customHeight="1">
      <c r="A88" s="29">
        <v>18</v>
      </c>
      <c r="B88" s="93" t="s">
        <v>268</v>
      </c>
      <c r="C88" s="94" t="s">
        <v>121</v>
      </c>
      <c r="D88" s="44"/>
      <c r="E88" s="13"/>
      <c r="F88" s="13"/>
      <c r="G88" s="34">
        <v>172.4</v>
      </c>
      <c r="H88" s="79"/>
      <c r="I88" s="13">
        <f>G88*2</f>
        <v>344.8</v>
      </c>
    </row>
    <row r="89" spans="1:9" ht="44.25" customHeight="1">
      <c r="A89" s="29">
        <v>19</v>
      </c>
      <c r="B89" s="93" t="s">
        <v>269</v>
      </c>
      <c r="C89" s="94" t="s">
        <v>270</v>
      </c>
      <c r="D89" s="44"/>
      <c r="E89" s="13"/>
      <c r="F89" s="13"/>
      <c r="G89" s="34">
        <v>85.71</v>
      </c>
      <c r="H89" s="79"/>
      <c r="I89" s="13">
        <f>G89*1</f>
        <v>85.71</v>
      </c>
    </row>
    <row r="90" spans="1:9" ht="21" customHeight="1">
      <c r="A90" s="29">
        <v>20</v>
      </c>
      <c r="B90" s="93" t="s">
        <v>271</v>
      </c>
      <c r="C90" s="94" t="s">
        <v>272</v>
      </c>
      <c r="D90" s="44"/>
      <c r="E90" s="13"/>
      <c r="F90" s="13"/>
      <c r="G90" s="34">
        <v>1136213.27</v>
      </c>
      <c r="H90" s="79"/>
      <c r="I90" s="13">
        <f>G90*0.0002</f>
        <v>227.24265400000002</v>
      </c>
    </row>
    <row r="91" spans="1:9" ht="17.25" customHeight="1">
      <c r="A91" s="29">
        <v>21</v>
      </c>
      <c r="B91" s="93" t="s">
        <v>273</v>
      </c>
      <c r="C91" s="94" t="s">
        <v>121</v>
      </c>
      <c r="D91" s="44"/>
      <c r="E91" s="13"/>
      <c r="F91" s="13"/>
      <c r="G91" s="34">
        <v>87.32</v>
      </c>
      <c r="H91" s="79"/>
      <c r="I91" s="13">
        <f>G91*2</f>
        <v>174.64</v>
      </c>
    </row>
    <row r="92" spans="1:9" ht="17.25" customHeight="1">
      <c r="A92" s="29">
        <v>22</v>
      </c>
      <c r="B92" s="93" t="s">
        <v>83</v>
      </c>
      <c r="C92" s="94" t="s">
        <v>121</v>
      </c>
      <c r="D92" s="44"/>
      <c r="E92" s="13"/>
      <c r="F92" s="13"/>
      <c r="G92" s="34">
        <v>207.55</v>
      </c>
      <c r="H92" s="79"/>
      <c r="I92" s="13">
        <f>G92*6</f>
        <v>1245.3000000000002</v>
      </c>
    </row>
    <row r="93" spans="1:9" ht="17.25" customHeight="1">
      <c r="A93" s="29">
        <v>23</v>
      </c>
      <c r="B93" s="93" t="s">
        <v>174</v>
      </c>
      <c r="C93" s="94" t="s">
        <v>121</v>
      </c>
      <c r="D93" s="29"/>
      <c r="E93" s="18"/>
      <c r="F93" s="13"/>
      <c r="G93" s="34">
        <v>58.39</v>
      </c>
      <c r="H93" s="79"/>
      <c r="I93" s="13">
        <f>G93*1</f>
        <v>58.39</v>
      </c>
    </row>
    <row r="94" spans="1:9" ht="33" customHeight="1">
      <c r="A94" s="29">
        <v>24</v>
      </c>
      <c r="B94" s="93" t="s">
        <v>181</v>
      </c>
      <c r="C94" s="94" t="s">
        <v>169</v>
      </c>
      <c r="D94" s="29"/>
      <c r="E94" s="18"/>
      <c r="F94" s="13"/>
      <c r="G94" s="34">
        <v>1465</v>
      </c>
      <c r="H94" s="79"/>
      <c r="I94" s="13">
        <f>G94*1</f>
        <v>1465</v>
      </c>
    </row>
    <row r="95" spans="1:9" ht="16.5" customHeight="1">
      <c r="A95" s="29">
        <v>25</v>
      </c>
      <c r="B95" s="93" t="s">
        <v>159</v>
      </c>
      <c r="C95" s="94" t="s">
        <v>85</v>
      </c>
      <c r="D95" s="29"/>
      <c r="E95" s="18"/>
      <c r="F95" s="13"/>
      <c r="G95" s="34">
        <v>214.07</v>
      </c>
      <c r="H95" s="79"/>
      <c r="I95" s="13">
        <f>G95*1</f>
        <v>214.07</v>
      </c>
    </row>
    <row r="96" spans="1:9" ht="16.5" customHeight="1">
      <c r="A96" s="29">
        <v>26</v>
      </c>
      <c r="B96" s="99" t="s">
        <v>274</v>
      </c>
      <c r="C96" s="37" t="s">
        <v>105</v>
      </c>
      <c r="D96" s="29"/>
      <c r="E96" s="18"/>
      <c r="F96" s="13"/>
      <c r="G96" s="117">
        <v>2494.86</v>
      </c>
      <c r="H96" s="79"/>
      <c r="I96" s="13">
        <f>G96*0.06</f>
        <v>149.69159999999999</v>
      </c>
    </row>
    <row r="97" spans="1:9" ht="15.75" customHeight="1">
      <c r="A97" s="29"/>
      <c r="B97" s="42" t="s">
        <v>53</v>
      </c>
      <c r="C97" s="38"/>
      <c r="D97" s="46"/>
      <c r="E97" s="38">
        <v>1</v>
      </c>
      <c r="F97" s="38"/>
      <c r="G97" s="38"/>
      <c r="H97" s="38"/>
      <c r="I97" s="32">
        <f>SUM(I84:I96)</f>
        <v>7089.9159540000001</v>
      </c>
    </row>
    <row r="98" spans="1:9" ht="15.75" customHeight="1">
      <c r="A98" s="29"/>
      <c r="B98" s="44" t="s">
        <v>80</v>
      </c>
      <c r="C98" s="15"/>
      <c r="D98" s="15"/>
      <c r="E98" s="39"/>
      <c r="F98" s="39"/>
      <c r="G98" s="40"/>
      <c r="H98" s="40"/>
      <c r="I98" s="17">
        <v>0</v>
      </c>
    </row>
    <row r="99" spans="1:9" ht="15.75" customHeight="1">
      <c r="A99" s="47"/>
      <c r="B99" s="43" t="s">
        <v>155</v>
      </c>
      <c r="C99" s="33"/>
      <c r="D99" s="33"/>
      <c r="E99" s="33"/>
      <c r="F99" s="33"/>
      <c r="G99" s="33"/>
      <c r="H99" s="33"/>
      <c r="I99" s="41">
        <f>I82+I97</f>
        <v>53581.612914199999</v>
      </c>
    </row>
    <row r="100" spans="1:9" ht="15.75" customHeight="1">
      <c r="A100" s="174" t="s">
        <v>275</v>
      </c>
      <c r="B100" s="174"/>
      <c r="C100" s="174"/>
      <c r="D100" s="174"/>
      <c r="E100" s="174"/>
      <c r="F100" s="174"/>
      <c r="G100" s="174"/>
      <c r="H100" s="174"/>
      <c r="I100" s="174"/>
    </row>
    <row r="101" spans="1:9" ht="15.75" customHeight="1">
      <c r="A101" s="55"/>
      <c r="B101" s="175" t="s">
        <v>276</v>
      </c>
      <c r="C101" s="175"/>
      <c r="D101" s="175"/>
      <c r="E101" s="175"/>
      <c r="F101" s="175"/>
      <c r="G101" s="175"/>
      <c r="H101" s="61"/>
      <c r="I101" s="3"/>
    </row>
    <row r="102" spans="1:9" ht="15.75" customHeight="1">
      <c r="A102" s="49"/>
      <c r="B102" s="176" t="s">
        <v>6</v>
      </c>
      <c r="C102" s="176"/>
      <c r="D102" s="176"/>
      <c r="E102" s="176"/>
      <c r="F102" s="176"/>
      <c r="G102" s="176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77" t="s">
        <v>7</v>
      </c>
      <c r="B104" s="177"/>
      <c r="C104" s="177"/>
      <c r="D104" s="177"/>
      <c r="E104" s="177"/>
      <c r="F104" s="177"/>
      <c r="G104" s="177"/>
      <c r="H104" s="177"/>
      <c r="I104" s="177"/>
    </row>
    <row r="105" spans="1:9" ht="15.75" customHeight="1">
      <c r="A105" s="177" t="s">
        <v>8</v>
      </c>
      <c r="B105" s="177"/>
      <c r="C105" s="177"/>
      <c r="D105" s="177"/>
      <c r="E105" s="177"/>
      <c r="F105" s="177"/>
      <c r="G105" s="177"/>
      <c r="H105" s="177"/>
      <c r="I105" s="177"/>
    </row>
    <row r="106" spans="1:9" ht="15.75" customHeight="1">
      <c r="A106" s="169" t="s">
        <v>63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 customHeight="1">
      <c r="A107" s="11"/>
    </row>
    <row r="108" spans="1:9" ht="15.75" customHeight="1">
      <c r="A108" s="182" t="s">
        <v>9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15.75" customHeight="1">
      <c r="A109" s="4"/>
    </row>
    <row r="110" spans="1:9" ht="15.75" customHeight="1">
      <c r="B110" s="52" t="s">
        <v>10</v>
      </c>
      <c r="C110" s="183" t="s">
        <v>90</v>
      </c>
      <c r="D110" s="183"/>
      <c r="E110" s="183"/>
      <c r="F110" s="59"/>
      <c r="I110" s="51"/>
    </row>
    <row r="111" spans="1:9" ht="15.75" customHeight="1">
      <c r="A111" s="49"/>
      <c r="C111" s="176" t="s">
        <v>11</v>
      </c>
      <c r="D111" s="176"/>
      <c r="E111" s="176"/>
      <c r="F111" s="24"/>
      <c r="I111" s="50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52" t="s">
        <v>13</v>
      </c>
      <c r="C113" s="184"/>
      <c r="D113" s="184"/>
      <c r="E113" s="184"/>
      <c r="F113" s="60"/>
      <c r="I113" s="51"/>
    </row>
    <row r="114" spans="1:9" ht="15.75" customHeight="1">
      <c r="A114" s="49"/>
      <c r="C114" s="159" t="s">
        <v>11</v>
      </c>
      <c r="D114" s="159"/>
      <c r="E114" s="159"/>
      <c r="F114" s="49"/>
      <c r="I114" s="50" t="s">
        <v>12</v>
      </c>
    </row>
    <row r="115" spans="1:9" ht="15.75" customHeight="1">
      <c r="A115" s="4" t="s">
        <v>14</v>
      </c>
    </row>
    <row r="116" spans="1:9" ht="15.75" customHeight="1">
      <c r="A116" s="185" t="s">
        <v>15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45" customHeight="1">
      <c r="A117" s="181" t="s">
        <v>16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30" customHeight="1">
      <c r="A118" s="181" t="s">
        <v>17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30" customHeight="1">
      <c r="A119" s="181" t="s">
        <v>21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15" customHeight="1">
      <c r="A120" s="181" t="s">
        <v>20</v>
      </c>
      <c r="B120" s="181"/>
      <c r="C120" s="181"/>
      <c r="D120" s="181"/>
      <c r="E120" s="181"/>
      <c r="F120" s="181"/>
      <c r="G120" s="181"/>
      <c r="H120" s="181"/>
      <c r="I120" s="181"/>
    </row>
  </sheetData>
  <autoFilter ref="I12:I60"/>
  <mergeCells count="29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7:I27"/>
    <mergeCell ref="A43:I43"/>
    <mergeCell ref="A54:I54"/>
    <mergeCell ref="A100:I100"/>
    <mergeCell ref="B101:G101"/>
    <mergeCell ref="B102:G102"/>
    <mergeCell ref="A104:I104"/>
    <mergeCell ref="A105:I105"/>
    <mergeCell ref="A83:I83"/>
    <mergeCell ref="R65:U65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topLeftCell="A14" workbookViewId="0">
      <selection activeCell="B29" sqref="B29:I32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6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152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277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43708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171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18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216</v>
      </c>
      <c r="E19" s="48">
        <v>38.4</v>
      </c>
      <c r="F19" s="64">
        <f>SUM(E19/10)</f>
        <v>3.84</v>
      </c>
      <c r="G19" s="64">
        <v>181.91</v>
      </c>
      <c r="H19" s="65">
        <f t="shared" ref="H19:H25" si="1">SUM(F19*G19/1000)</f>
        <v>0.6985344</v>
      </c>
      <c r="I19" s="13">
        <f>F19*G19</f>
        <v>698.53440000000001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si="1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hidden="1" customHeight="1">
      <c r="A21" s="29">
        <v>5</v>
      </c>
      <c r="B21" s="62" t="s">
        <v>98</v>
      </c>
      <c r="C21" s="63" t="s">
        <v>103</v>
      </c>
      <c r="D21" s="62" t="s">
        <v>216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1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259</v>
      </c>
      <c r="E22" s="48">
        <v>714</v>
      </c>
      <c r="F22" s="64">
        <f>SUM(E22/100)</f>
        <v>7.14</v>
      </c>
      <c r="G22" s="64">
        <v>287.83999999999997</v>
      </c>
      <c r="H22" s="65">
        <f t="shared" si="1"/>
        <v>2.0551775999999995</v>
      </c>
      <c r="I22" s="13">
        <f>F22*G22</f>
        <v>2055.1775999999995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259</v>
      </c>
      <c r="E23" s="58">
        <v>96.6</v>
      </c>
      <c r="F23" s="64">
        <f>SUM(E23/100)</f>
        <v>0.96599999999999997</v>
      </c>
      <c r="G23" s="64">
        <v>47.34</v>
      </c>
      <c r="H23" s="65">
        <f t="shared" si="1"/>
        <v>4.5730440000000004E-2</v>
      </c>
      <c r="I23" s="13">
        <f t="shared" ref="I23:I25" si="2">F23*G23</f>
        <v>45.730440000000002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260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f t="shared" si="2"/>
        <v>1999.7759999999998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261</v>
      </c>
      <c r="E25" s="48">
        <v>17</v>
      </c>
      <c r="F25" s="64">
        <f>SUM(E25/100)</f>
        <v>0.17</v>
      </c>
      <c r="G25" s="64">
        <v>556.74</v>
      </c>
      <c r="H25" s="65">
        <f t="shared" si="1"/>
        <v>9.4645800000000002E-2</v>
      </c>
      <c r="I25" s="13">
        <f t="shared" si="2"/>
        <v>94.645800000000008</v>
      </c>
      <c r="J25" s="22"/>
      <c r="K25" s="8"/>
      <c r="L25" s="8"/>
      <c r="M25" s="8"/>
    </row>
    <row r="26" spans="1:13" ht="15.75" customHeight="1">
      <c r="A26" s="29">
        <v>5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6</v>
      </c>
      <c r="B29" s="62" t="s">
        <v>109</v>
      </c>
      <c r="C29" s="63" t="s">
        <v>110</v>
      </c>
      <c r="D29" s="62" t="s">
        <v>238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customHeight="1">
      <c r="A30" s="29">
        <v>7</v>
      </c>
      <c r="B30" s="62" t="s">
        <v>142</v>
      </c>
      <c r="C30" s="63" t="s">
        <v>110</v>
      </c>
      <c r="D30" s="62" t="s">
        <v>237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1" si="3">SUM(F30*G30/1000)</f>
        <v>5.6098179072000001</v>
      </c>
      <c r="I30" s="13">
        <f t="shared" ref="I30:I32" si="4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240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3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customHeight="1">
      <c r="A32" s="29">
        <v>8</v>
      </c>
      <c r="B32" s="62" t="s">
        <v>140</v>
      </c>
      <c r="C32" s="63" t="s">
        <v>41</v>
      </c>
      <c r="D32" s="62" t="s">
        <v>243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4"/>
        <v>2876.5106666666666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ref="H33:H34" si="5">SUM(F33*G33/1000)</f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5"/>
        <v>2.4294600000000002</v>
      </c>
      <c r="I34" s="13">
        <v>0</v>
      </c>
      <c r="J34" s="23"/>
    </row>
    <row r="35" spans="1:14" ht="15.75" hidden="1" customHeight="1">
      <c r="A35" s="29"/>
      <c r="B35" s="84" t="s">
        <v>5</v>
      </c>
      <c r="C35" s="63"/>
      <c r="D35" s="62"/>
      <c r="E35" s="48"/>
      <c r="F35" s="64"/>
      <c r="G35" s="64"/>
      <c r="H35" s="65" t="s">
        <v>129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6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141</v>
      </c>
      <c r="C37" s="63" t="s">
        <v>29</v>
      </c>
      <c r="D37" s="62" t="s">
        <v>114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6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95</v>
      </c>
      <c r="C38" s="63" t="s">
        <v>115</v>
      </c>
      <c r="D38" s="62" t="s">
        <v>68</v>
      </c>
      <c r="E38" s="48"/>
      <c r="F38" s="64">
        <v>40</v>
      </c>
      <c r="G38" s="64">
        <v>213.2</v>
      </c>
      <c r="H38" s="65">
        <f t="shared" si="6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116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6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84</v>
      </c>
      <c r="C40" s="63" t="s">
        <v>110</v>
      </c>
      <c r="D40" s="62" t="s">
        <v>117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6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118</v>
      </c>
      <c r="C41" s="63" t="s">
        <v>110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6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6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hidden="1" customHeight="1">
      <c r="A43" s="171" t="s">
        <v>136</v>
      </c>
      <c r="B43" s="172"/>
      <c r="C43" s="172"/>
      <c r="D43" s="172"/>
      <c r="E43" s="172"/>
      <c r="F43" s="172"/>
      <c r="G43" s="172"/>
      <c r="H43" s="172"/>
      <c r="I43" s="173"/>
      <c r="J43" s="23"/>
      <c r="L43" s="19"/>
      <c r="M43" s="20"/>
      <c r="N43" s="21"/>
    </row>
    <row r="44" spans="1:14" ht="15.75" hidden="1" customHeight="1">
      <c r="A44" s="29"/>
      <c r="B44" s="62" t="s">
        <v>133</v>
      </c>
      <c r="C44" s="63" t="s">
        <v>110</v>
      </c>
      <c r="D44" s="62" t="s">
        <v>43</v>
      </c>
      <c r="E44" s="48">
        <v>1795.9</v>
      </c>
      <c r="F44" s="64">
        <f>SUM(E44*2/1000)</f>
        <v>3.5918000000000001</v>
      </c>
      <c r="G44" s="13">
        <v>865.61</v>
      </c>
      <c r="H44" s="65">
        <f t="shared" ref="H44:H53" si="7">SUM(F44*G44/1000)</f>
        <v>3.1090979980000002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2" t="s">
        <v>36</v>
      </c>
      <c r="C45" s="63" t="s">
        <v>110</v>
      </c>
      <c r="D45" s="62" t="s">
        <v>43</v>
      </c>
      <c r="E45" s="48">
        <v>104</v>
      </c>
      <c r="F45" s="64">
        <f>SUM(E45*2/1000)</f>
        <v>0.20799999999999999</v>
      </c>
      <c r="G45" s="13">
        <v>619.46</v>
      </c>
      <c r="H45" s="65">
        <f t="shared" si="7"/>
        <v>0.12884767999999999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37</v>
      </c>
      <c r="C46" s="63" t="s">
        <v>110</v>
      </c>
      <c r="D46" s="62" t="s">
        <v>43</v>
      </c>
      <c r="E46" s="48">
        <v>1996.87</v>
      </c>
      <c r="F46" s="64">
        <f>SUM(E46*2/1000)</f>
        <v>3.9937399999999998</v>
      </c>
      <c r="G46" s="13">
        <v>619.46</v>
      </c>
      <c r="H46" s="65">
        <f t="shared" si="7"/>
        <v>2.4739621804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38</v>
      </c>
      <c r="C47" s="63" t="s">
        <v>110</v>
      </c>
      <c r="D47" s="62" t="s">
        <v>43</v>
      </c>
      <c r="E47" s="48">
        <v>2630.35</v>
      </c>
      <c r="F47" s="64">
        <f>SUM(E47*2/1000)</f>
        <v>5.2606999999999999</v>
      </c>
      <c r="G47" s="13">
        <v>648.64</v>
      </c>
      <c r="H47" s="65">
        <f t="shared" si="7"/>
        <v>3.4123004479999999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34</v>
      </c>
      <c r="C48" s="63" t="s">
        <v>35</v>
      </c>
      <c r="D48" s="62" t="s">
        <v>43</v>
      </c>
      <c r="E48" s="48">
        <v>131.47</v>
      </c>
      <c r="F48" s="64">
        <f>SUM(E48*2/100)</f>
        <v>2.6294</v>
      </c>
      <c r="G48" s="13">
        <v>77.84</v>
      </c>
      <c r="H48" s="65">
        <f t="shared" si="7"/>
        <v>0.20467249599999998</v>
      </c>
      <c r="I48" s="13">
        <v>0</v>
      </c>
      <c r="J48" s="23"/>
      <c r="L48" s="19"/>
      <c r="M48" s="20"/>
      <c r="N48" s="21"/>
    </row>
    <row r="49" spans="1:22" ht="15.75" hidden="1" customHeight="1">
      <c r="A49" s="29">
        <v>14</v>
      </c>
      <c r="B49" s="62" t="s">
        <v>58</v>
      </c>
      <c r="C49" s="63" t="s">
        <v>110</v>
      </c>
      <c r="D49" s="62" t="s">
        <v>143</v>
      </c>
      <c r="E49" s="48">
        <v>2872.4</v>
      </c>
      <c r="F49" s="64">
        <f>SUM(E49*5/1000)</f>
        <v>14.362</v>
      </c>
      <c r="G49" s="13">
        <v>1297.28</v>
      </c>
      <c r="H49" s="65">
        <f t="shared" si="7"/>
        <v>18.631535359999997</v>
      </c>
      <c r="I49" s="13">
        <f>F49/5*G49</f>
        <v>3726.3070719999996</v>
      </c>
      <c r="J49" s="23"/>
      <c r="L49" s="19"/>
      <c r="M49" s="20"/>
      <c r="N49" s="21"/>
    </row>
    <row r="50" spans="1:22" ht="31.5" hidden="1" customHeight="1">
      <c r="A50" s="29"/>
      <c r="B50" s="62" t="s">
        <v>119</v>
      </c>
      <c r="C50" s="63" t="s">
        <v>110</v>
      </c>
      <c r="D50" s="62" t="s">
        <v>43</v>
      </c>
      <c r="E50" s="48">
        <v>2872.4</v>
      </c>
      <c r="F50" s="64">
        <f>SUM(E50*2/1000)</f>
        <v>5.7448000000000006</v>
      </c>
      <c r="G50" s="13">
        <v>1297.28</v>
      </c>
      <c r="H50" s="65">
        <f t="shared" si="7"/>
        <v>7.4526141440000009</v>
      </c>
      <c r="I50" s="13">
        <v>0</v>
      </c>
      <c r="J50" s="23"/>
      <c r="L50" s="19"/>
      <c r="M50" s="20"/>
      <c r="N50" s="21"/>
    </row>
    <row r="51" spans="1:22" ht="31.5" hidden="1" customHeight="1">
      <c r="A51" s="29"/>
      <c r="B51" s="62" t="s">
        <v>120</v>
      </c>
      <c r="C51" s="63" t="s">
        <v>39</v>
      </c>
      <c r="D51" s="62" t="s">
        <v>43</v>
      </c>
      <c r="E51" s="48">
        <v>40</v>
      </c>
      <c r="F51" s="64">
        <f>SUM(E51*2/100)</f>
        <v>0.8</v>
      </c>
      <c r="G51" s="13">
        <v>2918.89</v>
      </c>
      <c r="H51" s="65">
        <f t="shared" si="7"/>
        <v>2.3351120000000001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2" t="s">
        <v>40</v>
      </c>
      <c r="C52" s="63" t="s">
        <v>41</v>
      </c>
      <c r="D52" s="62" t="s">
        <v>43</v>
      </c>
      <c r="E52" s="48">
        <v>1</v>
      </c>
      <c r="F52" s="64">
        <v>0.02</v>
      </c>
      <c r="G52" s="13">
        <v>6042.12</v>
      </c>
      <c r="H52" s="65">
        <f t="shared" si="7"/>
        <v>0.1208424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11</v>
      </c>
      <c r="B53" s="62" t="s">
        <v>42</v>
      </c>
      <c r="C53" s="63" t="s">
        <v>30</v>
      </c>
      <c r="D53" s="62" t="s">
        <v>72</v>
      </c>
      <c r="E53" s="48">
        <v>160</v>
      </c>
      <c r="F53" s="64">
        <f>SUM(E53)*3</f>
        <v>480</v>
      </c>
      <c r="G53" s="13">
        <v>70.209999999999994</v>
      </c>
      <c r="H53" s="65">
        <f t="shared" si="7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71" t="s">
        <v>146</v>
      </c>
      <c r="B54" s="172"/>
      <c r="C54" s="172"/>
      <c r="D54" s="172"/>
      <c r="E54" s="172"/>
      <c r="F54" s="172"/>
      <c r="G54" s="172"/>
      <c r="H54" s="172"/>
      <c r="I54" s="173"/>
      <c r="J54" s="23"/>
      <c r="L54" s="19"/>
      <c r="M54" s="20"/>
      <c r="N54" s="21"/>
    </row>
    <row r="55" spans="1:22" ht="15.75" hidden="1" customHeight="1">
      <c r="A55" s="29"/>
      <c r="B55" s="84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2" t="s">
        <v>122</v>
      </c>
      <c r="C56" s="63" t="s">
        <v>103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5.75" customHeight="1">
      <c r="A57" s="29"/>
      <c r="B57" s="85" t="s">
        <v>45</v>
      </c>
      <c r="C57" s="72"/>
      <c r="D57" s="73"/>
      <c r="E57" s="74"/>
      <c r="F57" s="76"/>
      <c r="G57" s="13"/>
      <c r="H57" s="78"/>
      <c r="I57" s="13"/>
      <c r="J57" s="23"/>
      <c r="L57" s="19"/>
      <c r="M57" s="20"/>
      <c r="N57" s="21"/>
    </row>
    <row r="58" spans="1:22" ht="15.75" hidden="1" customHeight="1">
      <c r="A58" s="29"/>
      <c r="B58" s="73" t="s">
        <v>46</v>
      </c>
      <c r="C58" s="72" t="s">
        <v>55</v>
      </c>
      <c r="D58" s="73" t="s">
        <v>56</v>
      </c>
      <c r="E58" s="74">
        <v>2686</v>
      </c>
      <c r="F58" s="76">
        <f>E58/100</f>
        <v>26.86</v>
      </c>
      <c r="G58" s="13">
        <v>848.37</v>
      </c>
      <c r="H58" s="78">
        <f>G58*F58/1000</f>
        <v>22.787218199999998</v>
      </c>
      <c r="I58" s="13">
        <v>0</v>
      </c>
      <c r="J58" s="23"/>
      <c r="L58" s="19"/>
    </row>
    <row r="59" spans="1:22" ht="18" customHeight="1">
      <c r="A59" s="29">
        <v>9</v>
      </c>
      <c r="B59" s="73" t="s">
        <v>96</v>
      </c>
      <c r="C59" s="72" t="s">
        <v>25</v>
      </c>
      <c r="D59" s="73" t="s">
        <v>216</v>
      </c>
      <c r="E59" s="74">
        <v>343</v>
      </c>
      <c r="F59" s="76">
        <v>4116</v>
      </c>
      <c r="G59" s="13">
        <v>1.4</v>
      </c>
      <c r="H59" s="78">
        <f>F59*G59</f>
        <v>5762.4</v>
      </c>
      <c r="I59" s="13">
        <f>F59/12*G59</f>
        <v>480.2</v>
      </c>
    </row>
    <row r="60" spans="1:22" ht="15.75" hidden="1" customHeight="1">
      <c r="A60" s="29"/>
      <c r="B60" s="85" t="s">
        <v>134</v>
      </c>
      <c r="C60" s="72"/>
      <c r="D60" s="73"/>
      <c r="E60" s="74"/>
      <c r="F60" s="76"/>
      <c r="G60" s="13"/>
      <c r="H60" s="78"/>
      <c r="I60" s="13"/>
    </row>
    <row r="61" spans="1:22" ht="15.75" hidden="1" customHeight="1">
      <c r="A61" s="29"/>
      <c r="B61" s="73" t="s">
        <v>135</v>
      </c>
      <c r="C61" s="72" t="s">
        <v>30</v>
      </c>
      <c r="D61" s="73" t="s">
        <v>68</v>
      </c>
      <c r="E61" s="74">
        <v>3</v>
      </c>
      <c r="F61" s="75">
        <v>3</v>
      </c>
      <c r="G61" s="77">
        <v>254.16</v>
      </c>
      <c r="H61" s="76">
        <v>0.76200000000000001</v>
      </c>
      <c r="I61" s="13">
        <v>0</v>
      </c>
    </row>
    <row r="62" spans="1:22" ht="13.5" customHeight="1">
      <c r="A62" s="29"/>
      <c r="B62" s="85" t="s">
        <v>47</v>
      </c>
      <c r="C62" s="72"/>
      <c r="D62" s="73"/>
      <c r="E62" s="74"/>
      <c r="F62" s="75"/>
      <c r="G62" s="75"/>
      <c r="H62" s="76" t="s">
        <v>129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9.5" customHeight="1">
      <c r="A63" s="29">
        <v>10</v>
      </c>
      <c r="B63" s="14" t="s">
        <v>48</v>
      </c>
      <c r="C63" s="16" t="s">
        <v>121</v>
      </c>
      <c r="D63" s="73" t="s">
        <v>240</v>
      </c>
      <c r="E63" s="18">
        <v>15</v>
      </c>
      <c r="F63" s="64">
        <v>15</v>
      </c>
      <c r="G63" s="13">
        <v>237.74</v>
      </c>
      <c r="H63" s="79">
        <f t="shared" ref="H63:H76" si="8">SUM(F63*G63/1000)</f>
        <v>3.5661000000000005</v>
      </c>
      <c r="I63" s="13">
        <f>G63*1</f>
        <v>237.74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23.25" hidden="1" customHeight="1">
      <c r="A64" s="29"/>
      <c r="B64" s="14" t="s">
        <v>49</v>
      </c>
      <c r="C64" s="16" t="s">
        <v>121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8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24" hidden="1" customHeight="1">
      <c r="A65" s="29"/>
      <c r="B65" s="14" t="s">
        <v>50</v>
      </c>
      <c r="C65" s="16" t="s">
        <v>123</v>
      </c>
      <c r="D65" s="14" t="s">
        <v>56</v>
      </c>
      <c r="E65" s="48">
        <v>24123</v>
      </c>
      <c r="F65" s="13">
        <f>SUM(E65/100)</f>
        <v>241.23</v>
      </c>
      <c r="G65" s="13">
        <v>226.79</v>
      </c>
      <c r="H65" s="79">
        <f t="shared" si="8"/>
        <v>54.708551699999994</v>
      </c>
      <c r="I65" s="13">
        <f>F65*G65</f>
        <v>54708.551699999996</v>
      </c>
      <c r="J65" s="5"/>
      <c r="K65" s="5"/>
      <c r="L65" s="5"/>
      <c r="M65" s="5"/>
      <c r="N65" s="5"/>
      <c r="O65" s="5"/>
      <c r="P65" s="5"/>
      <c r="Q65" s="5"/>
      <c r="R65" s="159"/>
      <c r="S65" s="159"/>
      <c r="T65" s="159"/>
      <c r="U65" s="159"/>
    </row>
    <row r="66" spans="1:21" ht="24" hidden="1" customHeight="1">
      <c r="A66" s="29"/>
      <c r="B66" s="14" t="s">
        <v>51</v>
      </c>
      <c r="C66" s="16" t="s">
        <v>124</v>
      </c>
      <c r="D66" s="14"/>
      <c r="E66" s="48">
        <v>24123</v>
      </c>
      <c r="F66" s="13">
        <f>SUM(E66/1000)</f>
        <v>24.123000000000001</v>
      </c>
      <c r="G66" s="13">
        <v>176.61</v>
      </c>
      <c r="H66" s="79">
        <f t="shared" si="8"/>
        <v>4.2603630300000006</v>
      </c>
      <c r="I66" s="13">
        <f t="shared" ref="I66:I70" si="9">F66*G66</f>
        <v>4260.3630300000004</v>
      </c>
    </row>
    <row r="67" spans="1:21" ht="18" hidden="1" customHeight="1">
      <c r="A67" s="29"/>
      <c r="B67" s="14" t="s">
        <v>52</v>
      </c>
      <c r="C67" s="16" t="s">
        <v>78</v>
      </c>
      <c r="D67" s="14" t="s">
        <v>56</v>
      </c>
      <c r="E67" s="48">
        <v>2730</v>
      </c>
      <c r="F67" s="13">
        <f>SUM(E67/100)</f>
        <v>27.3</v>
      </c>
      <c r="G67" s="13">
        <v>2217.7800000000002</v>
      </c>
      <c r="H67" s="79">
        <f t="shared" si="8"/>
        <v>60.545394000000009</v>
      </c>
      <c r="I67" s="13">
        <f t="shared" si="9"/>
        <v>60545.394000000008</v>
      </c>
    </row>
    <row r="68" spans="1:21" ht="19.5" hidden="1" customHeight="1">
      <c r="A68" s="29"/>
      <c r="B68" s="80" t="s">
        <v>125</v>
      </c>
      <c r="C68" s="16" t="s">
        <v>33</v>
      </c>
      <c r="D68" s="14"/>
      <c r="E68" s="48">
        <v>23</v>
      </c>
      <c r="F68" s="13">
        <f>SUM(E68)</f>
        <v>23</v>
      </c>
      <c r="G68" s="13">
        <v>42.67</v>
      </c>
      <c r="H68" s="79">
        <f t="shared" si="8"/>
        <v>0.98141000000000012</v>
      </c>
      <c r="I68" s="13">
        <f t="shared" si="9"/>
        <v>981.41000000000008</v>
      </c>
    </row>
    <row r="69" spans="1:21" ht="18" hidden="1" customHeight="1">
      <c r="A69" s="29"/>
      <c r="B69" s="80" t="s">
        <v>126</v>
      </c>
      <c r="C69" s="16" t="s">
        <v>33</v>
      </c>
      <c r="D69" s="14"/>
      <c r="E69" s="48">
        <v>23</v>
      </c>
      <c r="F69" s="13">
        <f>SUM(E69)</f>
        <v>23</v>
      </c>
      <c r="G69" s="13">
        <v>39.81</v>
      </c>
      <c r="H69" s="79">
        <f t="shared" si="8"/>
        <v>0.91563000000000005</v>
      </c>
      <c r="I69" s="13">
        <f t="shared" si="9"/>
        <v>915.63000000000011</v>
      </c>
    </row>
    <row r="70" spans="1:21" ht="14.25" hidden="1" customHeight="1">
      <c r="A70" s="29"/>
      <c r="B70" s="14" t="s">
        <v>59</v>
      </c>
      <c r="C70" s="16" t="s">
        <v>60</v>
      </c>
      <c r="D70" s="14" t="s">
        <v>56</v>
      </c>
      <c r="E70" s="18">
        <v>10</v>
      </c>
      <c r="F70" s="64">
        <f>SUM(E70)</f>
        <v>10</v>
      </c>
      <c r="G70" s="13">
        <v>53.32</v>
      </c>
      <c r="H70" s="79">
        <f t="shared" si="8"/>
        <v>0.53320000000000001</v>
      </c>
      <c r="I70" s="13">
        <f t="shared" si="9"/>
        <v>533.20000000000005</v>
      </c>
    </row>
    <row r="71" spans="1:21" ht="17.25" hidden="1" customHeight="1">
      <c r="A71" s="29"/>
      <c r="B71" s="54" t="s">
        <v>74</v>
      </c>
      <c r="C71" s="16"/>
      <c r="D71" s="14"/>
      <c r="E71" s="18"/>
      <c r="F71" s="13"/>
      <c r="G71" s="13"/>
      <c r="H71" s="79" t="s">
        <v>129</v>
      </c>
      <c r="I71" s="13"/>
    </row>
    <row r="72" spans="1:21" ht="20.25" hidden="1" customHeight="1">
      <c r="A72" s="29">
        <v>13</v>
      </c>
      <c r="B72" s="14" t="s">
        <v>75</v>
      </c>
      <c r="C72" s="16" t="s">
        <v>31</v>
      </c>
      <c r="D72" s="14"/>
      <c r="E72" s="18">
        <v>2</v>
      </c>
      <c r="F72" s="56">
        <v>0.2</v>
      </c>
      <c r="G72" s="13">
        <v>536.23</v>
      </c>
      <c r="H72" s="79">
        <v>0.251</v>
      </c>
      <c r="I72" s="13">
        <f>G72*0.4</f>
        <v>214.49200000000002</v>
      </c>
    </row>
    <row r="73" spans="1:21" ht="21" hidden="1" customHeight="1">
      <c r="A73" s="29"/>
      <c r="B73" s="14" t="s">
        <v>89</v>
      </c>
      <c r="C73" s="16" t="s">
        <v>30</v>
      </c>
      <c r="D73" s="14"/>
      <c r="E73" s="18">
        <v>1</v>
      </c>
      <c r="F73" s="64">
        <f>SUM(E73)</f>
        <v>1</v>
      </c>
      <c r="G73" s="13">
        <v>383.25</v>
      </c>
      <c r="H73" s="79">
        <f t="shared" si="8"/>
        <v>0.38324999999999998</v>
      </c>
      <c r="I73" s="13">
        <v>0</v>
      </c>
    </row>
    <row r="74" spans="1:21" ht="24" hidden="1" customHeight="1">
      <c r="A74" s="29"/>
      <c r="B74" s="14" t="s">
        <v>76</v>
      </c>
      <c r="C74" s="16" t="s">
        <v>30</v>
      </c>
      <c r="D74" s="14"/>
      <c r="E74" s="18">
        <v>2</v>
      </c>
      <c r="F74" s="13">
        <v>2</v>
      </c>
      <c r="G74" s="13">
        <v>911.85</v>
      </c>
      <c r="H74" s="79">
        <f>F74*G74/1000</f>
        <v>1.8237000000000001</v>
      </c>
      <c r="I74" s="13">
        <v>0</v>
      </c>
    </row>
    <row r="75" spans="1:21" ht="23.25" hidden="1" customHeight="1">
      <c r="A75" s="29"/>
      <c r="B75" s="81" t="s">
        <v>77</v>
      </c>
      <c r="C75" s="16"/>
      <c r="D75" s="14"/>
      <c r="E75" s="18"/>
      <c r="F75" s="13"/>
      <c r="G75" s="13" t="s">
        <v>129</v>
      </c>
      <c r="H75" s="79" t="s">
        <v>129</v>
      </c>
      <c r="I75" s="13"/>
    </row>
    <row r="76" spans="1:21" ht="23.25" hidden="1" customHeight="1">
      <c r="A76" s="29"/>
      <c r="B76" s="44" t="s">
        <v>130</v>
      </c>
      <c r="C76" s="16" t="s">
        <v>78</v>
      </c>
      <c r="D76" s="14"/>
      <c r="E76" s="18"/>
      <c r="F76" s="13">
        <v>1.35</v>
      </c>
      <c r="G76" s="13">
        <v>2949.85</v>
      </c>
      <c r="H76" s="79">
        <f t="shared" si="8"/>
        <v>3.9822975</v>
      </c>
      <c r="I76" s="13">
        <v>0</v>
      </c>
    </row>
    <row r="77" spans="1:21" ht="21.75" hidden="1" customHeight="1">
      <c r="A77" s="29"/>
      <c r="B77" s="67" t="s">
        <v>127</v>
      </c>
      <c r="C77" s="81"/>
      <c r="D77" s="31"/>
      <c r="E77" s="32"/>
      <c r="F77" s="68"/>
      <c r="G77" s="68"/>
      <c r="H77" s="82">
        <f>SUM(H56:H76)</f>
        <v>5942.0851510459988</v>
      </c>
      <c r="I77" s="68"/>
    </row>
    <row r="78" spans="1:21" ht="20.25" hidden="1" customHeight="1">
      <c r="A78" s="29"/>
      <c r="B78" s="62" t="s">
        <v>128</v>
      </c>
      <c r="C78" s="16"/>
      <c r="D78" s="14"/>
      <c r="E78" s="57"/>
      <c r="F78" s="13">
        <v>1</v>
      </c>
      <c r="G78" s="13">
        <v>19342.2</v>
      </c>
      <c r="H78" s="79">
        <f>G78*F78/1000</f>
        <v>19.342200000000002</v>
      </c>
      <c r="I78" s="13">
        <v>0</v>
      </c>
    </row>
    <row r="79" spans="1:21" ht="15.75" customHeight="1">
      <c r="A79" s="160" t="s">
        <v>147</v>
      </c>
      <c r="B79" s="161"/>
      <c r="C79" s="161"/>
      <c r="D79" s="161"/>
      <c r="E79" s="161"/>
      <c r="F79" s="161"/>
      <c r="G79" s="161"/>
      <c r="H79" s="161"/>
      <c r="I79" s="162"/>
    </row>
    <row r="80" spans="1:21" ht="15.75" customHeight="1">
      <c r="A80" s="29">
        <v>11</v>
      </c>
      <c r="B80" s="62" t="s">
        <v>131</v>
      </c>
      <c r="C80" s="16" t="s">
        <v>57</v>
      </c>
      <c r="D80" s="83"/>
      <c r="E80" s="13">
        <v>4591.2</v>
      </c>
      <c r="F80" s="13">
        <f>SUM(E80*12)</f>
        <v>55094.399999999994</v>
      </c>
      <c r="G80" s="13">
        <v>2.54</v>
      </c>
      <c r="H80" s="79">
        <f>SUM(F80*G80/1000)</f>
        <v>139.93977599999999</v>
      </c>
      <c r="I80" s="13">
        <f>F80/12*G80</f>
        <v>11661.647999999999</v>
      </c>
    </row>
    <row r="81" spans="1:9" ht="31.5" customHeight="1">
      <c r="A81" s="29">
        <v>12</v>
      </c>
      <c r="B81" s="14" t="s">
        <v>79</v>
      </c>
      <c r="C81" s="16"/>
      <c r="D81" s="83"/>
      <c r="E81" s="48">
        <f>E80</f>
        <v>4591.2</v>
      </c>
      <c r="F81" s="13">
        <f>E81*12</f>
        <v>55094.399999999994</v>
      </c>
      <c r="G81" s="13">
        <v>2.0499999999999998</v>
      </c>
      <c r="H81" s="79">
        <f>F81*G81/1000</f>
        <v>112.94351999999998</v>
      </c>
      <c r="I81" s="13">
        <f>F81/12*G81</f>
        <v>9411.9599999999991</v>
      </c>
    </row>
    <row r="82" spans="1:9" ht="15.75" customHeight="1">
      <c r="A82" s="45"/>
      <c r="B82" s="36" t="s">
        <v>81</v>
      </c>
      <c r="C82" s="37"/>
      <c r="D82" s="15"/>
      <c r="E82" s="15"/>
      <c r="F82" s="15"/>
      <c r="G82" s="18"/>
      <c r="H82" s="18"/>
      <c r="I82" s="32">
        <f>I81+I80+I63+I59+I32+I30+I29+I26+I20+I18+I17+I16</f>
        <v>46601.213436199992</v>
      </c>
    </row>
    <row r="83" spans="1:9" ht="15.75" customHeight="1">
      <c r="A83" s="178" t="s">
        <v>62</v>
      </c>
      <c r="B83" s="179"/>
      <c r="C83" s="179"/>
      <c r="D83" s="179"/>
      <c r="E83" s="179"/>
      <c r="F83" s="179"/>
      <c r="G83" s="179"/>
      <c r="H83" s="179"/>
      <c r="I83" s="180"/>
    </row>
    <row r="84" spans="1:9" ht="30" customHeight="1">
      <c r="A84" s="29">
        <v>13</v>
      </c>
      <c r="B84" s="93" t="s">
        <v>212</v>
      </c>
      <c r="C84" s="94" t="s">
        <v>92</v>
      </c>
      <c r="D84" s="44" t="s">
        <v>278</v>
      </c>
      <c r="E84" s="34"/>
      <c r="F84" s="34">
        <f>124/3</f>
        <v>41.333333333333336</v>
      </c>
      <c r="G84" s="34">
        <v>644.72</v>
      </c>
      <c r="H84" s="95">
        <f t="shared" ref="H84:H86" si="10">G84*F84/1000</f>
        <v>26.648426666666669</v>
      </c>
      <c r="I84" s="13">
        <f>G84*1</f>
        <v>644.72</v>
      </c>
    </row>
    <row r="85" spans="1:9" ht="33.75" customHeight="1">
      <c r="A85" s="29">
        <v>14</v>
      </c>
      <c r="B85" s="93" t="s">
        <v>279</v>
      </c>
      <c r="C85" s="94" t="s">
        <v>169</v>
      </c>
      <c r="D85" s="44"/>
      <c r="E85" s="34"/>
      <c r="F85" s="34">
        <v>11</v>
      </c>
      <c r="G85" s="34">
        <v>1367</v>
      </c>
      <c r="H85" s="95">
        <f t="shared" si="10"/>
        <v>15.037000000000001</v>
      </c>
      <c r="I85" s="13">
        <f>G85*3</f>
        <v>4101</v>
      </c>
    </row>
    <row r="86" spans="1:9" ht="15.75" customHeight="1">
      <c r="A86" s="29">
        <v>15</v>
      </c>
      <c r="B86" s="93" t="s">
        <v>280</v>
      </c>
      <c r="C86" s="94" t="s">
        <v>121</v>
      </c>
      <c r="D86" s="96"/>
      <c r="E86" s="34"/>
      <c r="F86" s="34">
        <v>3</v>
      </c>
      <c r="G86" s="34">
        <v>9.3000000000000007</v>
      </c>
      <c r="H86" s="95">
        <f t="shared" si="10"/>
        <v>2.7900000000000001E-2</v>
      </c>
      <c r="I86" s="13">
        <f>G86*1</f>
        <v>9.3000000000000007</v>
      </c>
    </row>
    <row r="87" spans="1:9" ht="16.5" customHeight="1">
      <c r="A87" s="29">
        <v>16</v>
      </c>
      <c r="B87" s="93" t="s">
        <v>174</v>
      </c>
      <c r="C87" s="94" t="s">
        <v>121</v>
      </c>
      <c r="D87" s="44"/>
      <c r="E87" s="34"/>
      <c r="F87" s="34">
        <v>3</v>
      </c>
      <c r="G87" s="34">
        <v>58.39</v>
      </c>
      <c r="H87" s="95">
        <f>G87*F87/1000</f>
        <v>0.17517000000000002</v>
      </c>
      <c r="I87" s="13">
        <f>G87*1</f>
        <v>58.39</v>
      </c>
    </row>
    <row r="88" spans="1:9" ht="14.25" customHeight="1">
      <c r="A88" s="29">
        <v>17</v>
      </c>
      <c r="B88" s="93" t="s">
        <v>281</v>
      </c>
      <c r="C88" s="94" t="s">
        <v>121</v>
      </c>
      <c r="D88" s="44"/>
      <c r="E88" s="34"/>
      <c r="F88" s="34"/>
      <c r="G88" s="34">
        <v>887.44</v>
      </c>
      <c r="H88" s="95"/>
      <c r="I88" s="13">
        <f>G88*1</f>
        <v>887.44</v>
      </c>
    </row>
    <row r="89" spans="1:9" ht="13.5" customHeight="1">
      <c r="A89" s="29">
        <v>18</v>
      </c>
      <c r="B89" s="93" t="s">
        <v>83</v>
      </c>
      <c r="C89" s="94" t="s">
        <v>121</v>
      </c>
      <c r="D89" s="44"/>
      <c r="E89" s="34"/>
      <c r="F89" s="34"/>
      <c r="G89" s="34">
        <v>207.55</v>
      </c>
      <c r="H89" s="95"/>
      <c r="I89" s="13">
        <f>G89*1</f>
        <v>207.55</v>
      </c>
    </row>
    <row r="90" spans="1:9" ht="15.75" customHeight="1">
      <c r="A90" s="29"/>
      <c r="B90" s="42" t="s">
        <v>53</v>
      </c>
      <c r="C90" s="38"/>
      <c r="D90" s="46"/>
      <c r="E90" s="38">
        <v>1</v>
      </c>
      <c r="F90" s="38"/>
      <c r="G90" s="38"/>
      <c r="H90" s="38"/>
      <c r="I90" s="32">
        <f>SUM(I84:I89)</f>
        <v>5908.4000000000005</v>
      </c>
    </row>
    <row r="91" spans="1:9" ht="15.75" customHeight="1">
      <c r="A91" s="29"/>
      <c r="B91" s="44" t="s">
        <v>80</v>
      </c>
      <c r="C91" s="15"/>
      <c r="D91" s="15"/>
      <c r="E91" s="39"/>
      <c r="F91" s="39"/>
      <c r="G91" s="40"/>
      <c r="H91" s="40"/>
      <c r="I91" s="17">
        <v>0</v>
      </c>
    </row>
    <row r="92" spans="1:9" ht="15.75" customHeight="1">
      <c r="A92" s="47"/>
      <c r="B92" s="43" t="s">
        <v>155</v>
      </c>
      <c r="C92" s="33"/>
      <c r="D92" s="33"/>
      <c r="E92" s="33"/>
      <c r="F92" s="33"/>
      <c r="G92" s="33"/>
      <c r="H92" s="33"/>
      <c r="I92" s="41">
        <f>I82+I90</f>
        <v>52509.613436199994</v>
      </c>
    </row>
    <row r="93" spans="1:9" ht="15.75" customHeight="1">
      <c r="A93" s="174" t="s">
        <v>282</v>
      </c>
      <c r="B93" s="174"/>
      <c r="C93" s="174"/>
      <c r="D93" s="174"/>
      <c r="E93" s="174"/>
      <c r="F93" s="174"/>
      <c r="G93" s="174"/>
      <c r="H93" s="174"/>
      <c r="I93" s="174"/>
    </row>
    <row r="94" spans="1:9" ht="15.75" customHeight="1">
      <c r="A94" s="55"/>
      <c r="B94" s="175" t="s">
        <v>283</v>
      </c>
      <c r="C94" s="175"/>
      <c r="D94" s="175"/>
      <c r="E94" s="175"/>
      <c r="F94" s="175"/>
      <c r="G94" s="175"/>
      <c r="H94" s="61"/>
      <c r="I94" s="3"/>
    </row>
    <row r="95" spans="1:9" ht="15.75" customHeight="1">
      <c r="A95" s="49"/>
      <c r="B95" s="176" t="s">
        <v>6</v>
      </c>
      <c r="C95" s="176"/>
      <c r="D95" s="176"/>
      <c r="E95" s="176"/>
      <c r="F95" s="176"/>
      <c r="G95" s="176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77" t="s">
        <v>7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 customHeight="1">
      <c r="A98" s="177" t="s">
        <v>8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 customHeight="1">
      <c r="A99" s="169" t="s">
        <v>63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 customHeight="1">
      <c r="A100" s="11"/>
    </row>
    <row r="101" spans="1:9" ht="15.75" customHeight="1">
      <c r="A101" s="182" t="s">
        <v>9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 customHeight="1">
      <c r="A102" s="4"/>
    </row>
    <row r="103" spans="1:9" ht="15.75" customHeight="1">
      <c r="B103" s="52" t="s">
        <v>10</v>
      </c>
      <c r="C103" s="183" t="s">
        <v>90</v>
      </c>
      <c r="D103" s="183"/>
      <c r="E103" s="183"/>
      <c r="F103" s="59"/>
      <c r="I103" s="51"/>
    </row>
    <row r="104" spans="1:9" ht="15.75" customHeight="1">
      <c r="A104" s="49"/>
      <c r="C104" s="176" t="s">
        <v>11</v>
      </c>
      <c r="D104" s="176"/>
      <c r="E104" s="176"/>
      <c r="F104" s="24"/>
      <c r="I104" s="50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52" t="s">
        <v>13</v>
      </c>
      <c r="C106" s="184"/>
      <c r="D106" s="184"/>
      <c r="E106" s="184"/>
      <c r="F106" s="60"/>
      <c r="I106" s="51"/>
    </row>
    <row r="107" spans="1:9" ht="15.75" customHeight="1">
      <c r="A107" s="49"/>
      <c r="C107" s="159" t="s">
        <v>11</v>
      </c>
      <c r="D107" s="159"/>
      <c r="E107" s="159"/>
      <c r="F107" s="49"/>
      <c r="I107" s="50" t="s">
        <v>12</v>
      </c>
    </row>
    <row r="108" spans="1:9" ht="15.75" customHeight="1">
      <c r="A108" s="4" t="s">
        <v>14</v>
      </c>
    </row>
    <row r="109" spans="1:9" ht="15.75" customHeight="1">
      <c r="A109" s="185" t="s">
        <v>15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45" customHeight="1">
      <c r="A110" s="181" t="s">
        <v>16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30" customHeight="1">
      <c r="A111" s="181" t="s">
        <v>17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30" customHeight="1">
      <c r="A112" s="181" t="s">
        <v>21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15" customHeight="1">
      <c r="A113" s="181" t="s">
        <v>20</v>
      </c>
      <c r="B113" s="181"/>
      <c r="C113" s="181"/>
      <c r="D113" s="181"/>
      <c r="E113" s="181"/>
      <c r="F113" s="181"/>
      <c r="G113" s="181"/>
      <c r="H113" s="181"/>
      <c r="I113" s="181"/>
    </row>
  </sheetData>
  <autoFilter ref="I12:I60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7:I27"/>
    <mergeCell ref="A43:I43"/>
    <mergeCell ref="A54:I54"/>
    <mergeCell ref="A93:I93"/>
    <mergeCell ref="B94:G94"/>
    <mergeCell ref="B95:G95"/>
    <mergeCell ref="A97:I97"/>
    <mergeCell ref="A98:I98"/>
    <mergeCell ref="A83:I83"/>
    <mergeCell ref="R65:U65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topLeftCell="A15" workbookViewId="0">
      <selection activeCell="B26" sqref="B26:I2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153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284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43738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179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48">
        <v>127.9</v>
      </c>
      <c r="F16" s="64">
        <f>SUM(E16*156/100)</f>
        <v>199.524</v>
      </c>
      <c r="G16" s="64">
        <v>187.48</v>
      </c>
      <c r="H16" s="65">
        <f t="shared" ref="H16:H18" si="0">SUM(F16*G16/1000)</f>
        <v>37.406759520000001</v>
      </c>
      <c r="I16" s="13">
        <f>F16/12*G16</f>
        <v>3117.2299599999997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48">
        <v>511.6</v>
      </c>
      <c r="F17" s="64">
        <f>SUM(E17*104/100)</f>
        <v>532.06399999999996</v>
      </c>
      <c r="G17" s="64">
        <v>185.48</v>
      </c>
      <c r="H17" s="65">
        <f t="shared" si="0"/>
        <v>98.687230719999988</v>
      </c>
      <c r="I17" s="13">
        <f>F17/12*G17</f>
        <v>8223.9358933333315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48">
        <f>SUM(E16+E17)</f>
        <v>639.5</v>
      </c>
      <c r="F18" s="64">
        <f>SUM(E18*24/100)</f>
        <v>153.47999999999999</v>
      </c>
      <c r="G18" s="64">
        <v>539.30999999999995</v>
      </c>
      <c r="H18" s="65">
        <f t="shared" si="0"/>
        <v>82.773298799999992</v>
      </c>
      <c r="I18" s="13">
        <f>F18/12*G18</f>
        <v>6897.7748999999985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216</v>
      </c>
      <c r="E19" s="48">
        <v>38.4</v>
      </c>
      <c r="F19" s="64">
        <f>SUM(E19/10)</f>
        <v>3.84</v>
      </c>
      <c r="G19" s="64">
        <v>181.91</v>
      </c>
      <c r="H19" s="65">
        <f t="shared" ref="H19:H25" si="1">SUM(F19*G19/1000)</f>
        <v>0.6985344</v>
      </c>
      <c r="I19" s="13">
        <f>F19*G19</f>
        <v>698.53440000000001</v>
      </c>
      <c r="J19" s="22"/>
      <c r="K19" s="8"/>
      <c r="L19" s="8"/>
      <c r="M19" s="8"/>
    </row>
    <row r="20" spans="1:13" ht="15.75" customHeight="1">
      <c r="A20" s="29">
        <v>4</v>
      </c>
      <c r="B20" s="62" t="s">
        <v>97</v>
      </c>
      <c r="C20" s="63" t="s">
        <v>103</v>
      </c>
      <c r="D20" s="62" t="s">
        <v>240</v>
      </c>
      <c r="E20" s="48">
        <v>58.4</v>
      </c>
      <c r="F20" s="64">
        <f>SUM(E20*12/100)</f>
        <v>7.0079999999999991</v>
      </c>
      <c r="G20" s="64">
        <v>232.92</v>
      </c>
      <c r="H20" s="65">
        <f t="shared" si="1"/>
        <v>1.6323033599999996</v>
      </c>
      <c r="I20" s="13">
        <f>F20/12*G20</f>
        <v>136.02527999999998</v>
      </c>
      <c r="J20" s="22"/>
      <c r="K20" s="8"/>
      <c r="L20" s="8"/>
      <c r="M20" s="8"/>
    </row>
    <row r="21" spans="1:13" ht="15.75" customHeight="1">
      <c r="A21" s="29">
        <v>5</v>
      </c>
      <c r="B21" s="62" t="s">
        <v>98</v>
      </c>
      <c r="C21" s="63" t="s">
        <v>103</v>
      </c>
      <c r="D21" s="62" t="s">
        <v>216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1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259</v>
      </c>
      <c r="E22" s="48">
        <v>714</v>
      </c>
      <c r="F22" s="64">
        <f>SUM(E22/100)</f>
        <v>7.14</v>
      </c>
      <c r="G22" s="64">
        <v>287.83999999999997</v>
      </c>
      <c r="H22" s="65">
        <f t="shared" si="1"/>
        <v>2.0551775999999995</v>
      </c>
      <c r="I22" s="13">
        <f>F22*G22</f>
        <v>2055.1775999999995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259</v>
      </c>
      <c r="E23" s="58">
        <v>96.6</v>
      </c>
      <c r="F23" s="64">
        <f>SUM(E23/100)</f>
        <v>0.96599999999999997</v>
      </c>
      <c r="G23" s="64">
        <v>47.34</v>
      </c>
      <c r="H23" s="65">
        <f t="shared" si="1"/>
        <v>4.5730440000000004E-2</v>
      </c>
      <c r="I23" s="13">
        <f t="shared" ref="I23:I25" si="2">F23*G23</f>
        <v>45.730440000000002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260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f t="shared" si="2"/>
        <v>1999.7759999999998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261</v>
      </c>
      <c r="E25" s="48">
        <v>17</v>
      </c>
      <c r="F25" s="64">
        <f>SUM(E25/100)</f>
        <v>0.17</v>
      </c>
      <c r="G25" s="64">
        <v>556.74</v>
      </c>
      <c r="H25" s="65">
        <f t="shared" si="1"/>
        <v>9.4645800000000002E-2</v>
      </c>
      <c r="I25" s="13">
        <f t="shared" si="2"/>
        <v>94.645800000000008</v>
      </c>
      <c r="J25" s="22"/>
      <c r="K25" s="8"/>
      <c r="L25" s="8"/>
      <c r="M25" s="8"/>
    </row>
    <row r="26" spans="1:13" ht="15.75" customHeight="1">
      <c r="A26" s="29">
        <v>6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7</v>
      </c>
      <c r="B29" s="62" t="s">
        <v>109</v>
      </c>
      <c r="C29" s="63" t="s">
        <v>110</v>
      </c>
      <c r="D29" s="62" t="s">
        <v>238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customHeight="1">
      <c r="A30" s="29">
        <v>8</v>
      </c>
      <c r="B30" s="62" t="s">
        <v>142</v>
      </c>
      <c r="C30" s="63" t="s">
        <v>110</v>
      </c>
      <c r="D30" s="62" t="s">
        <v>237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1" si="3">SUM(F30*G30/1000)</f>
        <v>5.6098179072000001</v>
      </c>
      <c r="I30" s="13">
        <f t="shared" ref="I30:I32" si="4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240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3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customHeight="1">
      <c r="A32" s="29">
        <v>9</v>
      </c>
      <c r="B32" s="62" t="s">
        <v>140</v>
      </c>
      <c r="C32" s="63" t="s">
        <v>41</v>
      </c>
      <c r="D32" s="62" t="s">
        <v>243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4"/>
        <v>2876.5106666666666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ref="H33:H34" si="5">SUM(F33*G33/1000)</f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5"/>
        <v>2.4294600000000002</v>
      </c>
      <c r="I34" s="13">
        <v>0</v>
      </c>
      <c r="J34" s="23"/>
    </row>
    <row r="35" spans="1:14" ht="15.75" hidden="1" customHeight="1">
      <c r="A35" s="29"/>
      <c r="B35" s="84" t="s">
        <v>5</v>
      </c>
      <c r="C35" s="63"/>
      <c r="D35" s="62"/>
      <c r="E35" s="48"/>
      <c r="F35" s="64"/>
      <c r="G35" s="64"/>
      <c r="H35" s="65" t="s">
        <v>129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6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141</v>
      </c>
      <c r="C37" s="63" t="s">
        <v>29</v>
      </c>
      <c r="D37" s="62" t="s">
        <v>114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6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95</v>
      </c>
      <c r="C38" s="63" t="s">
        <v>115</v>
      </c>
      <c r="D38" s="62" t="s">
        <v>68</v>
      </c>
      <c r="E38" s="48"/>
      <c r="F38" s="64">
        <v>40</v>
      </c>
      <c r="G38" s="64">
        <v>213.2</v>
      </c>
      <c r="H38" s="65">
        <f t="shared" si="6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116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6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84</v>
      </c>
      <c r="C40" s="63" t="s">
        <v>110</v>
      </c>
      <c r="D40" s="62" t="s">
        <v>117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6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118</v>
      </c>
      <c r="C41" s="63" t="s">
        <v>110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6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6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customHeight="1">
      <c r="A43" s="171" t="s">
        <v>136</v>
      </c>
      <c r="B43" s="172"/>
      <c r="C43" s="172"/>
      <c r="D43" s="172"/>
      <c r="E43" s="172"/>
      <c r="F43" s="172"/>
      <c r="G43" s="172"/>
      <c r="H43" s="172"/>
      <c r="I43" s="173"/>
      <c r="J43" s="23"/>
      <c r="L43" s="19"/>
      <c r="M43" s="20"/>
      <c r="N43" s="21"/>
    </row>
    <row r="44" spans="1:14" ht="15.75" customHeight="1">
      <c r="A44" s="29">
        <v>10</v>
      </c>
      <c r="B44" s="62" t="s">
        <v>133</v>
      </c>
      <c r="C44" s="63" t="s">
        <v>110</v>
      </c>
      <c r="D44" s="62" t="s">
        <v>240</v>
      </c>
      <c r="E44" s="48">
        <v>1795.9</v>
      </c>
      <c r="F44" s="64">
        <f>SUM(E44*2/1000)</f>
        <v>3.5918000000000001</v>
      </c>
      <c r="G44" s="13">
        <v>865.61</v>
      </c>
      <c r="H44" s="65">
        <f t="shared" ref="H44:H53" si="7">SUM(F44*G44/1000)</f>
        <v>3.1090979980000002</v>
      </c>
      <c r="I44" s="13">
        <f t="shared" ref="I44:I47" si="8">F44/2*G44</f>
        <v>1554.5489990000001</v>
      </c>
      <c r="J44" s="23"/>
      <c r="L44" s="19"/>
      <c r="M44" s="20"/>
      <c r="N44" s="21"/>
    </row>
    <row r="45" spans="1:14" ht="15.75" customHeight="1">
      <c r="A45" s="29">
        <v>11</v>
      </c>
      <c r="B45" s="62" t="s">
        <v>36</v>
      </c>
      <c r="C45" s="63" t="s">
        <v>110</v>
      </c>
      <c r="D45" s="62" t="s">
        <v>240</v>
      </c>
      <c r="E45" s="48">
        <v>104</v>
      </c>
      <c r="F45" s="64">
        <f>SUM(E45*2/1000)</f>
        <v>0.20799999999999999</v>
      </c>
      <c r="G45" s="13">
        <v>619.46</v>
      </c>
      <c r="H45" s="65">
        <f t="shared" si="7"/>
        <v>0.12884767999999999</v>
      </c>
      <c r="I45" s="13">
        <f t="shared" si="8"/>
        <v>64.423839999999998</v>
      </c>
      <c r="J45" s="23"/>
      <c r="L45" s="19"/>
      <c r="M45" s="20"/>
      <c r="N45" s="21"/>
    </row>
    <row r="46" spans="1:14" ht="15.75" customHeight="1">
      <c r="A46" s="29">
        <v>12</v>
      </c>
      <c r="B46" s="62" t="s">
        <v>37</v>
      </c>
      <c r="C46" s="63" t="s">
        <v>110</v>
      </c>
      <c r="D46" s="62" t="s">
        <v>240</v>
      </c>
      <c r="E46" s="48">
        <v>1996.87</v>
      </c>
      <c r="F46" s="64">
        <f>SUM(E46*2/1000)</f>
        <v>3.9937399999999998</v>
      </c>
      <c r="G46" s="13">
        <v>619.46</v>
      </c>
      <c r="H46" s="65">
        <f t="shared" si="7"/>
        <v>2.4739621804</v>
      </c>
      <c r="I46" s="13">
        <f t="shared" si="8"/>
        <v>1236.9810901999999</v>
      </c>
      <c r="J46" s="23"/>
      <c r="L46" s="19"/>
      <c r="M46" s="20"/>
      <c r="N46" s="21"/>
    </row>
    <row r="47" spans="1:14" ht="15.75" customHeight="1">
      <c r="A47" s="29">
        <v>13</v>
      </c>
      <c r="B47" s="62" t="s">
        <v>38</v>
      </c>
      <c r="C47" s="63" t="s">
        <v>110</v>
      </c>
      <c r="D47" s="62" t="s">
        <v>240</v>
      </c>
      <c r="E47" s="48">
        <v>2630.35</v>
      </c>
      <c r="F47" s="64">
        <f>SUM(E47*2/1000)</f>
        <v>5.2606999999999999</v>
      </c>
      <c r="G47" s="13">
        <v>648.64</v>
      </c>
      <c r="H47" s="65">
        <f t="shared" si="7"/>
        <v>3.4123004479999999</v>
      </c>
      <c r="I47" s="13">
        <f t="shared" si="8"/>
        <v>1706.150224</v>
      </c>
      <c r="J47" s="23"/>
      <c r="L47" s="19"/>
      <c r="M47" s="20"/>
      <c r="N47" s="21"/>
    </row>
    <row r="48" spans="1:14" ht="15.75" customHeight="1">
      <c r="A48" s="29">
        <v>14</v>
      </c>
      <c r="B48" s="62" t="s">
        <v>34</v>
      </c>
      <c r="C48" s="63" t="s">
        <v>35</v>
      </c>
      <c r="D48" s="62" t="s">
        <v>240</v>
      </c>
      <c r="E48" s="48">
        <v>131.47</v>
      </c>
      <c r="F48" s="64">
        <f>SUM(E48*2/100)</f>
        <v>2.6294</v>
      </c>
      <c r="G48" s="13">
        <v>77.84</v>
      </c>
      <c r="H48" s="65">
        <f t="shared" si="7"/>
        <v>0.20467249599999998</v>
      </c>
      <c r="I48" s="13">
        <f>F48/2*G48</f>
        <v>102.336248</v>
      </c>
      <c r="J48" s="23"/>
      <c r="L48" s="19"/>
      <c r="M48" s="20"/>
      <c r="N48" s="21"/>
    </row>
    <row r="49" spans="1:22" ht="15.75" customHeight="1">
      <c r="A49" s="29">
        <v>15</v>
      </c>
      <c r="B49" s="62" t="s">
        <v>58</v>
      </c>
      <c r="C49" s="63" t="s">
        <v>110</v>
      </c>
      <c r="D49" s="62" t="s">
        <v>240</v>
      </c>
      <c r="E49" s="48">
        <v>2872.4</v>
      </c>
      <c r="F49" s="64">
        <f>SUM(E49*5/1000)</f>
        <v>14.362</v>
      </c>
      <c r="G49" s="13">
        <v>1297.28</v>
      </c>
      <c r="H49" s="65">
        <f t="shared" si="7"/>
        <v>18.631535359999997</v>
      </c>
      <c r="I49" s="13">
        <f>F49/5*G49</f>
        <v>3726.3070719999996</v>
      </c>
      <c r="J49" s="23"/>
      <c r="L49" s="19"/>
      <c r="M49" s="20"/>
      <c r="N49" s="21"/>
    </row>
    <row r="50" spans="1:22" ht="31.5" customHeight="1">
      <c r="A50" s="29">
        <v>16</v>
      </c>
      <c r="B50" s="62" t="s">
        <v>119</v>
      </c>
      <c r="C50" s="63" t="s">
        <v>110</v>
      </c>
      <c r="D50" s="62" t="s">
        <v>240</v>
      </c>
      <c r="E50" s="48">
        <v>2872.4</v>
      </c>
      <c r="F50" s="64">
        <f>SUM(E50*2/1000)</f>
        <v>5.7448000000000006</v>
      </c>
      <c r="G50" s="13">
        <v>1297.28</v>
      </c>
      <c r="H50" s="65">
        <f t="shared" si="7"/>
        <v>7.4526141440000009</v>
      </c>
      <c r="I50" s="13">
        <f>G50*F50/2</f>
        <v>3726.3070720000005</v>
      </c>
      <c r="J50" s="23"/>
      <c r="L50" s="19"/>
      <c r="M50" s="20"/>
      <c r="N50" s="21"/>
    </row>
    <row r="51" spans="1:22" ht="31.5" customHeight="1">
      <c r="A51" s="29">
        <v>17</v>
      </c>
      <c r="B51" s="62" t="s">
        <v>120</v>
      </c>
      <c r="C51" s="63" t="s">
        <v>39</v>
      </c>
      <c r="D51" s="62" t="s">
        <v>240</v>
      </c>
      <c r="E51" s="48">
        <v>40</v>
      </c>
      <c r="F51" s="64">
        <f>SUM(E51*2/100)</f>
        <v>0.8</v>
      </c>
      <c r="G51" s="13">
        <v>2918.89</v>
      </c>
      <c r="H51" s="65">
        <f t="shared" si="7"/>
        <v>2.3351120000000001</v>
      </c>
      <c r="I51" s="13">
        <f>G51*F51/2</f>
        <v>1167.556</v>
      </c>
      <c r="J51" s="23"/>
      <c r="L51" s="19"/>
      <c r="M51" s="20"/>
      <c r="N51" s="21"/>
    </row>
    <row r="52" spans="1:22" ht="15.75" customHeight="1">
      <c r="A52" s="29">
        <v>18</v>
      </c>
      <c r="B52" s="62" t="s">
        <v>40</v>
      </c>
      <c r="C52" s="63" t="s">
        <v>41</v>
      </c>
      <c r="D52" s="62" t="s">
        <v>240</v>
      </c>
      <c r="E52" s="48">
        <v>1</v>
      </c>
      <c r="F52" s="64">
        <v>0.02</v>
      </c>
      <c r="G52" s="13">
        <v>6042.12</v>
      </c>
      <c r="H52" s="65">
        <f t="shared" si="7"/>
        <v>0.1208424</v>
      </c>
      <c r="I52" s="13">
        <f>G52*F52/2</f>
        <v>60.421199999999999</v>
      </c>
      <c r="J52" s="23"/>
      <c r="L52" s="19"/>
      <c r="M52" s="20"/>
      <c r="N52" s="21"/>
    </row>
    <row r="53" spans="1:22" ht="15.75" customHeight="1">
      <c r="A53" s="29">
        <v>19</v>
      </c>
      <c r="B53" s="62" t="s">
        <v>42</v>
      </c>
      <c r="C53" s="63" t="s">
        <v>30</v>
      </c>
      <c r="D53" s="134">
        <v>43719</v>
      </c>
      <c r="E53" s="48">
        <v>160</v>
      </c>
      <c r="F53" s="64">
        <f>SUM(E53)*3</f>
        <v>480</v>
      </c>
      <c r="G53" s="13">
        <v>70.209999999999994</v>
      </c>
      <c r="H53" s="65">
        <f t="shared" si="7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71" t="s">
        <v>137</v>
      </c>
      <c r="B54" s="172"/>
      <c r="C54" s="172"/>
      <c r="D54" s="172"/>
      <c r="E54" s="172"/>
      <c r="F54" s="172"/>
      <c r="G54" s="172"/>
      <c r="H54" s="172"/>
      <c r="I54" s="173"/>
      <c r="J54" s="23"/>
      <c r="L54" s="19"/>
      <c r="M54" s="20"/>
      <c r="N54" s="21"/>
    </row>
    <row r="55" spans="1:22" ht="15.75" hidden="1" customHeight="1">
      <c r="A55" s="29"/>
      <c r="B55" s="84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2" t="s">
        <v>122</v>
      </c>
      <c r="C56" s="63" t="s">
        <v>103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5.75" customHeight="1">
      <c r="A57" s="29"/>
      <c r="B57" s="85" t="s">
        <v>45</v>
      </c>
      <c r="C57" s="72"/>
      <c r="D57" s="73"/>
      <c r="E57" s="74"/>
      <c r="F57" s="76"/>
      <c r="G57" s="13"/>
      <c r="H57" s="78"/>
      <c r="I57" s="13"/>
      <c r="J57" s="23"/>
      <c r="L57" s="19"/>
      <c r="M57" s="20"/>
      <c r="N57" s="21"/>
    </row>
    <row r="58" spans="1:22" ht="15.75" hidden="1" customHeight="1">
      <c r="A58" s="29"/>
      <c r="B58" s="73" t="s">
        <v>46</v>
      </c>
      <c r="C58" s="72" t="s">
        <v>55</v>
      </c>
      <c r="D58" s="73" t="s">
        <v>56</v>
      </c>
      <c r="E58" s="74">
        <v>2686</v>
      </c>
      <c r="F58" s="76">
        <f>E58/100</f>
        <v>26.86</v>
      </c>
      <c r="G58" s="13">
        <v>848.37</v>
      </c>
      <c r="H58" s="78">
        <f>G58*F58/1000</f>
        <v>22.787218199999998</v>
      </c>
      <c r="I58" s="13">
        <v>0</v>
      </c>
      <c r="J58" s="23"/>
      <c r="L58" s="19"/>
    </row>
    <row r="59" spans="1:22" ht="15.75" customHeight="1">
      <c r="A59" s="29">
        <v>20</v>
      </c>
      <c r="B59" s="73" t="s">
        <v>96</v>
      </c>
      <c r="C59" s="72" t="s">
        <v>25</v>
      </c>
      <c r="D59" s="73" t="s">
        <v>216</v>
      </c>
      <c r="E59" s="74">
        <v>343</v>
      </c>
      <c r="F59" s="76">
        <v>4116</v>
      </c>
      <c r="G59" s="13">
        <v>1.4</v>
      </c>
      <c r="H59" s="78">
        <f>F59*G59</f>
        <v>5762.4</v>
      </c>
      <c r="I59" s="13">
        <f>F59/12*G59</f>
        <v>480.2</v>
      </c>
    </row>
    <row r="60" spans="1:22" ht="15.75" hidden="1" customHeight="1">
      <c r="A60" s="29"/>
      <c r="B60" s="85" t="s">
        <v>134</v>
      </c>
      <c r="C60" s="72"/>
      <c r="D60" s="73"/>
      <c r="E60" s="74"/>
      <c r="F60" s="76"/>
      <c r="G60" s="13"/>
      <c r="H60" s="78"/>
      <c r="I60" s="13"/>
    </row>
    <row r="61" spans="1:22" ht="15.75" hidden="1" customHeight="1">
      <c r="A61" s="29"/>
      <c r="B61" s="73" t="s">
        <v>135</v>
      </c>
      <c r="C61" s="72" t="s">
        <v>30</v>
      </c>
      <c r="D61" s="73" t="s">
        <v>68</v>
      </c>
      <c r="E61" s="74">
        <v>3</v>
      </c>
      <c r="F61" s="75">
        <v>3</v>
      </c>
      <c r="G61" s="77">
        <v>254.16</v>
      </c>
      <c r="H61" s="76">
        <v>0.76200000000000001</v>
      </c>
      <c r="I61" s="13">
        <v>0</v>
      </c>
    </row>
    <row r="62" spans="1:22" ht="15.75" customHeight="1">
      <c r="A62" s="29"/>
      <c r="B62" s="85" t="s">
        <v>47</v>
      </c>
      <c r="C62" s="72"/>
      <c r="D62" s="73"/>
      <c r="E62" s="74"/>
      <c r="F62" s="75"/>
      <c r="G62" s="75"/>
      <c r="H62" s="76" t="s">
        <v>129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29">
        <v>21</v>
      </c>
      <c r="B63" s="14" t="s">
        <v>48</v>
      </c>
      <c r="C63" s="16" t="s">
        <v>121</v>
      </c>
      <c r="D63" s="73"/>
      <c r="E63" s="18">
        <v>15</v>
      </c>
      <c r="F63" s="64">
        <v>15</v>
      </c>
      <c r="G63" s="13">
        <v>237.74</v>
      </c>
      <c r="H63" s="79">
        <f t="shared" ref="H63:H76" si="9">SUM(F63*G63/1000)</f>
        <v>3.5661000000000005</v>
      </c>
      <c r="I63" s="13">
        <f>G63*2</f>
        <v>475.48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14" t="s">
        <v>49</v>
      </c>
      <c r="C64" s="16" t="s">
        <v>121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9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4" t="s">
        <v>50</v>
      </c>
      <c r="C65" s="16" t="s">
        <v>123</v>
      </c>
      <c r="D65" s="14" t="s">
        <v>56</v>
      </c>
      <c r="E65" s="48">
        <v>24123</v>
      </c>
      <c r="F65" s="13">
        <f>SUM(E65/100)</f>
        <v>241.23</v>
      </c>
      <c r="G65" s="13">
        <v>226.79</v>
      </c>
      <c r="H65" s="79">
        <f t="shared" si="9"/>
        <v>54.708551699999994</v>
      </c>
      <c r="I65" s="13">
        <f>F65*G65</f>
        <v>54708.551699999996</v>
      </c>
      <c r="J65" s="5"/>
      <c r="K65" s="5"/>
      <c r="L65" s="5"/>
      <c r="M65" s="5"/>
      <c r="N65" s="5"/>
      <c r="O65" s="5"/>
      <c r="P65" s="5"/>
      <c r="Q65" s="5"/>
      <c r="R65" s="159"/>
      <c r="S65" s="159"/>
      <c r="T65" s="159"/>
      <c r="U65" s="159"/>
    </row>
    <row r="66" spans="1:21" ht="15.75" hidden="1" customHeight="1">
      <c r="A66" s="29"/>
      <c r="B66" s="14" t="s">
        <v>51</v>
      </c>
      <c r="C66" s="16" t="s">
        <v>124</v>
      </c>
      <c r="D66" s="14"/>
      <c r="E66" s="48">
        <v>24123</v>
      </c>
      <c r="F66" s="13">
        <f>SUM(E66/1000)</f>
        <v>24.123000000000001</v>
      </c>
      <c r="G66" s="13">
        <v>176.61</v>
      </c>
      <c r="H66" s="79">
        <f t="shared" si="9"/>
        <v>4.2603630300000006</v>
      </c>
      <c r="I66" s="13">
        <f t="shared" ref="I66:I70" si="10">F66*G66</f>
        <v>4260.3630300000004</v>
      </c>
    </row>
    <row r="67" spans="1:21" ht="15.75" hidden="1" customHeight="1">
      <c r="A67" s="29"/>
      <c r="B67" s="14" t="s">
        <v>52</v>
      </c>
      <c r="C67" s="16" t="s">
        <v>78</v>
      </c>
      <c r="D67" s="14" t="s">
        <v>56</v>
      </c>
      <c r="E67" s="48">
        <v>2730</v>
      </c>
      <c r="F67" s="13">
        <f>SUM(E67/100)</f>
        <v>27.3</v>
      </c>
      <c r="G67" s="13">
        <v>2217.7800000000002</v>
      </c>
      <c r="H67" s="79">
        <f t="shared" si="9"/>
        <v>60.545394000000009</v>
      </c>
      <c r="I67" s="13">
        <f t="shared" si="10"/>
        <v>60545.394000000008</v>
      </c>
    </row>
    <row r="68" spans="1:21" ht="15.75" hidden="1" customHeight="1">
      <c r="A68" s="29"/>
      <c r="B68" s="80" t="s">
        <v>125</v>
      </c>
      <c r="C68" s="16" t="s">
        <v>33</v>
      </c>
      <c r="D68" s="14"/>
      <c r="E68" s="48">
        <v>23</v>
      </c>
      <c r="F68" s="13">
        <f>SUM(E68)</f>
        <v>23</v>
      </c>
      <c r="G68" s="13">
        <v>42.67</v>
      </c>
      <c r="H68" s="79">
        <f t="shared" si="9"/>
        <v>0.98141000000000012</v>
      </c>
      <c r="I68" s="13">
        <f t="shared" si="10"/>
        <v>981.41000000000008</v>
      </c>
    </row>
    <row r="69" spans="1:21" ht="15.75" hidden="1" customHeight="1">
      <c r="A69" s="29"/>
      <c r="B69" s="80" t="s">
        <v>126</v>
      </c>
      <c r="C69" s="16" t="s">
        <v>33</v>
      </c>
      <c r="D69" s="14"/>
      <c r="E69" s="48">
        <v>23</v>
      </c>
      <c r="F69" s="13">
        <f>SUM(E69)</f>
        <v>23</v>
      </c>
      <c r="G69" s="13">
        <v>39.81</v>
      </c>
      <c r="H69" s="79">
        <f t="shared" si="9"/>
        <v>0.91563000000000005</v>
      </c>
      <c r="I69" s="13">
        <f t="shared" si="10"/>
        <v>915.63000000000011</v>
      </c>
    </row>
    <row r="70" spans="1:21" ht="15.75" customHeight="1">
      <c r="A70" s="29">
        <v>22</v>
      </c>
      <c r="B70" s="14" t="s">
        <v>59</v>
      </c>
      <c r="C70" s="16" t="s">
        <v>60</v>
      </c>
      <c r="D70" s="14" t="s">
        <v>216</v>
      </c>
      <c r="E70" s="18">
        <v>10</v>
      </c>
      <c r="F70" s="64">
        <f>SUM(E70)</f>
        <v>10</v>
      </c>
      <c r="G70" s="13">
        <v>53.32</v>
      </c>
      <c r="H70" s="79">
        <f t="shared" si="9"/>
        <v>0.53320000000000001</v>
      </c>
      <c r="I70" s="13">
        <f t="shared" si="10"/>
        <v>533.20000000000005</v>
      </c>
    </row>
    <row r="71" spans="1:21" ht="15.75" hidden="1" customHeight="1">
      <c r="A71" s="29"/>
      <c r="B71" s="54" t="s">
        <v>74</v>
      </c>
      <c r="C71" s="16"/>
      <c r="D71" s="14"/>
      <c r="E71" s="18"/>
      <c r="F71" s="13"/>
      <c r="G71" s="13"/>
      <c r="H71" s="79" t="s">
        <v>129</v>
      </c>
      <c r="I71" s="13"/>
    </row>
    <row r="72" spans="1:21" ht="15.75" hidden="1" customHeight="1">
      <c r="A72" s="29"/>
      <c r="B72" s="14" t="s">
        <v>75</v>
      </c>
      <c r="C72" s="16" t="s">
        <v>31</v>
      </c>
      <c r="D72" s="14"/>
      <c r="E72" s="18">
        <v>2</v>
      </c>
      <c r="F72" s="56">
        <v>0.2</v>
      </c>
      <c r="G72" s="13">
        <v>536.23</v>
      </c>
      <c r="H72" s="79">
        <v>0.251</v>
      </c>
      <c r="I72" s="13">
        <v>0</v>
      </c>
    </row>
    <row r="73" spans="1:21" ht="15.75" hidden="1" customHeight="1">
      <c r="A73" s="29"/>
      <c r="B73" s="14" t="s">
        <v>89</v>
      </c>
      <c r="C73" s="16" t="s">
        <v>30</v>
      </c>
      <c r="D73" s="14"/>
      <c r="E73" s="18">
        <v>1</v>
      </c>
      <c r="F73" s="64">
        <f>SUM(E73)</f>
        <v>1</v>
      </c>
      <c r="G73" s="13">
        <v>383.25</v>
      </c>
      <c r="H73" s="79">
        <f t="shared" si="9"/>
        <v>0.38324999999999998</v>
      </c>
      <c r="I73" s="13">
        <v>0</v>
      </c>
    </row>
    <row r="74" spans="1:21" ht="15.75" hidden="1" customHeight="1">
      <c r="A74" s="29"/>
      <c r="B74" s="14" t="s">
        <v>76</v>
      </c>
      <c r="C74" s="16" t="s">
        <v>30</v>
      </c>
      <c r="D74" s="14"/>
      <c r="E74" s="18">
        <v>2</v>
      </c>
      <c r="F74" s="13">
        <v>2</v>
      </c>
      <c r="G74" s="13">
        <v>911.85</v>
      </c>
      <c r="H74" s="79">
        <f>F74*G74/1000</f>
        <v>1.8237000000000001</v>
      </c>
      <c r="I74" s="13">
        <v>0</v>
      </c>
    </row>
    <row r="75" spans="1:21" ht="15.75" hidden="1" customHeight="1">
      <c r="A75" s="29"/>
      <c r="B75" s="81" t="s">
        <v>77</v>
      </c>
      <c r="C75" s="16"/>
      <c r="D75" s="14"/>
      <c r="E75" s="18"/>
      <c r="F75" s="13"/>
      <c r="G75" s="13" t="s">
        <v>129</v>
      </c>
      <c r="H75" s="79" t="s">
        <v>129</v>
      </c>
      <c r="I75" s="13"/>
    </row>
    <row r="76" spans="1:21" ht="15.75" hidden="1" customHeight="1">
      <c r="A76" s="29"/>
      <c r="B76" s="44" t="s">
        <v>130</v>
      </c>
      <c r="C76" s="16" t="s">
        <v>78</v>
      </c>
      <c r="D76" s="14"/>
      <c r="E76" s="18"/>
      <c r="F76" s="13">
        <v>1.35</v>
      </c>
      <c r="G76" s="13">
        <v>2949.85</v>
      </c>
      <c r="H76" s="79">
        <f t="shared" si="9"/>
        <v>3.9822975</v>
      </c>
      <c r="I76" s="13">
        <v>0</v>
      </c>
    </row>
    <row r="77" spans="1:21" ht="15.75" hidden="1" customHeight="1">
      <c r="A77" s="29"/>
      <c r="B77" s="67" t="s">
        <v>127</v>
      </c>
      <c r="C77" s="81"/>
      <c r="D77" s="31"/>
      <c r="E77" s="32"/>
      <c r="F77" s="68"/>
      <c r="G77" s="68"/>
      <c r="H77" s="82">
        <f>SUM(H56:H76)</f>
        <v>5942.0851510459988</v>
      </c>
      <c r="I77" s="68"/>
    </row>
    <row r="78" spans="1:21" ht="15.75" hidden="1" customHeight="1">
      <c r="A78" s="29"/>
      <c r="B78" s="62" t="s">
        <v>128</v>
      </c>
      <c r="C78" s="16"/>
      <c r="D78" s="14"/>
      <c r="E78" s="57"/>
      <c r="F78" s="13">
        <v>1</v>
      </c>
      <c r="G78" s="13">
        <v>19342.2</v>
      </c>
      <c r="H78" s="79">
        <f>G78*F78/1000</f>
        <v>19.342200000000002</v>
      </c>
      <c r="I78" s="13">
        <v>0</v>
      </c>
    </row>
    <row r="79" spans="1:21" ht="15.75" customHeight="1">
      <c r="A79" s="160" t="s">
        <v>138</v>
      </c>
      <c r="B79" s="161"/>
      <c r="C79" s="161"/>
      <c r="D79" s="161"/>
      <c r="E79" s="161"/>
      <c r="F79" s="161"/>
      <c r="G79" s="161"/>
      <c r="H79" s="161"/>
      <c r="I79" s="162"/>
    </row>
    <row r="80" spans="1:21" ht="15.75" customHeight="1">
      <c r="A80" s="29">
        <v>23</v>
      </c>
      <c r="B80" s="62" t="s">
        <v>131</v>
      </c>
      <c r="C80" s="16" t="s">
        <v>57</v>
      </c>
      <c r="D80" s="83"/>
      <c r="E80" s="13">
        <v>4591.2</v>
      </c>
      <c r="F80" s="13">
        <f>SUM(E80*12)</f>
        <v>55094.399999999994</v>
      </c>
      <c r="G80" s="13">
        <v>2.54</v>
      </c>
      <c r="H80" s="79">
        <f>SUM(F80*G80/1000)</f>
        <v>139.93977599999999</v>
      </c>
      <c r="I80" s="13">
        <f>F80/12*G80</f>
        <v>11661.647999999999</v>
      </c>
    </row>
    <row r="81" spans="1:9" ht="31.5" customHeight="1">
      <c r="A81" s="29">
        <v>24</v>
      </c>
      <c r="B81" s="14" t="s">
        <v>79</v>
      </c>
      <c r="C81" s="16"/>
      <c r="D81" s="83"/>
      <c r="E81" s="48">
        <f>E80</f>
        <v>4591.2</v>
      </c>
      <c r="F81" s="13">
        <f>E81*12</f>
        <v>55094.399999999994</v>
      </c>
      <c r="G81" s="13">
        <v>2.0499999999999998</v>
      </c>
      <c r="H81" s="79">
        <f>F81*G81/1000</f>
        <v>112.94351999999998</v>
      </c>
      <c r="I81" s="13">
        <f>F81/12*G81</f>
        <v>9411.9599999999991</v>
      </c>
    </row>
    <row r="82" spans="1:9" ht="15.75" customHeight="1">
      <c r="A82" s="45"/>
      <c r="B82" s="36" t="s">
        <v>81</v>
      </c>
      <c r="C82" s="37"/>
      <c r="D82" s="15"/>
      <c r="E82" s="15"/>
      <c r="F82" s="15"/>
      <c r="G82" s="18"/>
      <c r="H82" s="18"/>
      <c r="I82" s="32">
        <f>I81+I80+I70+I63+I59++I53+I52+I51+I50+I49+I48+I47+I46+I45+I44+I32+I30+I29+I26+I21+I20+I18+I17+I16</f>
        <v>71971.762705400004</v>
      </c>
    </row>
    <row r="83" spans="1:9" ht="15.75" customHeight="1">
      <c r="A83" s="178" t="s">
        <v>62</v>
      </c>
      <c r="B83" s="179"/>
      <c r="C83" s="179"/>
      <c r="D83" s="179"/>
      <c r="E83" s="179"/>
      <c r="F83" s="179"/>
      <c r="G83" s="179"/>
      <c r="H83" s="179"/>
      <c r="I83" s="180"/>
    </row>
    <row r="84" spans="1:9" ht="15.75" customHeight="1">
      <c r="A84" s="29">
        <v>25</v>
      </c>
      <c r="B84" s="93" t="s">
        <v>161</v>
      </c>
      <c r="C84" s="94" t="s">
        <v>169</v>
      </c>
      <c r="D84" s="44"/>
      <c r="E84" s="34"/>
      <c r="F84" s="34">
        <f>124/3</f>
        <v>41.333333333333336</v>
      </c>
      <c r="G84" s="34">
        <v>273</v>
      </c>
      <c r="H84" s="95">
        <f t="shared" ref="H84:H87" si="11">G84*F84/1000</f>
        <v>11.284000000000001</v>
      </c>
      <c r="I84" s="13">
        <f>G84*3</f>
        <v>819</v>
      </c>
    </row>
    <row r="85" spans="1:9" ht="18" customHeight="1">
      <c r="A85" s="29">
        <v>26</v>
      </c>
      <c r="B85" s="93" t="s">
        <v>174</v>
      </c>
      <c r="C85" s="94" t="s">
        <v>121</v>
      </c>
      <c r="D85" s="44"/>
      <c r="E85" s="13"/>
      <c r="F85" s="13">
        <v>0.06</v>
      </c>
      <c r="G85" s="34">
        <v>58.39</v>
      </c>
      <c r="H85" s="79">
        <f t="shared" si="11"/>
        <v>3.5034000000000003E-3</v>
      </c>
      <c r="I85" s="13">
        <f>G85*1</f>
        <v>58.39</v>
      </c>
    </row>
    <row r="86" spans="1:9" ht="15" customHeight="1">
      <c r="A86" s="29">
        <v>27</v>
      </c>
      <c r="B86" s="93" t="s">
        <v>273</v>
      </c>
      <c r="C86" s="94" t="s">
        <v>121</v>
      </c>
      <c r="D86" s="44"/>
      <c r="E86" s="34"/>
      <c r="F86" s="34">
        <v>11</v>
      </c>
      <c r="G86" s="34">
        <v>87.32</v>
      </c>
      <c r="H86" s="95">
        <f t="shared" si="11"/>
        <v>0.96051999999999993</v>
      </c>
      <c r="I86" s="13">
        <f>G86*1</f>
        <v>87.32</v>
      </c>
    </row>
    <row r="87" spans="1:9" ht="17.25" customHeight="1">
      <c r="A87" s="29">
        <v>28</v>
      </c>
      <c r="B87" s="126" t="s">
        <v>285</v>
      </c>
      <c r="C87" s="97" t="s">
        <v>121</v>
      </c>
      <c r="D87" s="44"/>
      <c r="E87" s="34"/>
      <c r="F87" s="34">
        <v>1.5</v>
      </c>
      <c r="G87" s="34">
        <v>138.62</v>
      </c>
      <c r="H87" s="95">
        <f t="shared" si="11"/>
        <v>0.20793</v>
      </c>
      <c r="I87" s="13">
        <f>G87*2</f>
        <v>277.24</v>
      </c>
    </row>
    <row r="88" spans="1:9" ht="15.75" customHeight="1">
      <c r="A88" s="29"/>
      <c r="B88" s="42" t="s">
        <v>53</v>
      </c>
      <c r="C88" s="38"/>
      <c r="D88" s="46"/>
      <c r="E88" s="38">
        <v>1</v>
      </c>
      <c r="F88" s="38"/>
      <c r="G88" s="38"/>
      <c r="H88" s="38"/>
      <c r="I88" s="32">
        <f>SUM(I84:I87)</f>
        <v>1241.95</v>
      </c>
    </row>
    <row r="89" spans="1:9" ht="15.75" customHeight="1">
      <c r="A89" s="29"/>
      <c r="B89" s="44" t="s">
        <v>80</v>
      </c>
      <c r="C89" s="15"/>
      <c r="D89" s="15"/>
      <c r="E89" s="39"/>
      <c r="F89" s="39"/>
      <c r="G89" s="40"/>
      <c r="H89" s="40"/>
      <c r="I89" s="17">
        <v>0</v>
      </c>
    </row>
    <row r="90" spans="1:9" ht="15.75" customHeight="1">
      <c r="A90" s="47"/>
      <c r="B90" s="43" t="s">
        <v>155</v>
      </c>
      <c r="C90" s="33"/>
      <c r="D90" s="33"/>
      <c r="E90" s="33"/>
      <c r="F90" s="33"/>
      <c r="G90" s="33"/>
      <c r="H90" s="33"/>
      <c r="I90" s="41">
        <f>I82+I88</f>
        <v>73213.712705400001</v>
      </c>
    </row>
    <row r="91" spans="1:9" ht="15.75" customHeight="1">
      <c r="A91" s="174" t="s">
        <v>286</v>
      </c>
      <c r="B91" s="174"/>
      <c r="C91" s="174"/>
      <c r="D91" s="174"/>
      <c r="E91" s="174"/>
      <c r="F91" s="174"/>
      <c r="G91" s="174"/>
      <c r="H91" s="174"/>
      <c r="I91" s="174"/>
    </row>
    <row r="92" spans="1:9" ht="15.75" customHeight="1">
      <c r="A92" s="55"/>
      <c r="B92" s="175" t="s">
        <v>287</v>
      </c>
      <c r="C92" s="175"/>
      <c r="D92" s="175"/>
      <c r="E92" s="175"/>
      <c r="F92" s="175"/>
      <c r="G92" s="175"/>
      <c r="H92" s="61"/>
      <c r="I92" s="3"/>
    </row>
    <row r="93" spans="1:9" ht="15.75" customHeight="1">
      <c r="A93" s="49"/>
      <c r="B93" s="176" t="s">
        <v>6</v>
      </c>
      <c r="C93" s="176"/>
      <c r="D93" s="176"/>
      <c r="E93" s="176"/>
      <c r="F93" s="176"/>
      <c r="G93" s="176"/>
      <c r="H93" s="2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77" t="s">
        <v>7</v>
      </c>
      <c r="B95" s="177"/>
      <c r="C95" s="177"/>
      <c r="D95" s="177"/>
      <c r="E95" s="177"/>
      <c r="F95" s="177"/>
      <c r="G95" s="177"/>
      <c r="H95" s="177"/>
      <c r="I95" s="177"/>
    </row>
    <row r="96" spans="1:9" ht="15.75" customHeight="1">
      <c r="A96" s="177" t="s">
        <v>8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 customHeight="1">
      <c r="A97" s="169" t="s">
        <v>63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 customHeight="1">
      <c r="A98" s="11"/>
    </row>
    <row r="99" spans="1:9" ht="15.75" customHeight="1">
      <c r="A99" s="182" t="s">
        <v>9</v>
      </c>
      <c r="B99" s="182"/>
      <c r="C99" s="182"/>
      <c r="D99" s="182"/>
      <c r="E99" s="182"/>
      <c r="F99" s="182"/>
      <c r="G99" s="182"/>
      <c r="H99" s="182"/>
      <c r="I99" s="182"/>
    </row>
    <row r="100" spans="1:9" ht="15.75" customHeight="1">
      <c r="A100" s="4"/>
    </row>
    <row r="101" spans="1:9" ht="15.75" customHeight="1">
      <c r="B101" s="52" t="s">
        <v>10</v>
      </c>
      <c r="C101" s="183" t="s">
        <v>90</v>
      </c>
      <c r="D101" s="183"/>
      <c r="E101" s="183"/>
      <c r="F101" s="59"/>
      <c r="I101" s="51"/>
    </row>
    <row r="102" spans="1:9" ht="15.75" customHeight="1">
      <c r="A102" s="49"/>
      <c r="C102" s="176" t="s">
        <v>11</v>
      </c>
      <c r="D102" s="176"/>
      <c r="E102" s="176"/>
      <c r="F102" s="24"/>
      <c r="I102" s="50" t="s">
        <v>12</v>
      </c>
    </row>
    <row r="103" spans="1:9" ht="15.75" customHeight="1">
      <c r="A103" s="25"/>
      <c r="C103" s="12"/>
      <c r="D103" s="12"/>
      <c r="G103" s="12"/>
      <c r="H103" s="12"/>
    </row>
    <row r="104" spans="1:9" ht="15.75" customHeight="1">
      <c r="B104" s="52" t="s">
        <v>13</v>
      </c>
      <c r="C104" s="184"/>
      <c r="D104" s="184"/>
      <c r="E104" s="184"/>
      <c r="F104" s="60"/>
      <c r="I104" s="51"/>
    </row>
    <row r="105" spans="1:9" ht="15.75" customHeight="1">
      <c r="A105" s="49"/>
      <c r="C105" s="159" t="s">
        <v>11</v>
      </c>
      <c r="D105" s="159"/>
      <c r="E105" s="159"/>
      <c r="F105" s="49"/>
      <c r="I105" s="50" t="s">
        <v>12</v>
      </c>
    </row>
    <row r="106" spans="1:9" ht="15.75" customHeight="1">
      <c r="A106" s="4" t="s">
        <v>14</v>
      </c>
    </row>
    <row r="107" spans="1:9" ht="15.75" customHeight="1">
      <c r="A107" s="185" t="s">
        <v>15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45" customHeight="1">
      <c r="A108" s="181" t="s">
        <v>16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30" customHeight="1">
      <c r="A109" s="181" t="s">
        <v>17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ht="30" customHeight="1">
      <c r="A110" s="181" t="s">
        <v>21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15" customHeight="1">
      <c r="A111" s="181" t="s">
        <v>20</v>
      </c>
      <c r="B111" s="181"/>
      <c r="C111" s="181"/>
      <c r="D111" s="181"/>
      <c r="E111" s="181"/>
      <c r="F111" s="181"/>
      <c r="G111" s="181"/>
      <c r="H111" s="181"/>
      <c r="I111" s="181"/>
    </row>
  </sheetData>
  <autoFilter ref="I12:I60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7:I27"/>
    <mergeCell ref="A43:I43"/>
    <mergeCell ref="A54:I54"/>
    <mergeCell ref="A91:I91"/>
    <mergeCell ref="B92:G92"/>
    <mergeCell ref="B93:G93"/>
    <mergeCell ref="A95:I95"/>
    <mergeCell ref="A96:I96"/>
    <mergeCell ref="A83:I83"/>
    <mergeCell ref="R65:U65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J110" sqref="J110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3.42578125" hidden="1" customWidth="1"/>
    <col min="6" max="6" width="10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154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288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43769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289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128">
        <v>127.9</v>
      </c>
      <c r="F16" s="129">
        <f>SUM(E16*156/100)</f>
        <v>199.524</v>
      </c>
      <c r="G16" s="129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128">
        <v>511.6</v>
      </c>
      <c r="F17" s="129">
        <f>SUM(E17*104/100)</f>
        <v>532.06399999999996</v>
      </c>
      <c r="G17" s="129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128">
        <f>SUM(E16+E17)</f>
        <v>639.5</v>
      </c>
      <c r="F18" s="129">
        <f>SUM(E18*18/100)</f>
        <v>115.11</v>
      </c>
      <c r="G18" s="129">
        <v>723.23</v>
      </c>
      <c r="H18" s="65">
        <f t="shared" si="0"/>
        <v>83.251005300000003</v>
      </c>
      <c r="I18" s="13">
        <f>F18/18*2*G18</f>
        <v>9250.1116999999995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21" t="s">
        <v>97</v>
      </c>
      <c r="C20" s="122" t="s">
        <v>103</v>
      </c>
      <c r="D20" s="121" t="s">
        <v>216</v>
      </c>
      <c r="E20" s="128">
        <v>58.4</v>
      </c>
      <c r="F20" s="129">
        <f>SUM(E20*12/100)</f>
        <v>7.0079999999999991</v>
      </c>
      <c r="G20" s="129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62" t="s">
        <v>98</v>
      </c>
      <c r="C21" s="63" t="s">
        <v>103</v>
      </c>
      <c r="D21" s="62" t="s">
        <v>102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5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0" t="s">
        <v>86</v>
      </c>
      <c r="B27" s="170"/>
      <c r="C27" s="170"/>
      <c r="D27" s="170"/>
      <c r="E27" s="170"/>
      <c r="F27" s="170"/>
      <c r="G27" s="170"/>
      <c r="H27" s="170"/>
      <c r="I27" s="170"/>
      <c r="J27" s="22"/>
      <c r="K27" s="8"/>
      <c r="L27" s="8"/>
      <c r="M27" s="8"/>
    </row>
    <row r="28" spans="1:13" ht="15.75" customHeight="1">
      <c r="A28" s="29"/>
      <c r="B28" s="84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6</v>
      </c>
      <c r="B29" s="121" t="s">
        <v>109</v>
      </c>
      <c r="C29" s="122" t="s">
        <v>110</v>
      </c>
      <c r="D29" s="121" t="s">
        <v>290</v>
      </c>
      <c r="E29" s="129">
        <v>844.95</v>
      </c>
      <c r="F29" s="129">
        <f>SUM(E29*24/1000)</f>
        <v>20.278800000000004</v>
      </c>
      <c r="G29" s="129">
        <v>223.46</v>
      </c>
      <c r="H29" s="65">
        <f>SUM(F29*G29/1000)</f>
        <v>4.5315006480000015</v>
      </c>
      <c r="I29" s="13">
        <f>F29/6*G29</f>
        <v>755.25010800000018</v>
      </c>
      <c r="J29" s="22"/>
      <c r="K29" s="8"/>
      <c r="L29" s="8"/>
      <c r="M29" s="8"/>
    </row>
    <row r="30" spans="1:13" ht="31.5" customHeight="1">
      <c r="A30" s="29">
        <v>7</v>
      </c>
      <c r="B30" s="121" t="s">
        <v>142</v>
      </c>
      <c r="C30" s="122" t="s">
        <v>110</v>
      </c>
      <c r="D30" s="121" t="s">
        <v>238</v>
      </c>
      <c r="E30" s="129">
        <v>260.13</v>
      </c>
      <c r="F30" s="129">
        <f>SUM(E30*52/1000)</f>
        <v>13.526759999999999</v>
      </c>
      <c r="G30" s="129">
        <v>370.77</v>
      </c>
      <c r="H30" s="65">
        <f t="shared" ref="H30:H34" si="1">SUM(F30*G30/1000)</f>
        <v>5.0153168051999995</v>
      </c>
      <c r="I30" s="13">
        <f t="shared" ref="I30:I32" si="2">F30/6*G30</f>
        <v>835.8861341999999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110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customHeight="1">
      <c r="A32" s="29">
        <v>8</v>
      </c>
      <c r="B32" s="121" t="s">
        <v>140</v>
      </c>
      <c r="C32" s="122" t="s">
        <v>41</v>
      </c>
      <c r="D32" s="121" t="s">
        <v>243</v>
      </c>
      <c r="E32" s="129">
        <v>8</v>
      </c>
      <c r="F32" s="129">
        <v>12.4</v>
      </c>
      <c r="G32" s="129">
        <v>1866.51</v>
      </c>
      <c r="H32" s="65">
        <v>17.259</v>
      </c>
      <c r="I32" s="13">
        <f t="shared" si="2"/>
        <v>3857.4540000000002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si="1"/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1"/>
        <v>2.4294600000000002</v>
      </c>
      <c r="I34" s="13">
        <v>0</v>
      </c>
      <c r="J34" s="23"/>
    </row>
    <row r="35" spans="1:14" ht="15.75" customHeight="1">
      <c r="A35" s="29"/>
      <c r="B35" s="84" t="s">
        <v>5</v>
      </c>
      <c r="C35" s="63"/>
      <c r="D35" s="62"/>
      <c r="E35" s="48"/>
      <c r="F35" s="64"/>
      <c r="G35" s="64"/>
      <c r="H35" s="65" t="s">
        <v>129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3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141</v>
      </c>
      <c r="C37" s="63" t="s">
        <v>29</v>
      </c>
      <c r="D37" s="62" t="s">
        <v>114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3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95</v>
      </c>
      <c r="C38" s="63" t="s">
        <v>115</v>
      </c>
      <c r="D38" s="62" t="s">
        <v>68</v>
      </c>
      <c r="E38" s="48"/>
      <c r="F38" s="64">
        <v>40</v>
      </c>
      <c r="G38" s="64">
        <v>213.2</v>
      </c>
      <c r="H38" s="65">
        <f t="shared" si="3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116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3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84</v>
      </c>
      <c r="C40" s="63" t="s">
        <v>110</v>
      </c>
      <c r="D40" s="62" t="s">
        <v>117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3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118</v>
      </c>
      <c r="C41" s="63" t="s">
        <v>110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3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3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29.25" customHeight="1">
      <c r="A43" s="147">
        <v>9</v>
      </c>
      <c r="B43" s="149" t="s">
        <v>312</v>
      </c>
      <c r="C43" s="150" t="s">
        <v>110</v>
      </c>
      <c r="D43" s="149" t="s">
        <v>240</v>
      </c>
      <c r="E43" s="151">
        <v>3.6</v>
      </c>
      <c r="F43" s="152">
        <f>E43*12/1000</f>
        <v>4.3200000000000002E-2</v>
      </c>
      <c r="G43" s="152">
        <v>19757.060000000001</v>
      </c>
      <c r="H43" s="56"/>
      <c r="I43" s="148">
        <f>G43*3.6/1000</f>
        <v>71.125416000000016</v>
      </c>
      <c r="J43" s="23"/>
      <c r="L43" s="19"/>
      <c r="M43" s="20"/>
      <c r="N43" s="21"/>
    </row>
    <row r="44" spans="1:14" ht="15.75" hidden="1" customHeight="1">
      <c r="A44" s="171" t="s">
        <v>136</v>
      </c>
      <c r="B44" s="172"/>
      <c r="C44" s="172"/>
      <c r="D44" s="172"/>
      <c r="E44" s="172"/>
      <c r="F44" s="172"/>
      <c r="G44" s="172"/>
      <c r="H44" s="172"/>
      <c r="I44" s="173"/>
      <c r="J44" s="23"/>
      <c r="L44" s="19"/>
      <c r="M44" s="20"/>
      <c r="N44" s="21"/>
    </row>
    <row r="45" spans="1:14" ht="15.75" hidden="1" customHeight="1">
      <c r="A45" s="29"/>
      <c r="B45" s="62" t="s">
        <v>133</v>
      </c>
      <c r="C45" s="63" t="s">
        <v>110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4">SUM(F45*G45/1000)</f>
        <v>3.1090979980000002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36</v>
      </c>
      <c r="C46" s="63" t="s">
        <v>110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4"/>
        <v>0.12884767999999999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37</v>
      </c>
      <c r="C47" s="63" t="s">
        <v>110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4"/>
        <v>2.4739621804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38</v>
      </c>
      <c r="C48" s="63" t="s">
        <v>110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4"/>
        <v>3.4123004479999999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4"/>
        <v>0.20467249599999998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62" t="s">
        <v>58</v>
      </c>
      <c r="C50" s="63" t="s">
        <v>110</v>
      </c>
      <c r="D50" s="62" t="s">
        <v>143</v>
      </c>
      <c r="E50" s="48">
        <v>2872.4</v>
      </c>
      <c r="F50" s="64">
        <f>SUM(E50*5/1000)</f>
        <v>14.362</v>
      </c>
      <c r="G50" s="13">
        <v>1297.28</v>
      </c>
      <c r="H50" s="65">
        <f t="shared" si="4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22" ht="31.5" hidden="1" customHeight="1">
      <c r="A51" s="29">
        <v>11</v>
      </c>
      <c r="B51" s="62" t="s">
        <v>119</v>
      </c>
      <c r="C51" s="63" t="s">
        <v>110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4"/>
        <v>7.4526141440000009</v>
      </c>
      <c r="I51" s="13">
        <f>F51/2*G51</f>
        <v>3726.3070720000005</v>
      </c>
      <c r="J51" s="23"/>
      <c r="L51" s="19"/>
      <c r="M51" s="20"/>
      <c r="N51" s="21"/>
    </row>
    <row r="52" spans="1:22" ht="31.5" hidden="1" customHeight="1">
      <c r="A52" s="29">
        <v>12</v>
      </c>
      <c r="B52" s="62" t="s">
        <v>120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4"/>
        <v>2.3351120000000001</v>
      </c>
      <c r="I52" s="13">
        <f t="shared" ref="I52:I53" si="5">F52/2*G52</f>
        <v>1167.556</v>
      </c>
      <c r="J52" s="23"/>
      <c r="L52" s="19"/>
      <c r="M52" s="20"/>
      <c r="N52" s="21"/>
    </row>
    <row r="53" spans="1:22" ht="15.75" hidden="1" customHeight="1">
      <c r="A53" s="29">
        <v>13</v>
      </c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4"/>
        <v>0.1208424</v>
      </c>
      <c r="I53" s="13">
        <f t="shared" si="5"/>
        <v>60.421199999999999</v>
      </c>
      <c r="J53" s="23"/>
      <c r="L53" s="19"/>
      <c r="M53" s="20"/>
      <c r="N53" s="21"/>
    </row>
    <row r="54" spans="1:22" ht="15.75" hidden="1" customHeight="1">
      <c r="A54" s="29">
        <v>14</v>
      </c>
      <c r="B54" s="62" t="s">
        <v>42</v>
      </c>
      <c r="C54" s="63" t="s">
        <v>30</v>
      </c>
      <c r="D54" s="62" t="s">
        <v>72</v>
      </c>
      <c r="E54" s="48">
        <v>160</v>
      </c>
      <c r="F54" s="64">
        <f>SUM(E54)*3</f>
        <v>480</v>
      </c>
      <c r="G54" s="13">
        <v>70.209999999999994</v>
      </c>
      <c r="H54" s="65">
        <f t="shared" si="4"/>
        <v>33.700799999999994</v>
      </c>
      <c r="I54" s="13">
        <f>E54*G54</f>
        <v>11233.599999999999</v>
      </c>
      <c r="J54" s="23"/>
      <c r="L54" s="19"/>
      <c r="M54" s="20"/>
      <c r="N54" s="21"/>
    </row>
    <row r="55" spans="1:22" ht="15.75" customHeight="1">
      <c r="A55" s="171" t="s">
        <v>146</v>
      </c>
      <c r="B55" s="172"/>
      <c r="C55" s="172"/>
      <c r="D55" s="172"/>
      <c r="E55" s="172"/>
      <c r="F55" s="172"/>
      <c r="G55" s="172"/>
      <c r="H55" s="172"/>
      <c r="I55" s="173"/>
      <c r="J55" s="23"/>
      <c r="L55" s="19"/>
      <c r="M55" s="20"/>
      <c r="N55" s="21"/>
    </row>
    <row r="56" spans="1:22" ht="16.5" hidden="1" customHeight="1">
      <c r="A56" s="29"/>
      <c r="B56" s="84" t="s">
        <v>44</v>
      </c>
      <c r="C56" s="63"/>
      <c r="D56" s="62"/>
      <c r="E56" s="48"/>
      <c r="F56" s="64"/>
      <c r="G56" s="64"/>
      <c r="H56" s="65"/>
      <c r="I56" s="13"/>
      <c r="J56" s="23"/>
      <c r="L56" s="19"/>
      <c r="M56" s="20"/>
      <c r="N56" s="21"/>
    </row>
    <row r="57" spans="1:22" ht="15.75" hidden="1" customHeight="1">
      <c r="A57" s="29">
        <v>16</v>
      </c>
      <c r="B57" s="62" t="s">
        <v>122</v>
      </c>
      <c r="C57" s="63" t="s">
        <v>103</v>
      </c>
      <c r="D57" s="62" t="s">
        <v>73</v>
      </c>
      <c r="E57" s="48">
        <v>239.59</v>
      </c>
      <c r="F57" s="64">
        <f>E57*6/100</f>
        <v>14.375399999999999</v>
      </c>
      <c r="G57" s="71">
        <v>1654.04</v>
      </c>
      <c r="H57" s="65">
        <f>F57*G57/1000</f>
        <v>23.777486615999997</v>
      </c>
      <c r="I57" s="13">
        <f>F57/6*G57</f>
        <v>3962.9144359999996</v>
      </c>
      <c r="J57" s="23"/>
      <c r="L57" s="19"/>
      <c r="M57" s="20"/>
      <c r="N57" s="21"/>
    </row>
    <row r="58" spans="1:22" ht="15.75" hidden="1" customHeight="1">
      <c r="A58" s="29">
        <v>10</v>
      </c>
      <c r="B58" s="100" t="s">
        <v>88</v>
      </c>
      <c r="C58" s="101" t="s">
        <v>163</v>
      </c>
      <c r="D58" s="73" t="s">
        <v>319</v>
      </c>
      <c r="E58" s="74"/>
      <c r="F58" s="76"/>
      <c r="G58" s="110">
        <v>1730</v>
      </c>
      <c r="H58" s="78"/>
      <c r="I58" s="13">
        <f>G58*1</f>
        <v>1730</v>
      </c>
      <c r="J58" s="23"/>
      <c r="L58" s="19"/>
      <c r="M58" s="20"/>
      <c r="N58" s="21"/>
    </row>
    <row r="59" spans="1:22" ht="15.75" customHeight="1">
      <c r="A59" s="29"/>
      <c r="B59" s="85" t="s">
        <v>45</v>
      </c>
      <c r="C59" s="72"/>
      <c r="D59" s="73"/>
      <c r="E59" s="74"/>
      <c r="F59" s="76"/>
      <c r="G59" s="13"/>
      <c r="H59" s="78"/>
      <c r="I59" s="13"/>
      <c r="J59" s="23"/>
      <c r="L59" s="19"/>
      <c r="M59" s="20"/>
      <c r="N59" s="21"/>
    </row>
    <row r="60" spans="1:22" ht="15.75" hidden="1" customHeight="1">
      <c r="A60" s="29"/>
      <c r="B60" s="73" t="s">
        <v>46</v>
      </c>
      <c r="C60" s="72" t="s">
        <v>55</v>
      </c>
      <c r="D60" s="73" t="s">
        <v>56</v>
      </c>
      <c r="E60" s="74">
        <v>2686</v>
      </c>
      <c r="F60" s="76">
        <f>E60/100</f>
        <v>26.86</v>
      </c>
      <c r="G60" s="13">
        <v>848.37</v>
      </c>
      <c r="H60" s="78">
        <f>G60*F60/1000</f>
        <v>22.787218199999998</v>
      </c>
      <c r="I60" s="13">
        <v>0</v>
      </c>
      <c r="J60" s="23"/>
      <c r="L60" s="19"/>
    </row>
    <row r="61" spans="1:22" ht="15.75" customHeight="1">
      <c r="A61" s="29">
        <v>10</v>
      </c>
      <c r="B61" s="100" t="s">
        <v>96</v>
      </c>
      <c r="C61" s="101" t="s">
        <v>25</v>
      </c>
      <c r="D61" s="100" t="s">
        <v>216</v>
      </c>
      <c r="E61" s="102">
        <v>200</v>
      </c>
      <c r="F61" s="103">
        <f>E61*12</f>
        <v>2400</v>
      </c>
      <c r="G61" s="104">
        <v>1.4</v>
      </c>
      <c r="H61" s="78">
        <f>F61*G61</f>
        <v>3360</v>
      </c>
      <c r="I61" s="13">
        <f>F61/12*G61</f>
        <v>280</v>
      </c>
    </row>
    <row r="62" spans="1:22" ht="15.75" hidden="1" customHeight="1">
      <c r="A62" s="29"/>
      <c r="B62" s="85" t="s">
        <v>47</v>
      </c>
      <c r="C62" s="72"/>
      <c r="D62" s="73"/>
      <c r="E62" s="74"/>
      <c r="F62" s="75"/>
      <c r="G62" s="75"/>
      <c r="H62" s="76" t="s">
        <v>129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>
        <v>16</v>
      </c>
      <c r="B63" s="14" t="s">
        <v>48</v>
      </c>
      <c r="C63" s="16" t="s">
        <v>121</v>
      </c>
      <c r="D63" s="73" t="s">
        <v>68</v>
      </c>
      <c r="E63" s="18">
        <v>15</v>
      </c>
      <c r="F63" s="64">
        <v>15</v>
      </c>
      <c r="G63" s="13">
        <v>237.74</v>
      </c>
      <c r="H63" s="79">
        <f t="shared" ref="H63:H77" si="6">SUM(F63*G63/1000)</f>
        <v>3.5661000000000005</v>
      </c>
      <c r="I63" s="13">
        <f>G63*2</f>
        <v>475.48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14" t="s">
        <v>49</v>
      </c>
      <c r="C64" s="16" t="s">
        <v>121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6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4" t="s">
        <v>50</v>
      </c>
      <c r="C65" s="16" t="s">
        <v>123</v>
      </c>
      <c r="D65" s="14" t="s">
        <v>56</v>
      </c>
      <c r="E65" s="48">
        <v>24123</v>
      </c>
      <c r="F65" s="13">
        <f>SUM(E65/100)</f>
        <v>241.23</v>
      </c>
      <c r="G65" s="13">
        <v>226.79</v>
      </c>
      <c r="H65" s="79">
        <f t="shared" si="6"/>
        <v>54.708551699999994</v>
      </c>
      <c r="I65" s="13">
        <f>F65*G65</f>
        <v>54708.551699999996</v>
      </c>
      <c r="J65" s="5"/>
      <c r="K65" s="5"/>
      <c r="L65" s="5"/>
      <c r="M65" s="5"/>
      <c r="N65" s="5"/>
      <c r="O65" s="5"/>
      <c r="P65" s="5"/>
      <c r="Q65" s="5"/>
      <c r="R65" s="159"/>
      <c r="S65" s="159"/>
      <c r="T65" s="159"/>
      <c r="U65" s="159"/>
    </row>
    <row r="66" spans="1:21" ht="15.75" hidden="1" customHeight="1">
      <c r="A66" s="29"/>
      <c r="B66" s="14" t="s">
        <v>51</v>
      </c>
      <c r="C66" s="16" t="s">
        <v>124</v>
      </c>
      <c r="D66" s="14"/>
      <c r="E66" s="48">
        <v>24123</v>
      </c>
      <c r="F66" s="13">
        <f>SUM(E66/1000)</f>
        <v>24.123000000000001</v>
      </c>
      <c r="G66" s="13">
        <v>176.61</v>
      </c>
      <c r="H66" s="79">
        <f t="shared" si="6"/>
        <v>4.2603630300000006</v>
      </c>
      <c r="I66" s="13">
        <f t="shared" ref="I66:I70" si="7">F66*G66</f>
        <v>4260.3630300000004</v>
      </c>
    </row>
    <row r="67" spans="1:21" ht="15.75" hidden="1" customHeight="1">
      <c r="A67" s="29"/>
      <c r="B67" s="14" t="s">
        <v>52</v>
      </c>
      <c r="C67" s="16" t="s">
        <v>78</v>
      </c>
      <c r="D67" s="14" t="s">
        <v>56</v>
      </c>
      <c r="E67" s="48">
        <v>2730</v>
      </c>
      <c r="F67" s="13">
        <f>SUM(E67/100)</f>
        <v>27.3</v>
      </c>
      <c r="G67" s="13">
        <v>2217.7800000000002</v>
      </c>
      <c r="H67" s="79">
        <f t="shared" si="6"/>
        <v>60.545394000000009</v>
      </c>
      <c r="I67" s="13">
        <f t="shared" si="7"/>
        <v>60545.394000000008</v>
      </c>
    </row>
    <row r="68" spans="1:21" ht="15.75" hidden="1" customHeight="1">
      <c r="A68" s="29"/>
      <c r="B68" s="80" t="s">
        <v>125</v>
      </c>
      <c r="C68" s="16" t="s">
        <v>33</v>
      </c>
      <c r="D68" s="14"/>
      <c r="E68" s="48">
        <v>23</v>
      </c>
      <c r="F68" s="13">
        <f>SUM(E68)</f>
        <v>23</v>
      </c>
      <c r="G68" s="13">
        <v>42.67</v>
      </c>
      <c r="H68" s="79">
        <f t="shared" si="6"/>
        <v>0.98141000000000012</v>
      </c>
      <c r="I68" s="13">
        <f t="shared" si="7"/>
        <v>981.41000000000008</v>
      </c>
    </row>
    <row r="69" spans="1:21" ht="15.75" hidden="1" customHeight="1">
      <c r="A69" s="29"/>
      <c r="B69" s="80" t="s">
        <v>126</v>
      </c>
      <c r="C69" s="16" t="s">
        <v>33</v>
      </c>
      <c r="D69" s="14"/>
      <c r="E69" s="48">
        <v>23</v>
      </c>
      <c r="F69" s="13">
        <f>SUM(E69)</f>
        <v>23</v>
      </c>
      <c r="G69" s="13">
        <v>39.81</v>
      </c>
      <c r="H69" s="79">
        <f t="shared" si="6"/>
        <v>0.91563000000000005</v>
      </c>
      <c r="I69" s="13">
        <f t="shared" si="7"/>
        <v>915.63000000000011</v>
      </c>
    </row>
    <row r="70" spans="1:21" ht="15.75" hidden="1" customHeight="1">
      <c r="A70" s="29"/>
      <c r="B70" s="14" t="s">
        <v>59</v>
      </c>
      <c r="C70" s="16" t="s">
        <v>60</v>
      </c>
      <c r="D70" s="14" t="s">
        <v>56</v>
      </c>
      <c r="E70" s="18">
        <v>10</v>
      </c>
      <c r="F70" s="64">
        <f>SUM(E70)</f>
        <v>10</v>
      </c>
      <c r="G70" s="13">
        <v>53.32</v>
      </c>
      <c r="H70" s="79">
        <f t="shared" si="6"/>
        <v>0.53320000000000001</v>
      </c>
      <c r="I70" s="13">
        <f t="shared" si="7"/>
        <v>533.20000000000005</v>
      </c>
    </row>
    <row r="71" spans="1:21" ht="15.75" customHeight="1">
      <c r="A71" s="29"/>
      <c r="B71" s="135" t="s">
        <v>74</v>
      </c>
      <c r="C71" s="16"/>
      <c r="D71" s="14"/>
      <c r="E71" s="18"/>
      <c r="F71" s="13"/>
      <c r="G71" s="13"/>
      <c r="H71" s="79" t="s">
        <v>129</v>
      </c>
      <c r="I71" s="13"/>
    </row>
    <row r="72" spans="1:21" ht="15.75" hidden="1" customHeight="1">
      <c r="A72" s="29">
        <v>17</v>
      </c>
      <c r="B72" s="14" t="s">
        <v>75</v>
      </c>
      <c r="C72" s="16" t="s">
        <v>31</v>
      </c>
      <c r="D72" s="14"/>
      <c r="E72" s="18">
        <v>2</v>
      </c>
      <c r="F72" s="56">
        <v>0.2</v>
      </c>
      <c r="G72" s="13">
        <v>536.23</v>
      </c>
      <c r="H72" s="79">
        <v>0.251</v>
      </c>
      <c r="I72" s="13">
        <f>G72*0.4</f>
        <v>214.49200000000002</v>
      </c>
    </row>
    <row r="73" spans="1:21" ht="15.75" hidden="1" customHeight="1">
      <c r="A73" s="29"/>
      <c r="B73" s="14" t="s">
        <v>89</v>
      </c>
      <c r="C73" s="16" t="s">
        <v>30</v>
      </c>
      <c r="D73" s="14"/>
      <c r="E73" s="18">
        <v>1</v>
      </c>
      <c r="F73" s="64">
        <f>SUM(E73)</f>
        <v>1</v>
      </c>
      <c r="G73" s="13">
        <v>383.25</v>
      </c>
      <c r="H73" s="79">
        <f t="shared" si="6"/>
        <v>0.38324999999999998</v>
      </c>
      <c r="I73" s="13">
        <v>0</v>
      </c>
    </row>
    <row r="74" spans="1:21" ht="15.75" hidden="1" customHeight="1">
      <c r="A74" s="29"/>
      <c r="B74" s="14" t="s">
        <v>76</v>
      </c>
      <c r="C74" s="16" t="s">
        <v>30</v>
      </c>
      <c r="D74" s="14"/>
      <c r="E74" s="18">
        <v>2</v>
      </c>
      <c r="F74" s="13">
        <v>2</v>
      </c>
      <c r="G74" s="13">
        <v>911.85</v>
      </c>
      <c r="H74" s="79">
        <f>F74*G74/1000</f>
        <v>1.8237000000000001</v>
      </c>
      <c r="I74" s="13">
        <v>0</v>
      </c>
    </row>
    <row r="75" spans="1:21" ht="29.25" customHeight="1">
      <c r="A75" s="29">
        <v>11</v>
      </c>
      <c r="B75" s="98" t="s">
        <v>291</v>
      </c>
      <c r="C75" s="119" t="s">
        <v>30</v>
      </c>
      <c r="D75" s="98" t="s">
        <v>216</v>
      </c>
      <c r="E75" s="17">
        <v>2</v>
      </c>
      <c r="F75" s="34">
        <f>E75*12</f>
        <v>24</v>
      </c>
      <c r="G75" s="34">
        <v>404</v>
      </c>
      <c r="H75" s="79"/>
      <c r="I75" s="13">
        <f>G75*2</f>
        <v>808</v>
      </c>
    </row>
    <row r="76" spans="1:21" ht="15.75" hidden="1" customHeight="1">
      <c r="A76" s="29"/>
      <c r="B76" s="81" t="s">
        <v>77</v>
      </c>
      <c r="C76" s="16"/>
      <c r="D76" s="14"/>
      <c r="E76" s="18"/>
      <c r="F76" s="13"/>
      <c r="G76" s="13" t="s">
        <v>129</v>
      </c>
      <c r="H76" s="79" t="s">
        <v>129</v>
      </c>
      <c r="I76" s="13"/>
    </row>
    <row r="77" spans="1:21" ht="15.75" hidden="1" customHeight="1">
      <c r="A77" s="29"/>
      <c r="B77" s="44" t="s">
        <v>130</v>
      </c>
      <c r="C77" s="16" t="s">
        <v>78</v>
      </c>
      <c r="D77" s="14"/>
      <c r="E77" s="18"/>
      <c r="F77" s="13">
        <v>1.35</v>
      </c>
      <c r="G77" s="13">
        <v>2949.85</v>
      </c>
      <c r="H77" s="79">
        <f t="shared" si="6"/>
        <v>3.9822975</v>
      </c>
      <c r="I77" s="13">
        <v>0</v>
      </c>
    </row>
    <row r="78" spans="1:21" ht="15.75" hidden="1" customHeight="1">
      <c r="A78" s="29"/>
      <c r="B78" s="67" t="s">
        <v>127</v>
      </c>
      <c r="C78" s="81"/>
      <c r="D78" s="31"/>
      <c r="E78" s="32"/>
      <c r="F78" s="68"/>
      <c r="G78" s="68"/>
      <c r="H78" s="82">
        <f>SUM(H57:H77)</f>
        <v>3538.9231510459999</v>
      </c>
      <c r="I78" s="68"/>
    </row>
    <row r="79" spans="1:21" ht="15.75" hidden="1" customHeight="1">
      <c r="A79" s="111"/>
      <c r="B79" s="73" t="s">
        <v>128</v>
      </c>
      <c r="C79" s="112"/>
      <c r="D79" s="113"/>
      <c r="E79" s="57"/>
      <c r="F79" s="106">
        <v>1</v>
      </c>
      <c r="G79" s="106">
        <v>19342.2</v>
      </c>
      <c r="H79" s="114">
        <f>G79*F79/1000</f>
        <v>19.342200000000002</v>
      </c>
      <c r="I79" s="106">
        <v>0</v>
      </c>
    </row>
    <row r="80" spans="1:21" ht="15.75" customHeight="1">
      <c r="A80" s="29"/>
      <c r="B80" s="135" t="s">
        <v>299</v>
      </c>
      <c r="C80" s="16"/>
      <c r="D80" s="14"/>
      <c r="E80" s="18"/>
      <c r="F80" s="13"/>
      <c r="G80" s="13"/>
      <c r="H80" s="13"/>
      <c r="I80" s="13"/>
    </row>
    <row r="81" spans="1:9" ht="28.5" customHeight="1">
      <c r="A81" s="29">
        <v>12</v>
      </c>
      <c r="B81" s="98" t="s">
        <v>300</v>
      </c>
      <c r="C81" s="137" t="s">
        <v>301</v>
      </c>
      <c r="D81" s="138"/>
      <c r="E81" s="139">
        <v>4591.2</v>
      </c>
      <c r="F81" s="140">
        <f>E81*12</f>
        <v>55094.399999999994</v>
      </c>
      <c r="G81" s="140">
        <v>2.4900000000000002</v>
      </c>
      <c r="H81" s="13"/>
      <c r="I81" s="13">
        <f>G81*F81/12</f>
        <v>11432.088000000002</v>
      </c>
    </row>
    <row r="82" spans="1:9" ht="15.75" customHeight="1">
      <c r="A82" s="160" t="s">
        <v>147</v>
      </c>
      <c r="B82" s="161"/>
      <c r="C82" s="161"/>
      <c r="D82" s="161"/>
      <c r="E82" s="161"/>
      <c r="F82" s="161"/>
      <c r="G82" s="161"/>
      <c r="H82" s="161"/>
      <c r="I82" s="162"/>
    </row>
    <row r="83" spans="1:9" ht="15.75" customHeight="1">
      <c r="A83" s="29">
        <v>13</v>
      </c>
      <c r="B83" s="98" t="s">
        <v>131</v>
      </c>
      <c r="C83" s="119" t="s">
        <v>57</v>
      </c>
      <c r="D83" s="141"/>
      <c r="E83" s="34">
        <v>4591.2</v>
      </c>
      <c r="F83" s="34">
        <f>SUM(E83*12)</f>
        <v>55094.399999999994</v>
      </c>
      <c r="G83" s="34">
        <v>3.38</v>
      </c>
      <c r="H83" s="79">
        <f>SUM(F83*G83/1000)</f>
        <v>186.21907199999998</v>
      </c>
      <c r="I83" s="13">
        <f>F83/12*G83</f>
        <v>15518.255999999999</v>
      </c>
    </row>
    <row r="84" spans="1:9" ht="31.5" customHeight="1">
      <c r="A84" s="29">
        <v>14</v>
      </c>
      <c r="B84" s="142" t="s">
        <v>292</v>
      </c>
      <c r="C84" s="143" t="s">
        <v>25</v>
      </c>
      <c r="D84" s="144"/>
      <c r="E84" s="145">
        <f>E83</f>
        <v>4591.2</v>
      </c>
      <c r="F84" s="127">
        <f>E84*12</f>
        <v>55094.399999999994</v>
      </c>
      <c r="G84" s="127">
        <v>3.05</v>
      </c>
      <c r="H84" s="79">
        <f>F84*G84/1000</f>
        <v>168.03791999999999</v>
      </c>
      <c r="I84" s="13">
        <f>F84/12*G84</f>
        <v>14003.159999999998</v>
      </c>
    </row>
    <row r="85" spans="1:9" ht="31.5" customHeight="1">
      <c r="A85" s="29">
        <v>15</v>
      </c>
      <c r="B85" s="98" t="s">
        <v>293</v>
      </c>
      <c r="C85" s="119" t="s">
        <v>57</v>
      </c>
      <c r="D85" s="96"/>
      <c r="E85" s="146">
        <v>4591.2</v>
      </c>
      <c r="F85" s="34">
        <f>E85*1</f>
        <v>4591.2</v>
      </c>
      <c r="G85" s="34">
        <v>3.05</v>
      </c>
      <c r="H85" s="79"/>
      <c r="I85" s="13">
        <f>G85*F85/1</f>
        <v>14003.159999999998</v>
      </c>
    </row>
    <row r="86" spans="1:9" ht="15.75" customHeight="1">
      <c r="A86" s="136"/>
      <c r="B86" s="36" t="s">
        <v>81</v>
      </c>
      <c r="C86" s="37"/>
      <c r="D86" s="15"/>
      <c r="E86" s="15"/>
      <c r="F86" s="15"/>
      <c r="G86" s="18"/>
      <c r="H86" s="18"/>
      <c r="I86" s="32">
        <f>I85+I84+I83+I81+I75+I61+I43+I32+I30+I29+I26+I20+I18+I17+I16</f>
        <v>87725.920501533328</v>
      </c>
    </row>
    <row r="87" spans="1:9" ht="15.75" customHeight="1">
      <c r="A87" s="178" t="s">
        <v>62</v>
      </c>
      <c r="B87" s="179"/>
      <c r="C87" s="179"/>
      <c r="D87" s="179"/>
      <c r="E87" s="179"/>
      <c r="F87" s="179"/>
      <c r="G87" s="179"/>
      <c r="H87" s="179"/>
      <c r="I87" s="180"/>
    </row>
    <row r="88" spans="1:9" ht="31.5" customHeight="1">
      <c r="A88" s="29">
        <v>16</v>
      </c>
      <c r="B88" s="93" t="s">
        <v>223</v>
      </c>
      <c r="C88" s="94" t="s">
        <v>39</v>
      </c>
      <c r="D88" s="16"/>
      <c r="E88" s="34"/>
      <c r="F88" s="34">
        <v>18</v>
      </c>
      <c r="G88" s="34">
        <v>3914.31</v>
      </c>
      <c r="H88" s="95">
        <f t="shared" ref="H88:H89" si="8">G88*F88/1000</f>
        <v>70.457580000000007</v>
      </c>
      <c r="I88" s="13">
        <f>G88*0.01</f>
        <v>39.143099999999997</v>
      </c>
    </row>
    <row r="89" spans="1:9" ht="15.75" customHeight="1">
      <c r="A89" s="29">
        <v>17</v>
      </c>
      <c r="B89" s="93" t="s">
        <v>159</v>
      </c>
      <c r="C89" s="94" t="s">
        <v>85</v>
      </c>
      <c r="D89" s="96" t="s">
        <v>297</v>
      </c>
      <c r="E89" s="34"/>
      <c r="F89" s="34">
        <v>16</v>
      </c>
      <c r="G89" s="34">
        <v>214.07</v>
      </c>
      <c r="H89" s="95">
        <f t="shared" si="8"/>
        <v>3.4251199999999997</v>
      </c>
      <c r="I89" s="13">
        <f>G89*1</f>
        <v>214.07</v>
      </c>
    </row>
    <row r="90" spans="1:9" ht="15.75" customHeight="1">
      <c r="A90" s="29">
        <v>18</v>
      </c>
      <c r="B90" s="93" t="s">
        <v>294</v>
      </c>
      <c r="C90" s="94" t="s">
        <v>57</v>
      </c>
      <c r="D90" s="44" t="s">
        <v>298</v>
      </c>
      <c r="E90" s="34"/>
      <c r="F90" s="34">
        <v>2</v>
      </c>
      <c r="G90" s="34">
        <v>494.86</v>
      </c>
      <c r="H90" s="95">
        <f>G90*F90/1000</f>
        <v>0.98972000000000004</v>
      </c>
      <c r="I90" s="13">
        <f>G90*1</f>
        <v>494.86</v>
      </c>
    </row>
    <row r="91" spans="1:9" ht="28.5" customHeight="1">
      <c r="A91" s="29">
        <v>19</v>
      </c>
      <c r="B91" s="93" t="s">
        <v>302</v>
      </c>
      <c r="C91" s="94" t="s">
        <v>295</v>
      </c>
      <c r="D91" s="44" t="s">
        <v>298</v>
      </c>
      <c r="E91" s="34"/>
      <c r="F91" s="34"/>
      <c r="G91" s="34">
        <v>1263.56</v>
      </c>
      <c r="H91" s="95"/>
      <c r="I91" s="13">
        <f>G91*0.5</f>
        <v>631.78</v>
      </c>
    </row>
    <row r="92" spans="1:9" ht="15.75" customHeight="1">
      <c r="A92" s="29">
        <v>20</v>
      </c>
      <c r="B92" s="93" t="s">
        <v>296</v>
      </c>
      <c r="C92" s="94" t="s">
        <v>169</v>
      </c>
      <c r="D92" s="44"/>
      <c r="E92" s="34"/>
      <c r="F92" s="34"/>
      <c r="G92" s="34">
        <v>273</v>
      </c>
      <c r="H92" s="95"/>
      <c r="I92" s="13">
        <f>G92*9</f>
        <v>2457</v>
      </c>
    </row>
    <row r="93" spans="1:9" ht="15.75" customHeight="1">
      <c r="A93" s="29">
        <v>21</v>
      </c>
      <c r="B93" s="93" t="s">
        <v>303</v>
      </c>
      <c r="C93" s="97" t="s">
        <v>82</v>
      </c>
      <c r="D93" s="44"/>
      <c r="E93" s="34"/>
      <c r="F93" s="34"/>
      <c r="G93" s="117">
        <v>335.17</v>
      </c>
      <c r="H93" s="95"/>
      <c r="I93" s="13">
        <f>G93*2</f>
        <v>670.34</v>
      </c>
    </row>
    <row r="94" spans="1:9" ht="15.75" customHeight="1">
      <c r="A94" s="29">
        <v>22</v>
      </c>
      <c r="B94" s="93" t="s">
        <v>304</v>
      </c>
      <c r="C94" s="97" t="s">
        <v>235</v>
      </c>
      <c r="D94" s="44"/>
      <c r="E94" s="34"/>
      <c r="F94" s="34"/>
      <c r="G94" s="117">
        <v>15154.77</v>
      </c>
      <c r="H94" s="95"/>
      <c r="I94" s="13">
        <f t="shared" ref="I94:I100" si="9">G94*1</f>
        <v>15154.77</v>
      </c>
    </row>
    <row r="95" spans="1:9" ht="33.75" customHeight="1">
      <c r="A95" s="29">
        <v>23</v>
      </c>
      <c r="B95" s="93" t="s">
        <v>305</v>
      </c>
      <c r="C95" s="97" t="s">
        <v>235</v>
      </c>
      <c r="D95" s="44"/>
      <c r="E95" s="34"/>
      <c r="F95" s="34"/>
      <c r="G95" s="117">
        <v>92016.99</v>
      </c>
      <c r="H95" s="95"/>
      <c r="I95" s="13">
        <f t="shared" si="9"/>
        <v>92016.99</v>
      </c>
    </row>
    <row r="96" spans="1:9" ht="15.75" customHeight="1">
      <c r="A96" s="29">
        <v>24</v>
      </c>
      <c r="B96" s="93" t="s">
        <v>306</v>
      </c>
      <c r="C96" s="97" t="s">
        <v>235</v>
      </c>
      <c r="D96" s="44"/>
      <c r="E96" s="34"/>
      <c r="F96" s="34"/>
      <c r="G96" s="117">
        <v>41279.75</v>
      </c>
      <c r="H96" s="95"/>
      <c r="I96" s="13">
        <f t="shared" si="9"/>
        <v>41279.75</v>
      </c>
    </row>
    <row r="97" spans="1:9" ht="15.75" customHeight="1">
      <c r="A97" s="29">
        <v>25</v>
      </c>
      <c r="B97" s="93" t="s">
        <v>307</v>
      </c>
      <c r="C97" s="97" t="s">
        <v>235</v>
      </c>
      <c r="D97" s="44"/>
      <c r="E97" s="34"/>
      <c r="F97" s="34"/>
      <c r="G97" s="117">
        <v>14198.47</v>
      </c>
      <c r="H97" s="95"/>
      <c r="I97" s="13">
        <f t="shared" si="9"/>
        <v>14198.47</v>
      </c>
    </row>
    <row r="98" spans="1:9" ht="15.75" customHeight="1">
      <c r="A98" s="29">
        <v>26</v>
      </c>
      <c r="B98" s="93" t="s">
        <v>308</v>
      </c>
      <c r="C98" s="97" t="s">
        <v>235</v>
      </c>
      <c r="D98" s="44"/>
      <c r="E98" s="34"/>
      <c r="F98" s="34"/>
      <c r="G98" s="117">
        <v>5510.93</v>
      </c>
      <c r="H98" s="95"/>
      <c r="I98" s="13">
        <f t="shared" si="9"/>
        <v>5510.93</v>
      </c>
    </row>
    <row r="99" spans="1:9" ht="15.75" customHeight="1">
      <c r="A99" s="29">
        <v>27</v>
      </c>
      <c r="B99" s="93" t="s">
        <v>309</v>
      </c>
      <c r="C99" s="94" t="s">
        <v>235</v>
      </c>
      <c r="D99" s="44"/>
      <c r="E99" s="34"/>
      <c r="F99" s="34"/>
      <c r="G99" s="117">
        <v>15037.02</v>
      </c>
      <c r="H99" s="95"/>
      <c r="I99" s="13">
        <f t="shared" si="9"/>
        <v>15037.02</v>
      </c>
    </row>
    <row r="100" spans="1:9" ht="15.75" customHeight="1">
      <c r="A100" s="29">
        <v>28</v>
      </c>
      <c r="B100" s="126" t="s">
        <v>310</v>
      </c>
      <c r="C100" s="94" t="s">
        <v>121</v>
      </c>
      <c r="D100" s="44" t="s">
        <v>311</v>
      </c>
      <c r="E100" s="34"/>
      <c r="F100" s="34"/>
      <c r="G100" s="117">
        <v>207.32</v>
      </c>
      <c r="H100" s="95"/>
      <c r="I100" s="13">
        <f t="shared" si="9"/>
        <v>207.32</v>
      </c>
    </row>
    <row r="101" spans="1:9" ht="15.75" customHeight="1">
      <c r="A101" s="29">
        <v>29</v>
      </c>
      <c r="B101" s="93" t="s">
        <v>313</v>
      </c>
      <c r="C101" s="94" t="s">
        <v>314</v>
      </c>
      <c r="D101" s="44" t="s">
        <v>315</v>
      </c>
      <c r="E101" s="34"/>
      <c r="F101" s="34"/>
      <c r="G101" s="117">
        <v>650</v>
      </c>
      <c r="H101" s="95"/>
      <c r="I101" s="13">
        <f>G101*14</f>
        <v>9100</v>
      </c>
    </row>
    <row r="102" spans="1:9" ht="15.75" customHeight="1">
      <c r="A102" s="29"/>
      <c r="B102" s="42" t="s">
        <v>53</v>
      </c>
      <c r="C102" s="38"/>
      <c r="D102" s="46"/>
      <c r="E102" s="38">
        <v>1</v>
      </c>
      <c r="F102" s="38"/>
      <c r="G102" s="38"/>
      <c r="H102" s="38"/>
      <c r="I102" s="32">
        <f>SUM(I88:I101)</f>
        <v>197012.4431</v>
      </c>
    </row>
    <row r="103" spans="1:9" ht="15.75" customHeight="1">
      <c r="A103" s="29"/>
      <c r="B103" s="44" t="s">
        <v>80</v>
      </c>
      <c r="C103" s="15"/>
      <c r="D103" s="15"/>
      <c r="E103" s="39"/>
      <c r="F103" s="39"/>
      <c r="G103" s="40"/>
      <c r="H103" s="40"/>
      <c r="I103" s="17">
        <v>0</v>
      </c>
    </row>
    <row r="104" spans="1:9" ht="15.75" customHeight="1">
      <c r="A104" s="47"/>
      <c r="B104" s="43" t="s">
        <v>54</v>
      </c>
      <c r="C104" s="33"/>
      <c r="D104" s="33"/>
      <c r="E104" s="33"/>
      <c r="F104" s="33"/>
      <c r="G104" s="33"/>
      <c r="H104" s="33"/>
      <c r="I104" s="41">
        <f>I86+I102</f>
        <v>284738.36360153335</v>
      </c>
    </row>
    <row r="105" spans="1:9" ht="15.75" customHeight="1">
      <c r="A105" s="174" t="s">
        <v>325</v>
      </c>
      <c r="B105" s="174"/>
      <c r="C105" s="174"/>
      <c r="D105" s="174"/>
      <c r="E105" s="174"/>
      <c r="F105" s="174"/>
      <c r="G105" s="174"/>
      <c r="H105" s="174"/>
      <c r="I105" s="174"/>
    </row>
    <row r="106" spans="1:9" ht="15.75" customHeight="1">
      <c r="A106" s="55"/>
      <c r="B106" s="175" t="s">
        <v>326</v>
      </c>
      <c r="C106" s="175"/>
      <c r="D106" s="175"/>
      <c r="E106" s="175"/>
      <c r="F106" s="175"/>
      <c r="G106" s="175"/>
      <c r="H106" s="61"/>
      <c r="I106" s="3"/>
    </row>
    <row r="107" spans="1:9" ht="15.75" customHeight="1">
      <c r="A107" s="49"/>
      <c r="B107" s="176" t="s">
        <v>6</v>
      </c>
      <c r="C107" s="176"/>
      <c r="D107" s="176"/>
      <c r="E107" s="176"/>
      <c r="F107" s="176"/>
      <c r="G107" s="176"/>
      <c r="H107" s="24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177" t="s">
        <v>7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15.75" customHeight="1">
      <c r="A110" s="177" t="s">
        <v>8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15.75" customHeight="1">
      <c r="A111" s="169" t="s">
        <v>63</v>
      </c>
      <c r="B111" s="169"/>
      <c r="C111" s="169"/>
      <c r="D111" s="169"/>
      <c r="E111" s="169"/>
      <c r="F111" s="169"/>
      <c r="G111" s="169"/>
      <c r="H111" s="169"/>
      <c r="I111" s="169"/>
    </row>
    <row r="112" spans="1:9" ht="15.75" customHeight="1">
      <c r="A112" s="11"/>
    </row>
    <row r="113" spans="1:9" ht="15.75" customHeight="1">
      <c r="A113" s="182" t="s">
        <v>9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15.75" customHeight="1">
      <c r="A114" s="4"/>
    </row>
    <row r="115" spans="1:9" ht="15.75" customHeight="1">
      <c r="B115" s="52" t="s">
        <v>10</v>
      </c>
      <c r="C115" s="183" t="s">
        <v>90</v>
      </c>
      <c r="D115" s="183"/>
      <c r="E115" s="183"/>
      <c r="F115" s="59"/>
      <c r="I115" s="51"/>
    </row>
    <row r="116" spans="1:9" ht="15.75" customHeight="1">
      <c r="A116" s="49"/>
      <c r="C116" s="176" t="s">
        <v>11</v>
      </c>
      <c r="D116" s="176"/>
      <c r="E116" s="176"/>
      <c r="F116" s="24"/>
      <c r="I116" s="50" t="s">
        <v>12</v>
      </c>
    </row>
    <row r="117" spans="1:9" ht="15.75" customHeight="1">
      <c r="A117" s="25"/>
      <c r="C117" s="12"/>
      <c r="D117" s="12"/>
      <c r="G117" s="12"/>
      <c r="H117" s="12"/>
    </row>
    <row r="118" spans="1:9" ht="15.75" customHeight="1">
      <c r="B118" s="52" t="s">
        <v>13</v>
      </c>
      <c r="C118" s="184"/>
      <c r="D118" s="184"/>
      <c r="E118" s="184"/>
      <c r="F118" s="60"/>
      <c r="I118" s="51"/>
    </row>
    <row r="119" spans="1:9" ht="15.75" customHeight="1">
      <c r="A119" s="49"/>
      <c r="C119" s="159" t="s">
        <v>11</v>
      </c>
      <c r="D119" s="159"/>
      <c r="E119" s="159"/>
      <c r="F119" s="49"/>
      <c r="I119" s="50" t="s">
        <v>12</v>
      </c>
    </row>
    <row r="120" spans="1:9" ht="15.75" customHeight="1">
      <c r="A120" s="4" t="s">
        <v>14</v>
      </c>
    </row>
    <row r="121" spans="1:9" ht="15.75" customHeight="1">
      <c r="A121" s="185" t="s">
        <v>15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45" customHeight="1">
      <c r="A122" s="181" t="s">
        <v>16</v>
      </c>
      <c r="B122" s="181"/>
      <c r="C122" s="181"/>
      <c r="D122" s="181"/>
      <c r="E122" s="181"/>
      <c r="F122" s="181"/>
      <c r="G122" s="181"/>
      <c r="H122" s="181"/>
      <c r="I122" s="181"/>
    </row>
    <row r="123" spans="1:9" ht="30" customHeight="1">
      <c r="A123" s="181" t="s">
        <v>17</v>
      </c>
      <c r="B123" s="181"/>
      <c r="C123" s="181"/>
      <c r="D123" s="181"/>
      <c r="E123" s="181"/>
      <c r="F123" s="181"/>
      <c r="G123" s="181"/>
      <c r="H123" s="181"/>
      <c r="I123" s="181"/>
    </row>
    <row r="124" spans="1:9" ht="30" customHeight="1">
      <c r="A124" s="181" t="s">
        <v>21</v>
      </c>
      <c r="B124" s="181"/>
      <c r="C124" s="181"/>
      <c r="D124" s="181"/>
      <c r="E124" s="181"/>
      <c r="F124" s="181"/>
      <c r="G124" s="181"/>
      <c r="H124" s="181"/>
      <c r="I124" s="181"/>
    </row>
    <row r="125" spans="1:9" ht="15" customHeight="1">
      <c r="A125" s="181" t="s">
        <v>20</v>
      </c>
      <c r="B125" s="181"/>
      <c r="C125" s="181"/>
      <c r="D125" s="181"/>
      <c r="E125" s="181"/>
      <c r="F125" s="181"/>
      <c r="G125" s="181"/>
      <c r="H125" s="181"/>
      <c r="I125" s="181"/>
    </row>
  </sheetData>
  <autoFilter ref="I12:I61"/>
  <mergeCells count="29"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  <mergeCell ref="A111:I111"/>
    <mergeCell ref="A15:I15"/>
    <mergeCell ref="A27:I27"/>
    <mergeCell ref="A44:I44"/>
    <mergeCell ref="A55:I55"/>
    <mergeCell ref="A105:I105"/>
    <mergeCell ref="B106:G106"/>
    <mergeCell ref="B107:G107"/>
    <mergeCell ref="A109:I109"/>
    <mergeCell ref="A110:I110"/>
    <mergeCell ref="A87:I87"/>
    <mergeCell ref="R65:U65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B87" sqref="B87:I88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156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316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91"/>
      <c r="C6" s="91"/>
      <c r="D6" s="91"/>
      <c r="E6" s="91"/>
      <c r="F6" s="91"/>
      <c r="G6" s="91"/>
      <c r="H6" s="91"/>
      <c r="I6" s="30">
        <v>43799</v>
      </c>
      <c r="J6" s="2"/>
      <c r="K6" s="2"/>
      <c r="L6" s="2"/>
      <c r="M6" s="2"/>
    </row>
    <row r="7" spans="1:13" ht="15.75" customHeight="1">
      <c r="B7" s="89"/>
      <c r="C7" s="89"/>
      <c r="D7" s="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289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128">
        <v>127.9</v>
      </c>
      <c r="F16" s="129">
        <f>SUM(E16*156/100)</f>
        <v>199.524</v>
      </c>
      <c r="G16" s="129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128">
        <v>511.6</v>
      </c>
      <c r="F17" s="129">
        <f>SUM(E17*104/100)</f>
        <v>532.06399999999996</v>
      </c>
      <c r="G17" s="129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128">
        <f>SUM(E16+E17)</f>
        <v>639.5</v>
      </c>
      <c r="F18" s="129">
        <f>SUM(E18*18/100)</f>
        <v>115.11</v>
      </c>
      <c r="G18" s="129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21" t="s">
        <v>97</v>
      </c>
      <c r="C20" s="122" t="s">
        <v>103</v>
      </c>
      <c r="D20" s="121" t="s">
        <v>216</v>
      </c>
      <c r="E20" s="128">
        <v>58.4</v>
      </c>
      <c r="F20" s="129">
        <f>SUM(E20*12/100)</f>
        <v>7.0079999999999991</v>
      </c>
      <c r="G20" s="129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62" t="s">
        <v>98</v>
      </c>
      <c r="C21" s="63" t="s">
        <v>103</v>
      </c>
      <c r="D21" s="62" t="s">
        <v>102</v>
      </c>
      <c r="E21" s="48">
        <v>9.08</v>
      </c>
      <c r="F21" s="64">
        <f>SUM(E21*6/100)</f>
        <v>0.54480000000000006</v>
      </c>
      <c r="G21" s="64">
        <v>231.03</v>
      </c>
      <c r="H21" s="65">
        <f t="shared" si="0"/>
        <v>0.12586514400000001</v>
      </c>
      <c r="I21" s="13">
        <f>F21/6*G21</f>
        <v>20.977524000000003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5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hidden="1" customHeight="1">
      <c r="A27" s="29">
        <v>7</v>
      </c>
      <c r="B27" s="70" t="s">
        <v>23</v>
      </c>
      <c r="C27" s="63" t="s">
        <v>24</v>
      </c>
      <c r="D27" s="70"/>
      <c r="E27" s="48">
        <v>4591.2</v>
      </c>
      <c r="F27" s="64">
        <f>SUM(E27*12)</f>
        <v>55094.399999999994</v>
      </c>
      <c r="G27" s="64">
        <v>5.85</v>
      </c>
      <c r="H27" s="65">
        <f>SUM(F27*G27/1000)</f>
        <v>322.30223999999993</v>
      </c>
      <c r="I27" s="13">
        <f>F27/12*G27</f>
        <v>26858.519999999997</v>
      </c>
      <c r="J27" s="23"/>
    </row>
    <row r="28" spans="1:13" ht="15.75" customHeight="1">
      <c r="A28" s="170" t="s">
        <v>86</v>
      </c>
      <c r="B28" s="170"/>
      <c r="C28" s="170"/>
      <c r="D28" s="170"/>
      <c r="E28" s="170"/>
      <c r="F28" s="170"/>
      <c r="G28" s="170"/>
      <c r="H28" s="170"/>
      <c r="I28" s="170"/>
      <c r="J28" s="22"/>
      <c r="K28" s="8"/>
      <c r="L28" s="8"/>
      <c r="M28" s="8"/>
    </row>
    <row r="29" spans="1:13" ht="15.75" hidden="1" customHeight="1">
      <c r="A29" s="29"/>
      <c r="B29" s="84" t="s">
        <v>28</v>
      </c>
      <c r="C29" s="63"/>
      <c r="D29" s="62"/>
      <c r="E29" s="48"/>
      <c r="F29" s="64"/>
      <c r="G29" s="64"/>
      <c r="H29" s="65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2" t="s">
        <v>109</v>
      </c>
      <c r="C30" s="63" t="s">
        <v>110</v>
      </c>
      <c r="D30" s="62" t="s">
        <v>111</v>
      </c>
      <c r="E30" s="64">
        <v>844.95</v>
      </c>
      <c r="F30" s="64">
        <f>SUM(E30*52/1000)</f>
        <v>43.937400000000004</v>
      </c>
      <c r="G30" s="64">
        <v>166.65</v>
      </c>
      <c r="H30" s="65">
        <f>SUM(F30*G30/1000)</f>
        <v>7.3221677100000004</v>
      </c>
      <c r="I30" s="13">
        <f>F30/6*G30</f>
        <v>1220.3612850000002</v>
      </c>
      <c r="J30" s="22"/>
      <c r="K30" s="8"/>
      <c r="L30" s="8"/>
      <c r="M30" s="8"/>
    </row>
    <row r="31" spans="1:13" ht="31.5" hidden="1" customHeight="1">
      <c r="A31" s="29">
        <v>8</v>
      </c>
      <c r="B31" s="62" t="s">
        <v>142</v>
      </c>
      <c r="C31" s="63" t="s">
        <v>110</v>
      </c>
      <c r="D31" s="62" t="s">
        <v>112</v>
      </c>
      <c r="E31" s="64">
        <v>260.13</v>
      </c>
      <c r="F31" s="64">
        <f>SUM(E31*78/1000)</f>
        <v>20.290140000000001</v>
      </c>
      <c r="G31" s="64">
        <v>276.48</v>
      </c>
      <c r="H31" s="65">
        <f t="shared" ref="H31:H36" si="1">SUM(F31*G31/1000)</f>
        <v>5.6098179072000001</v>
      </c>
      <c r="I31" s="13">
        <f t="shared" ref="I31:I34" si="2">F31/6*G31</f>
        <v>934.96965120000016</v>
      </c>
      <c r="J31" s="22"/>
      <c r="K31" s="8"/>
      <c r="L31" s="8"/>
      <c r="M31" s="8"/>
    </row>
    <row r="32" spans="1:13" ht="15.75" hidden="1" customHeight="1">
      <c r="A32" s="29"/>
      <c r="B32" s="62" t="s">
        <v>27</v>
      </c>
      <c r="C32" s="63" t="s">
        <v>110</v>
      </c>
      <c r="D32" s="62" t="s">
        <v>56</v>
      </c>
      <c r="E32" s="64">
        <v>844.95</v>
      </c>
      <c r="F32" s="64">
        <f>SUM(E32/1000)</f>
        <v>0.84495000000000009</v>
      </c>
      <c r="G32" s="64">
        <v>3228.73</v>
      </c>
      <c r="H32" s="65">
        <f t="shared" si="1"/>
        <v>2.7281154135000003</v>
      </c>
      <c r="I32" s="13">
        <f>F32*G32</f>
        <v>2728.1154135000002</v>
      </c>
      <c r="J32" s="22"/>
      <c r="K32" s="8"/>
      <c r="L32" s="8"/>
      <c r="M32" s="8"/>
    </row>
    <row r="33" spans="1:14" ht="15.75" hidden="1" customHeight="1">
      <c r="A33" s="29">
        <v>9</v>
      </c>
      <c r="B33" s="62" t="s">
        <v>140</v>
      </c>
      <c r="C33" s="63" t="s">
        <v>41</v>
      </c>
      <c r="D33" s="62" t="s">
        <v>65</v>
      </c>
      <c r="E33" s="64">
        <v>8</v>
      </c>
      <c r="F33" s="64">
        <v>12.4</v>
      </c>
      <c r="G33" s="64">
        <v>1391.86</v>
      </c>
      <c r="H33" s="65">
        <v>17.259</v>
      </c>
      <c r="I33" s="13">
        <f t="shared" si="2"/>
        <v>2876.5106666666666</v>
      </c>
      <c r="J33" s="22"/>
      <c r="K33" s="8"/>
      <c r="L33" s="8"/>
      <c r="M33" s="8"/>
    </row>
    <row r="34" spans="1:14" ht="15.75" hidden="1" customHeight="1">
      <c r="A34" s="29">
        <v>10</v>
      </c>
      <c r="B34" s="62" t="s">
        <v>113</v>
      </c>
      <c r="C34" s="63" t="s">
        <v>30</v>
      </c>
      <c r="D34" s="62" t="s">
        <v>65</v>
      </c>
      <c r="E34" s="69">
        <v>0.33333333333333331</v>
      </c>
      <c r="F34" s="64">
        <f>155/3</f>
        <v>51.666666666666664</v>
      </c>
      <c r="G34" s="64">
        <v>60.6</v>
      </c>
      <c r="H34" s="65">
        <f>SUM(G34*155/3/1000)</f>
        <v>3.1309999999999998</v>
      </c>
      <c r="I34" s="13">
        <f t="shared" si="2"/>
        <v>521.83333333333337</v>
      </c>
      <c r="J34" s="22"/>
      <c r="K34" s="8"/>
    </row>
    <row r="35" spans="1:14" ht="15.75" hidden="1" customHeight="1">
      <c r="A35" s="29"/>
      <c r="B35" s="62" t="s">
        <v>66</v>
      </c>
      <c r="C35" s="63" t="s">
        <v>33</v>
      </c>
      <c r="D35" s="62" t="s">
        <v>68</v>
      </c>
      <c r="E35" s="48"/>
      <c r="F35" s="64">
        <v>3</v>
      </c>
      <c r="G35" s="64">
        <v>204.32</v>
      </c>
      <c r="H35" s="65">
        <f t="shared" si="1"/>
        <v>0.61296000000000006</v>
      </c>
      <c r="I35" s="13">
        <v>0</v>
      </c>
      <c r="J35" s="23"/>
    </row>
    <row r="36" spans="1:14" ht="15.75" hidden="1" customHeight="1">
      <c r="A36" s="29"/>
      <c r="B36" s="62" t="s">
        <v>67</v>
      </c>
      <c r="C36" s="63" t="s">
        <v>32</v>
      </c>
      <c r="D36" s="62" t="s">
        <v>68</v>
      </c>
      <c r="E36" s="48"/>
      <c r="F36" s="64">
        <v>2</v>
      </c>
      <c r="G36" s="64">
        <v>1214.73</v>
      </c>
      <c r="H36" s="65">
        <f t="shared" si="1"/>
        <v>2.4294600000000002</v>
      </c>
      <c r="I36" s="13">
        <v>0</v>
      </c>
      <c r="J36" s="23"/>
    </row>
    <row r="37" spans="1:14" ht="15.75" customHeight="1">
      <c r="A37" s="29"/>
      <c r="B37" s="84" t="s">
        <v>5</v>
      </c>
      <c r="C37" s="63"/>
      <c r="D37" s="62"/>
      <c r="E37" s="48"/>
      <c r="F37" s="64"/>
      <c r="G37" s="64"/>
      <c r="H37" s="65" t="s">
        <v>129</v>
      </c>
      <c r="I37" s="13"/>
      <c r="J37" s="23"/>
    </row>
    <row r="38" spans="1:14" ht="15.75" customHeight="1">
      <c r="A38" s="29">
        <v>6</v>
      </c>
      <c r="B38" s="149" t="s">
        <v>26</v>
      </c>
      <c r="C38" s="122" t="s">
        <v>32</v>
      </c>
      <c r="D38" s="121"/>
      <c r="E38" s="128"/>
      <c r="F38" s="129">
        <v>6</v>
      </c>
      <c r="G38" s="129">
        <v>1855</v>
      </c>
      <c r="H38" s="65">
        <f t="shared" ref="H38:H44" si="3">SUM(F38*G38/1000)</f>
        <v>11.13</v>
      </c>
      <c r="I38" s="13">
        <f>F38/6*G38</f>
        <v>1855</v>
      </c>
      <c r="J38" s="23"/>
    </row>
    <row r="39" spans="1:14" ht="15.75" customHeight="1">
      <c r="A39" s="29">
        <v>7</v>
      </c>
      <c r="B39" s="149" t="s">
        <v>317</v>
      </c>
      <c r="C39" s="150" t="s">
        <v>29</v>
      </c>
      <c r="D39" s="149" t="s">
        <v>242</v>
      </c>
      <c r="E39" s="152">
        <v>254.8</v>
      </c>
      <c r="F39" s="152">
        <f>SUM(E39*30/1000)</f>
        <v>7.6440000000000001</v>
      </c>
      <c r="G39" s="152">
        <v>3014.36</v>
      </c>
      <c r="H39" s="65">
        <f t="shared" si="3"/>
        <v>23.041767840000002</v>
      </c>
      <c r="I39" s="13">
        <f>F39/6*G39</f>
        <v>3840.2946400000001</v>
      </c>
      <c r="J39" s="23"/>
      <c r="L39" s="19"/>
      <c r="M39" s="20"/>
      <c r="N39" s="21"/>
    </row>
    <row r="40" spans="1:14" ht="15.75" hidden="1" customHeight="1">
      <c r="A40" s="29"/>
      <c r="B40" s="121" t="s">
        <v>95</v>
      </c>
      <c r="C40" s="122" t="s">
        <v>115</v>
      </c>
      <c r="D40" s="121" t="s">
        <v>176</v>
      </c>
      <c r="E40" s="128"/>
      <c r="F40" s="152">
        <v>26</v>
      </c>
      <c r="G40" s="129">
        <v>330</v>
      </c>
      <c r="H40" s="65">
        <f t="shared" si="3"/>
        <v>8.58</v>
      </c>
      <c r="I40" s="13">
        <v>0</v>
      </c>
      <c r="J40" s="23"/>
      <c r="L40" s="19"/>
      <c r="M40" s="20"/>
      <c r="N40" s="21"/>
    </row>
    <row r="41" spans="1:14" ht="15.75" customHeight="1">
      <c r="A41" s="29">
        <v>8</v>
      </c>
      <c r="B41" s="121" t="s">
        <v>69</v>
      </c>
      <c r="C41" s="122" t="s">
        <v>29</v>
      </c>
      <c r="D41" s="121" t="s">
        <v>243</v>
      </c>
      <c r="E41" s="129">
        <v>260.13</v>
      </c>
      <c r="F41" s="152">
        <f>SUM(E41*155/1000)</f>
        <v>40.320149999999998</v>
      </c>
      <c r="G41" s="129">
        <v>502.82</v>
      </c>
      <c r="H41" s="65">
        <f t="shared" si="3"/>
        <v>20.273777823</v>
      </c>
      <c r="I41" s="13">
        <f>F41/6*G41</f>
        <v>3378.9629704999998</v>
      </c>
      <c r="J41" s="23"/>
      <c r="L41" s="19"/>
      <c r="M41" s="20"/>
      <c r="N41" s="21"/>
    </row>
    <row r="42" spans="1:14" ht="47.25" customHeight="1">
      <c r="A42" s="29">
        <v>9</v>
      </c>
      <c r="B42" s="121" t="s">
        <v>84</v>
      </c>
      <c r="C42" s="122" t="s">
        <v>110</v>
      </c>
      <c r="D42" s="121" t="s">
        <v>290</v>
      </c>
      <c r="E42" s="129">
        <v>132.72999999999999</v>
      </c>
      <c r="F42" s="152">
        <f>SUM(E42*24/1000)</f>
        <v>3.1855199999999995</v>
      </c>
      <c r="G42" s="129">
        <v>8319.2999999999993</v>
      </c>
      <c r="H42" s="65">
        <f t="shared" si="3"/>
        <v>26.501296535999995</v>
      </c>
      <c r="I42" s="13">
        <f>F42/6*G42</f>
        <v>4416.8827559999991</v>
      </c>
      <c r="J42" s="23"/>
      <c r="L42" s="19"/>
      <c r="M42" s="20"/>
      <c r="N42" s="21"/>
    </row>
    <row r="43" spans="1:14" ht="15.75" customHeight="1">
      <c r="A43" s="29">
        <v>10</v>
      </c>
      <c r="B43" s="121" t="s">
        <v>118</v>
      </c>
      <c r="C43" s="122" t="s">
        <v>110</v>
      </c>
      <c r="D43" s="121" t="s">
        <v>239</v>
      </c>
      <c r="E43" s="129">
        <v>254.8</v>
      </c>
      <c r="F43" s="152">
        <f>SUM(E43*15/1000)</f>
        <v>3.8220000000000001</v>
      </c>
      <c r="G43" s="129">
        <v>614.55999999999995</v>
      </c>
      <c r="H43" s="65">
        <f t="shared" si="3"/>
        <v>2.3488483200000001</v>
      </c>
      <c r="I43" s="13">
        <f>F43/7.5*G43</f>
        <v>313.179776</v>
      </c>
      <c r="J43" s="23"/>
      <c r="L43" s="19"/>
      <c r="M43" s="20"/>
      <c r="N43" s="21"/>
    </row>
    <row r="44" spans="1:14" ht="15.75" customHeight="1">
      <c r="A44" s="29">
        <v>11</v>
      </c>
      <c r="B44" s="149" t="s">
        <v>71</v>
      </c>
      <c r="C44" s="150" t="s">
        <v>33</v>
      </c>
      <c r="D44" s="149"/>
      <c r="E44" s="151"/>
      <c r="F44" s="152">
        <v>0.9</v>
      </c>
      <c r="G44" s="152">
        <v>800</v>
      </c>
      <c r="H44" s="65">
        <f t="shared" si="3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29.25" customHeight="1">
      <c r="A45" s="147">
        <v>12</v>
      </c>
      <c r="B45" s="149" t="s">
        <v>312</v>
      </c>
      <c r="C45" s="150" t="s">
        <v>110</v>
      </c>
      <c r="D45" s="149" t="s">
        <v>318</v>
      </c>
      <c r="E45" s="151">
        <v>3.6</v>
      </c>
      <c r="F45" s="152">
        <f>E45*12/1000</f>
        <v>4.3200000000000002E-2</v>
      </c>
      <c r="G45" s="152">
        <v>19757.060000000001</v>
      </c>
      <c r="H45" s="56"/>
      <c r="I45" s="148">
        <f>G45*F45/6</f>
        <v>142.25083200000003</v>
      </c>
      <c r="J45" s="23"/>
      <c r="L45" s="19"/>
      <c r="M45" s="20"/>
      <c r="N45" s="21"/>
    </row>
    <row r="46" spans="1:14" ht="15.75" hidden="1" customHeight="1">
      <c r="A46" s="171" t="s">
        <v>136</v>
      </c>
      <c r="B46" s="172"/>
      <c r="C46" s="172"/>
      <c r="D46" s="172"/>
      <c r="E46" s="172"/>
      <c r="F46" s="172"/>
      <c r="G46" s="172"/>
      <c r="H46" s="172"/>
      <c r="I46" s="173"/>
      <c r="J46" s="23"/>
      <c r="L46" s="19"/>
      <c r="M46" s="20"/>
      <c r="N46" s="21"/>
    </row>
    <row r="47" spans="1:14" ht="15.75" hidden="1" customHeight="1">
      <c r="A47" s="29"/>
      <c r="B47" s="62" t="s">
        <v>133</v>
      </c>
      <c r="C47" s="63" t="s">
        <v>110</v>
      </c>
      <c r="D47" s="62" t="s">
        <v>43</v>
      </c>
      <c r="E47" s="48">
        <v>1795.9</v>
      </c>
      <c r="F47" s="64">
        <f>SUM(E47*2/1000)</f>
        <v>3.5918000000000001</v>
      </c>
      <c r="G47" s="13">
        <v>865.61</v>
      </c>
      <c r="H47" s="65">
        <f t="shared" ref="H47:H56" si="4">SUM(F47*G47/1000)</f>
        <v>3.1090979980000002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36</v>
      </c>
      <c r="C48" s="63" t="s">
        <v>110</v>
      </c>
      <c r="D48" s="62" t="s">
        <v>43</v>
      </c>
      <c r="E48" s="48">
        <v>104</v>
      </c>
      <c r="F48" s="64">
        <f>SUM(E48*2/1000)</f>
        <v>0.20799999999999999</v>
      </c>
      <c r="G48" s="13">
        <v>619.46</v>
      </c>
      <c r="H48" s="65">
        <f t="shared" si="4"/>
        <v>0.12884767999999999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29"/>
      <c r="B49" s="62" t="s">
        <v>37</v>
      </c>
      <c r="C49" s="63" t="s">
        <v>110</v>
      </c>
      <c r="D49" s="62" t="s">
        <v>43</v>
      </c>
      <c r="E49" s="48">
        <v>1996.87</v>
      </c>
      <c r="F49" s="64">
        <f>SUM(E49*2/1000)</f>
        <v>3.9937399999999998</v>
      </c>
      <c r="G49" s="13">
        <v>619.46</v>
      </c>
      <c r="H49" s="65">
        <f t="shared" si="4"/>
        <v>2.4739621804</v>
      </c>
      <c r="I49" s="13">
        <v>0</v>
      </c>
      <c r="J49" s="23"/>
      <c r="L49" s="19"/>
      <c r="M49" s="20"/>
      <c r="N49" s="21"/>
    </row>
    <row r="50" spans="1:14" ht="15.75" hidden="1" customHeight="1">
      <c r="A50" s="29"/>
      <c r="B50" s="62" t="s">
        <v>38</v>
      </c>
      <c r="C50" s="63" t="s">
        <v>110</v>
      </c>
      <c r="D50" s="62" t="s">
        <v>43</v>
      </c>
      <c r="E50" s="48">
        <v>2630.35</v>
      </c>
      <c r="F50" s="64">
        <f>SUM(E50*2/1000)</f>
        <v>5.2606999999999999</v>
      </c>
      <c r="G50" s="13">
        <v>648.64</v>
      </c>
      <c r="H50" s="65">
        <f t="shared" si="4"/>
        <v>3.4123004479999999</v>
      </c>
      <c r="I50" s="13">
        <v>0</v>
      </c>
      <c r="J50" s="23"/>
      <c r="L50" s="19"/>
      <c r="M50" s="20"/>
      <c r="N50" s="21"/>
    </row>
    <row r="51" spans="1:14" ht="15.75" hidden="1" customHeight="1">
      <c r="A51" s="29"/>
      <c r="B51" s="62" t="s">
        <v>34</v>
      </c>
      <c r="C51" s="63" t="s">
        <v>35</v>
      </c>
      <c r="D51" s="62" t="s">
        <v>43</v>
      </c>
      <c r="E51" s="48">
        <v>131.47</v>
      </c>
      <c r="F51" s="64">
        <f>SUM(E51*2/100)</f>
        <v>2.6294</v>
      </c>
      <c r="G51" s="13">
        <v>77.84</v>
      </c>
      <c r="H51" s="65">
        <f t="shared" si="4"/>
        <v>0.20467249599999998</v>
      </c>
      <c r="I51" s="13">
        <v>0</v>
      </c>
      <c r="J51" s="23"/>
      <c r="L51" s="19"/>
      <c r="M51" s="20"/>
      <c r="N51" s="21"/>
    </row>
    <row r="52" spans="1:14" ht="15.75" hidden="1" customHeight="1">
      <c r="A52" s="29">
        <v>14</v>
      </c>
      <c r="B52" s="62" t="s">
        <v>58</v>
      </c>
      <c r="C52" s="63" t="s">
        <v>110</v>
      </c>
      <c r="D52" s="62" t="s">
        <v>143</v>
      </c>
      <c r="E52" s="48">
        <v>2872.4</v>
      </c>
      <c r="F52" s="64">
        <f>SUM(E52*5/1000)</f>
        <v>14.362</v>
      </c>
      <c r="G52" s="13">
        <v>1297.28</v>
      </c>
      <c r="H52" s="65">
        <f t="shared" si="4"/>
        <v>18.631535359999997</v>
      </c>
      <c r="I52" s="13">
        <f>F52/5*G52</f>
        <v>3726.3070719999996</v>
      </c>
      <c r="J52" s="23"/>
      <c r="L52" s="19"/>
      <c r="M52" s="20"/>
      <c r="N52" s="21"/>
    </row>
    <row r="53" spans="1:14" ht="31.5" hidden="1" customHeight="1">
      <c r="A53" s="29">
        <v>11</v>
      </c>
      <c r="B53" s="62" t="s">
        <v>119</v>
      </c>
      <c r="C53" s="63" t="s">
        <v>110</v>
      </c>
      <c r="D53" s="62" t="s">
        <v>43</v>
      </c>
      <c r="E53" s="48">
        <v>2872.4</v>
      </c>
      <c r="F53" s="64">
        <f>SUM(E53*2/1000)</f>
        <v>5.7448000000000006</v>
      </c>
      <c r="G53" s="13">
        <v>1297.28</v>
      </c>
      <c r="H53" s="65">
        <f t="shared" si="4"/>
        <v>7.4526141440000009</v>
      </c>
      <c r="I53" s="13">
        <f>F53/2*G53</f>
        <v>3726.3070720000005</v>
      </c>
      <c r="J53" s="23"/>
      <c r="L53" s="19"/>
      <c r="M53" s="20"/>
      <c r="N53" s="21"/>
    </row>
    <row r="54" spans="1:14" ht="31.5" hidden="1" customHeight="1">
      <c r="A54" s="29">
        <v>12</v>
      </c>
      <c r="B54" s="62" t="s">
        <v>120</v>
      </c>
      <c r="C54" s="63" t="s">
        <v>39</v>
      </c>
      <c r="D54" s="62" t="s">
        <v>43</v>
      </c>
      <c r="E54" s="48">
        <v>40</v>
      </c>
      <c r="F54" s="64">
        <f>SUM(E54*2/100)</f>
        <v>0.8</v>
      </c>
      <c r="G54" s="13">
        <v>2918.89</v>
      </c>
      <c r="H54" s="65">
        <f t="shared" si="4"/>
        <v>2.3351120000000001</v>
      </c>
      <c r="I54" s="13">
        <f t="shared" ref="I54:I55" si="5">F54/2*G54</f>
        <v>1167.556</v>
      </c>
      <c r="J54" s="23"/>
      <c r="L54" s="19"/>
      <c r="M54" s="20"/>
      <c r="N54" s="21"/>
    </row>
    <row r="55" spans="1:14" ht="15.75" hidden="1" customHeight="1">
      <c r="A55" s="29">
        <v>13</v>
      </c>
      <c r="B55" s="62" t="s">
        <v>40</v>
      </c>
      <c r="C55" s="63" t="s">
        <v>41</v>
      </c>
      <c r="D55" s="62" t="s">
        <v>43</v>
      </c>
      <c r="E55" s="48">
        <v>1</v>
      </c>
      <c r="F55" s="64">
        <v>0.02</v>
      </c>
      <c r="G55" s="13">
        <v>6042.12</v>
      </c>
      <c r="H55" s="65">
        <f t="shared" si="4"/>
        <v>0.1208424</v>
      </c>
      <c r="I55" s="13">
        <f t="shared" si="5"/>
        <v>60.421199999999999</v>
      </c>
      <c r="J55" s="23"/>
      <c r="L55" s="19"/>
      <c r="M55" s="20"/>
      <c r="N55" s="21"/>
    </row>
    <row r="56" spans="1:14" ht="1.5" customHeight="1">
      <c r="A56" s="29">
        <v>14</v>
      </c>
      <c r="B56" s="62" t="s">
        <v>42</v>
      </c>
      <c r="C56" s="63" t="s">
        <v>30</v>
      </c>
      <c r="D56" s="62" t="s">
        <v>72</v>
      </c>
      <c r="E56" s="48">
        <v>160</v>
      </c>
      <c r="F56" s="64">
        <f>SUM(E56)*3</f>
        <v>480</v>
      </c>
      <c r="G56" s="13">
        <v>70.209999999999994</v>
      </c>
      <c r="H56" s="65">
        <f t="shared" si="4"/>
        <v>33.700799999999994</v>
      </c>
      <c r="I56" s="13">
        <f>E56*G56</f>
        <v>11233.599999999999</v>
      </c>
      <c r="J56" s="23"/>
      <c r="L56" s="19"/>
      <c r="M56" s="20"/>
      <c r="N56" s="21"/>
    </row>
    <row r="57" spans="1:14" ht="15.75" customHeight="1">
      <c r="A57" s="171" t="s">
        <v>146</v>
      </c>
      <c r="B57" s="172"/>
      <c r="C57" s="172"/>
      <c r="D57" s="172"/>
      <c r="E57" s="172"/>
      <c r="F57" s="172"/>
      <c r="G57" s="172"/>
      <c r="H57" s="172"/>
      <c r="I57" s="173"/>
      <c r="J57" s="23"/>
      <c r="L57" s="19"/>
      <c r="M57" s="20"/>
      <c r="N57" s="21"/>
    </row>
    <row r="58" spans="1:14" ht="17.25" customHeight="1">
      <c r="A58" s="29"/>
      <c r="B58" s="84" t="s">
        <v>44</v>
      </c>
      <c r="C58" s="63"/>
      <c r="D58" s="62"/>
      <c r="E58" s="48"/>
      <c r="F58" s="64"/>
      <c r="G58" s="64"/>
      <c r="H58" s="65"/>
      <c r="I58" s="13"/>
      <c r="J58" s="23"/>
      <c r="L58" s="19"/>
      <c r="M58" s="20"/>
      <c r="N58" s="21"/>
    </row>
    <row r="59" spans="1:14" ht="16.5" hidden="1" customHeight="1">
      <c r="A59" s="29">
        <v>14</v>
      </c>
      <c r="B59" s="62" t="s">
        <v>122</v>
      </c>
      <c r="C59" s="63" t="s">
        <v>103</v>
      </c>
      <c r="D59" s="62" t="s">
        <v>73</v>
      </c>
      <c r="E59" s="48">
        <v>239.59</v>
      </c>
      <c r="F59" s="64">
        <f>E59*6/100</f>
        <v>14.375399999999999</v>
      </c>
      <c r="G59" s="71">
        <v>1654.04</v>
      </c>
      <c r="H59" s="65">
        <f>F59*G59/1000</f>
        <v>23.777486615999997</v>
      </c>
      <c r="I59" s="13">
        <f>F59/6*G59</f>
        <v>3962.9144359999996</v>
      </c>
      <c r="J59" s="23"/>
      <c r="L59" s="19"/>
      <c r="M59" s="20"/>
      <c r="N59" s="21"/>
    </row>
    <row r="60" spans="1:14" ht="20.25" customHeight="1">
      <c r="A60" s="29">
        <v>13</v>
      </c>
      <c r="B60" s="100" t="s">
        <v>88</v>
      </c>
      <c r="C60" s="101" t="s">
        <v>163</v>
      </c>
      <c r="D60" s="100" t="s">
        <v>319</v>
      </c>
      <c r="E60" s="102"/>
      <c r="F60" s="103">
        <v>8</v>
      </c>
      <c r="G60" s="110">
        <v>1730</v>
      </c>
      <c r="H60" s="78"/>
      <c r="I60" s="13">
        <f>G60*1</f>
        <v>1730</v>
      </c>
      <c r="J60" s="23"/>
      <c r="L60" s="19"/>
      <c r="M60" s="20"/>
      <c r="N60" s="21"/>
    </row>
    <row r="61" spans="1:14" ht="15.75" customHeight="1">
      <c r="A61" s="29"/>
      <c r="B61" s="85" t="s">
        <v>45</v>
      </c>
      <c r="C61" s="72"/>
      <c r="D61" s="73"/>
      <c r="E61" s="74"/>
      <c r="F61" s="76"/>
      <c r="G61" s="13"/>
      <c r="H61" s="78"/>
      <c r="I61" s="13"/>
      <c r="J61" s="23"/>
      <c r="L61" s="19"/>
      <c r="M61" s="20"/>
      <c r="N61" s="21"/>
    </row>
    <row r="62" spans="1:14" ht="15.75" hidden="1" customHeight="1">
      <c r="A62" s="29"/>
      <c r="B62" s="73" t="s">
        <v>46</v>
      </c>
      <c r="C62" s="72" t="s">
        <v>55</v>
      </c>
      <c r="D62" s="73" t="s">
        <v>56</v>
      </c>
      <c r="E62" s="74">
        <v>2686</v>
      </c>
      <c r="F62" s="76">
        <f>E62/100</f>
        <v>26.86</v>
      </c>
      <c r="G62" s="13">
        <v>848.37</v>
      </c>
      <c r="H62" s="78">
        <f>G62*F62/1000</f>
        <v>22.787218199999998</v>
      </c>
      <c r="I62" s="13">
        <v>0</v>
      </c>
      <c r="J62" s="23"/>
      <c r="L62" s="19"/>
    </row>
    <row r="63" spans="1:14" ht="15.75" customHeight="1">
      <c r="A63" s="29">
        <v>14</v>
      </c>
      <c r="B63" s="73" t="s">
        <v>96</v>
      </c>
      <c r="C63" s="72" t="s">
        <v>25</v>
      </c>
      <c r="D63" s="73" t="s">
        <v>240</v>
      </c>
      <c r="E63" s="74">
        <v>200</v>
      </c>
      <c r="F63" s="76">
        <f>E63*12</f>
        <v>2400</v>
      </c>
      <c r="G63" s="13">
        <v>1.4</v>
      </c>
      <c r="H63" s="78">
        <f>F63*G63</f>
        <v>3360</v>
      </c>
      <c r="I63" s="13">
        <f>F63/12*G63</f>
        <v>280</v>
      </c>
    </row>
    <row r="64" spans="1:14" ht="15.75" hidden="1" customHeight="1">
      <c r="A64" s="29"/>
      <c r="B64" s="85" t="s">
        <v>134</v>
      </c>
      <c r="C64" s="72"/>
      <c r="D64" s="73"/>
      <c r="E64" s="74"/>
      <c r="F64" s="76"/>
      <c r="G64" s="13"/>
      <c r="H64" s="78"/>
      <c r="I64" s="13"/>
    </row>
    <row r="65" spans="1:22" ht="15.75" hidden="1" customHeight="1">
      <c r="A65" s="29"/>
      <c r="B65" s="73" t="s">
        <v>135</v>
      </c>
      <c r="C65" s="72" t="s">
        <v>30</v>
      </c>
      <c r="D65" s="73" t="s">
        <v>68</v>
      </c>
      <c r="E65" s="74">
        <v>3</v>
      </c>
      <c r="F65" s="75">
        <v>3</v>
      </c>
      <c r="G65" s="77">
        <v>254.16</v>
      </c>
      <c r="H65" s="76">
        <v>0.76200000000000001</v>
      </c>
      <c r="I65" s="13">
        <v>0</v>
      </c>
    </row>
    <row r="66" spans="1:22" ht="15.75" customHeight="1">
      <c r="A66" s="29"/>
      <c r="B66" s="85" t="s">
        <v>47</v>
      </c>
      <c r="C66" s="72"/>
      <c r="D66" s="73"/>
      <c r="E66" s="74"/>
      <c r="F66" s="75"/>
      <c r="G66" s="75"/>
      <c r="H66" s="76" t="s">
        <v>129</v>
      </c>
      <c r="I66" s="1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customHeight="1">
      <c r="A67" s="29">
        <v>15</v>
      </c>
      <c r="B67" s="118" t="s">
        <v>48</v>
      </c>
      <c r="C67" s="119" t="s">
        <v>121</v>
      </c>
      <c r="D67" s="98" t="s">
        <v>240</v>
      </c>
      <c r="E67" s="17">
        <v>15</v>
      </c>
      <c r="F67" s="129">
        <v>15</v>
      </c>
      <c r="G67" s="34">
        <v>318.82</v>
      </c>
      <c r="H67" s="79">
        <f t="shared" ref="H67:H83" si="6">SUM(F67*G67/1000)</f>
        <v>4.7823000000000002</v>
      </c>
      <c r="I67" s="13">
        <f>G67*1</f>
        <v>318.82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/>
      <c r="B68" s="14" t="s">
        <v>49</v>
      </c>
      <c r="C68" s="16" t="s">
        <v>121</v>
      </c>
      <c r="D68" s="73" t="s">
        <v>68</v>
      </c>
      <c r="E68" s="18">
        <v>5</v>
      </c>
      <c r="F68" s="64">
        <v>5</v>
      </c>
      <c r="G68" s="13">
        <v>81.510000000000005</v>
      </c>
      <c r="H68" s="79">
        <f t="shared" si="6"/>
        <v>0.40755000000000002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/>
      <c r="B69" s="14" t="s">
        <v>50</v>
      </c>
      <c r="C69" s="16" t="s">
        <v>123</v>
      </c>
      <c r="D69" s="14" t="s">
        <v>56</v>
      </c>
      <c r="E69" s="48">
        <v>24123</v>
      </c>
      <c r="F69" s="13">
        <f>SUM(E69/100)</f>
        <v>241.23</v>
      </c>
      <c r="G69" s="13">
        <v>226.79</v>
      </c>
      <c r="H69" s="79">
        <f t="shared" si="6"/>
        <v>54.708551699999994</v>
      </c>
      <c r="I69" s="13">
        <f>F69*G69</f>
        <v>54708.551699999996</v>
      </c>
      <c r="J69" s="5"/>
      <c r="K69" s="5"/>
      <c r="L69" s="5"/>
      <c r="M69" s="5"/>
      <c r="N69" s="5"/>
      <c r="O69" s="5"/>
      <c r="P69" s="5"/>
      <c r="Q69" s="5"/>
      <c r="R69" s="159"/>
      <c r="S69" s="159"/>
      <c r="T69" s="159"/>
      <c r="U69" s="159"/>
    </row>
    <row r="70" spans="1:22" ht="15.75" hidden="1" customHeight="1">
      <c r="A70" s="29"/>
      <c r="B70" s="14" t="s">
        <v>51</v>
      </c>
      <c r="C70" s="16" t="s">
        <v>124</v>
      </c>
      <c r="D70" s="14"/>
      <c r="E70" s="48">
        <v>24123</v>
      </c>
      <c r="F70" s="13">
        <f>SUM(E70/1000)</f>
        <v>24.123000000000001</v>
      </c>
      <c r="G70" s="13">
        <v>176.61</v>
      </c>
      <c r="H70" s="79">
        <f t="shared" si="6"/>
        <v>4.2603630300000006</v>
      </c>
      <c r="I70" s="13">
        <f t="shared" ref="I70:I74" si="7">F70*G70</f>
        <v>4260.3630300000004</v>
      </c>
    </row>
    <row r="71" spans="1:22" ht="15.75" hidden="1" customHeight="1">
      <c r="A71" s="29"/>
      <c r="B71" s="14" t="s">
        <v>52</v>
      </c>
      <c r="C71" s="16" t="s">
        <v>78</v>
      </c>
      <c r="D71" s="14" t="s">
        <v>56</v>
      </c>
      <c r="E71" s="48">
        <v>2730</v>
      </c>
      <c r="F71" s="13">
        <f>SUM(E71/100)</f>
        <v>27.3</v>
      </c>
      <c r="G71" s="13">
        <v>2217.7800000000002</v>
      </c>
      <c r="H71" s="79">
        <f t="shared" si="6"/>
        <v>60.545394000000009</v>
      </c>
      <c r="I71" s="13">
        <f t="shared" si="7"/>
        <v>60545.394000000008</v>
      </c>
    </row>
    <row r="72" spans="1:22" ht="15.75" hidden="1" customHeight="1">
      <c r="A72" s="29"/>
      <c r="B72" s="80" t="s">
        <v>125</v>
      </c>
      <c r="C72" s="16" t="s">
        <v>33</v>
      </c>
      <c r="D72" s="14"/>
      <c r="E72" s="48">
        <v>23</v>
      </c>
      <c r="F72" s="13">
        <f>SUM(E72)</f>
        <v>23</v>
      </c>
      <c r="G72" s="13">
        <v>42.67</v>
      </c>
      <c r="H72" s="79">
        <f t="shared" si="6"/>
        <v>0.98141000000000012</v>
      </c>
      <c r="I72" s="13">
        <f t="shared" si="7"/>
        <v>981.41000000000008</v>
      </c>
    </row>
    <row r="73" spans="1:22" ht="15.75" hidden="1" customHeight="1">
      <c r="A73" s="29"/>
      <c r="B73" s="80" t="s">
        <v>126</v>
      </c>
      <c r="C73" s="16" t="s">
        <v>33</v>
      </c>
      <c r="D73" s="14"/>
      <c r="E73" s="48">
        <v>23</v>
      </c>
      <c r="F73" s="13">
        <f>SUM(E73)</f>
        <v>23</v>
      </c>
      <c r="G73" s="13">
        <v>39.81</v>
      </c>
      <c r="H73" s="79">
        <f t="shared" si="6"/>
        <v>0.91563000000000005</v>
      </c>
      <c r="I73" s="13">
        <f t="shared" si="7"/>
        <v>915.63000000000011</v>
      </c>
    </row>
    <row r="74" spans="1:22" ht="15.75" hidden="1" customHeight="1">
      <c r="A74" s="29"/>
      <c r="B74" s="14" t="s">
        <v>59</v>
      </c>
      <c r="C74" s="16" t="s">
        <v>60</v>
      </c>
      <c r="D74" s="14" t="s">
        <v>56</v>
      </c>
      <c r="E74" s="18">
        <v>10</v>
      </c>
      <c r="F74" s="64">
        <f>SUM(E74)</f>
        <v>10</v>
      </c>
      <c r="G74" s="13">
        <v>53.32</v>
      </c>
      <c r="H74" s="79">
        <f t="shared" si="6"/>
        <v>0.53320000000000001</v>
      </c>
      <c r="I74" s="13">
        <f t="shared" si="7"/>
        <v>533.20000000000005</v>
      </c>
    </row>
    <row r="75" spans="1:22" ht="15.75" customHeight="1">
      <c r="A75" s="29"/>
      <c r="B75" s="154" t="s">
        <v>299</v>
      </c>
      <c r="C75" s="16"/>
      <c r="D75" s="14"/>
      <c r="E75" s="18"/>
      <c r="F75" s="13"/>
      <c r="G75" s="13"/>
      <c r="H75" s="13"/>
      <c r="I75" s="13"/>
    </row>
    <row r="76" spans="1:22" ht="32.25" customHeight="1">
      <c r="A76" s="29">
        <v>16</v>
      </c>
      <c r="B76" s="98" t="s">
        <v>300</v>
      </c>
      <c r="C76" s="137" t="s">
        <v>301</v>
      </c>
      <c r="D76" s="138"/>
      <c r="E76" s="139">
        <v>4591.2</v>
      </c>
      <c r="F76" s="140">
        <f>E76*12</f>
        <v>55094.399999999994</v>
      </c>
      <c r="G76" s="140">
        <v>2.4900000000000002</v>
      </c>
      <c r="H76" s="13"/>
      <c r="I76" s="13">
        <f>G76*F76/12</f>
        <v>11432.088000000002</v>
      </c>
    </row>
    <row r="77" spans="1:22" ht="12.75" customHeight="1">
      <c r="A77" s="29"/>
      <c r="B77" s="154" t="s">
        <v>74</v>
      </c>
      <c r="C77" s="16"/>
      <c r="D77" s="14"/>
      <c r="E77" s="18"/>
      <c r="F77" s="13"/>
      <c r="G77" s="13"/>
      <c r="H77" s="79" t="s">
        <v>129</v>
      </c>
      <c r="I77" s="13"/>
    </row>
    <row r="78" spans="1:22" ht="18.75" customHeight="1">
      <c r="A78" s="29">
        <v>17</v>
      </c>
      <c r="B78" s="14" t="s">
        <v>75</v>
      </c>
      <c r="C78" s="16" t="s">
        <v>31</v>
      </c>
      <c r="D78" s="14"/>
      <c r="E78" s="18">
        <v>2</v>
      </c>
      <c r="F78" s="56">
        <v>0.2</v>
      </c>
      <c r="G78" s="117">
        <v>719.08</v>
      </c>
      <c r="H78" s="79">
        <v>0.251</v>
      </c>
      <c r="I78" s="13">
        <f>G78*0.2</f>
        <v>143.816</v>
      </c>
    </row>
    <row r="79" spans="1:22" ht="18" hidden="1" customHeight="1">
      <c r="A79" s="29"/>
      <c r="B79" s="14" t="s">
        <v>89</v>
      </c>
      <c r="C79" s="16" t="s">
        <v>30</v>
      </c>
      <c r="D79" s="14"/>
      <c r="E79" s="18">
        <v>1</v>
      </c>
      <c r="F79" s="64">
        <f>SUM(E79)</f>
        <v>1</v>
      </c>
      <c r="G79" s="13">
        <v>383.25</v>
      </c>
      <c r="H79" s="79">
        <f t="shared" si="6"/>
        <v>0.38324999999999998</v>
      </c>
      <c r="I79" s="13">
        <v>0</v>
      </c>
    </row>
    <row r="80" spans="1:22" ht="22.5" hidden="1" customHeight="1">
      <c r="A80" s="29"/>
      <c r="B80" s="14" t="s">
        <v>76</v>
      </c>
      <c r="C80" s="16" t="s">
        <v>30</v>
      </c>
      <c r="D80" s="14"/>
      <c r="E80" s="18">
        <v>2</v>
      </c>
      <c r="F80" s="13">
        <v>2</v>
      </c>
      <c r="G80" s="13">
        <v>911.85</v>
      </c>
      <c r="H80" s="79">
        <f>F80*G80/1000</f>
        <v>1.8237000000000001</v>
      </c>
      <c r="I80" s="13">
        <v>0</v>
      </c>
    </row>
    <row r="81" spans="1:9" ht="33.75" customHeight="1">
      <c r="A81" s="29">
        <v>18</v>
      </c>
      <c r="B81" s="98" t="s">
        <v>291</v>
      </c>
      <c r="C81" s="119" t="s">
        <v>30</v>
      </c>
      <c r="D81" s="98" t="s">
        <v>216</v>
      </c>
      <c r="E81" s="17">
        <v>2</v>
      </c>
      <c r="F81" s="34">
        <f>E81*12</f>
        <v>24</v>
      </c>
      <c r="G81" s="34">
        <v>404</v>
      </c>
      <c r="H81" s="79"/>
      <c r="I81" s="13">
        <f>G81*2</f>
        <v>808</v>
      </c>
    </row>
    <row r="82" spans="1:9" ht="21" hidden="1" customHeight="1">
      <c r="A82" s="29"/>
      <c r="B82" s="81" t="s">
        <v>77</v>
      </c>
      <c r="C82" s="16"/>
      <c r="D82" s="14"/>
      <c r="E82" s="18"/>
      <c r="F82" s="13"/>
      <c r="G82" s="13" t="s">
        <v>129</v>
      </c>
      <c r="H82" s="79" t="s">
        <v>129</v>
      </c>
      <c r="I82" s="13"/>
    </row>
    <row r="83" spans="1:9" ht="21" hidden="1" customHeight="1">
      <c r="A83" s="29"/>
      <c r="B83" s="44" t="s">
        <v>130</v>
      </c>
      <c r="C83" s="16" t="s">
        <v>78</v>
      </c>
      <c r="D83" s="14"/>
      <c r="E83" s="18"/>
      <c r="F83" s="13">
        <v>1.35</v>
      </c>
      <c r="G83" s="13">
        <v>2949.85</v>
      </c>
      <c r="H83" s="79">
        <f t="shared" si="6"/>
        <v>3.9822975</v>
      </c>
      <c r="I83" s="13">
        <v>0</v>
      </c>
    </row>
    <row r="84" spans="1:9" ht="19.5" hidden="1" customHeight="1">
      <c r="A84" s="29"/>
      <c r="B84" s="67" t="s">
        <v>127</v>
      </c>
      <c r="C84" s="81"/>
      <c r="D84" s="31"/>
      <c r="E84" s="32"/>
      <c r="F84" s="68"/>
      <c r="G84" s="68"/>
      <c r="H84" s="82">
        <f>SUM(H59:H83)</f>
        <v>3540.9013510459999</v>
      </c>
      <c r="I84" s="68"/>
    </row>
    <row r="85" spans="1:9" ht="15" hidden="1" customHeight="1">
      <c r="A85" s="29"/>
      <c r="B85" s="62" t="s">
        <v>128</v>
      </c>
      <c r="C85" s="16"/>
      <c r="D85" s="14"/>
      <c r="E85" s="57"/>
      <c r="F85" s="13">
        <v>1</v>
      </c>
      <c r="G85" s="13">
        <v>19342.2</v>
      </c>
      <c r="H85" s="79">
        <f>G85*F85/1000</f>
        <v>19.342200000000002</v>
      </c>
      <c r="I85" s="13">
        <v>0</v>
      </c>
    </row>
    <row r="86" spans="1:9" ht="15.75" customHeight="1">
      <c r="A86" s="160" t="s">
        <v>147</v>
      </c>
      <c r="B86" s="161"/>
      <c r="C86" s="161"/>
      <c r="D86" s="161"/>
      <c r="E86" s="161"/>
      <c r="F86" s="161"/>
      <c r="G86" s="161"/>
      <c r="H86" s="161"/>
      <c r="I86" s="162"/>
    </row>
    <row r="87" spans="1:9" ht="15.75" customHeight="1">
      <c r="A87" s="29">
        <v>19</v>
      </c>
      <c r="B87" s="98" t="s">
        <v>131</v>
      </c>
      <c r="C87" s="119" t="s">
        <v>57</v>
      </c>
      <c r="D87" s="141"/>
      <c r="E87" s="34">
        <v>4591.2</v>
      </c>
      <c r="F87" s="34">
        <f>SUM(E87*12)</f>
        <v>55094.399999999994</v>
      </c>
      <c r="G87" s="34">
        <v>3.38</v>
      </c>
      <c r="H87" s="79">
        <f>SUM(F87*G87/1000)</f>
        <v>186.21907199999998</v>
      </c>
      <c r="I87" s="13">
        <f>F87/12*G87</f>
        <v>15518.255999999999</v>
      </c>
    </row>
    <row r="88" spans="1:9" ht="31.5" customHeight="1">
      <c r="A88" s="29">
        <v>20</v>
      </c>
      <c r="B88" s="142" t="s">
        <v>292</v>
      </c>
      <c r="C88" s="143" t="s">
        <v>25</v>
      </c>
      <c r="D88" s="144"/>
      <c r="E88" s="145">
        <f>E87</f>
        <v>4591.2</v>
      </c>
      <c r="F88" s="127">
        <f>E88*12</f>
        <v>55094.399999999994</v>
      </c>
      <c r="G88" s="127">
        <v>3.05</v>
      </c>
      <c r="H88" s="79">
        <f>F88*G88/1000</f>
        <v>168.03791999999999</v>
      </c>
      <c r="I88" s="13">
        <f>F88/12*G88</f>
        <v>14003.159999999998</v>
      </c>
    </row>
    <row r="89" spans="1:9" ht="15.75" customHeight="1">
      <c r="A89" s="153"/>
      <c r="B89" s="36" t="s">
        <v>81</v>
      </c>
      <c r="C89" s="37"/>
      <c r="D89" s="15"/>
      <c r="E89" s="15"/>
      <c r="F89" s="15"/>
      <c r="G89" s="18"/>
      <c r="H89" s="18"/>
      <c r="I89" s="32">
        <f>I88+I87+I81+I76+I67+I63+I60+I45+I44+I43+I42+I41+I39+I38+I26+I20+I18+I17+I16+I78</f>
        <v>79813.195967833322</v>
      </c>
    </row>
    <row r="90" spans="1:9" ht="15.75" customHeight="1">
      <c r="A90" s="178" t="s">
        <v>62</v>
      </c>
      <c r="B90" s="179"/>
      <c r="C90" s="179"/>
      <c r="D90" s="179"/>
      <c r="E90" s="179"/>
      <c r="F90" s="179"/>
      <c r="G90" s="179"/>
      <c r="H90" s="179"/>
      <c r="I90" s="180"/>
    </row>
    <row r="91" spans="1:9" ht="16.5" customHeight="1">
      <c r="A91" s="29">
        <v>21</v>
      </c>
      <c r="B91" s="93" t="s">
        <v>320</v>
      </c>
      <c r="C91" s="94" t="s">
        <v>85</v>
      </c>
      <c r="D91" s="44" t="s">
        <v>323</v>
      </c>
      <c r="E91" s="34"/>
      <c r="F91" s="34">
        <f>134/3</f>
        <v>44.666666666666664</v>
      </c>
      <c r="G91" s="34">
        <v>259.58</v>
      </c>
      <c r="H91" s="95">
        <f t="shared" ref="H91:H93" si="8">G91*F91/1000</f>
        <v>11.594573333333331</v>
      </c>
      <c r="I91" s="13">
        <f>G91*1</f>
        <v>259.58</v>
      </c>
    </row>
    <row r="92" spans="1:9" ht="31.5" customHeight="1">
      <c r="A92" s="29">
        <v>22</v>
      </c>
      <c r="B92" s="93" t="s">
        <v>212</v>
      </c>
      <c r="C92" s="94" t="s">
        <v>92</v>
      </c>
      <c r="D92" s="44" t="s">
        <v>323</v>
      </c>
      <c r="E92" s="34"/>
      <c r="F92" s="34">
        <v>0.11</v>
      </c>
      <c r="G92" s="34">
        <v>644.72</v>
      </c>
      <c r="H92" s="95">
        <f t="shared" si="8"/>
        <v>7.0919200000000002E-2</v>
      </c>
      <c r="I92" s="13">
        <f>G92*1</f>
        <v>644.72</v>
      </c>
    </row>
    <row r="93" spans="1:9" ht="35.25" customHeight="1">
      <c r="A93" s="29">
        <v>23</v>
      </c>
      <c r="B93" s="93" t="s">
        <v>321</v>
      </c>
      <c r="C93" s="94" t="s">
        <v>169</v>
      </c>
      <c r="D93" s="44" t="s">
        <v>324</v>
      </c>
      <c r="E93" s="34"/>
      <c r="F93" s="34">
        <v>5</v>
      </c>
      <c r="G93" s="34">
        <v>1465</v>
      </c>
      <c r="H93" s="95">
        <f t="shared" si="8"/>
        <v>7.3250000000000002</v>
      </c>
      <c r="I93" s="13">
        <f>G93*2</f>
        <v>2930</v>
      </c>
    </row>
    <row r="94" spans="1:9" ht="33.75" customHeight="1">
      <c r="A94" s="29">
        <v>24</v>
      </c>
      <c r="B94" s="93" t="s">
        <v>322</v>
      </c>
      <c r="C94" s="94" t="s">
        <v>169</v>
      </c>
      <c r="D94" s="44" t="s">
        <v>323</v>
      </c>
      <c r="E94" s="34"/>
      <c r="F94" s="34"/>
      <c r="G94" s="34">
        <v>1367</v>
      </c>
      <c r="H94" s="95"/>
      <c r="I94" s="13">
        <f>G94*1</f>
        <v>1367</v>
      </c>
    </row>
    <row r="95" spans="1:9" ht="15.75" customHeight="1">
      <c r="A95" s="29">
        <v>25</v>
      </c>
      <c r="B95" s="93" t="s">
        <v>36</v>
      </c>
      <c r="C95" s="94" t="s">
        <v>29</v>
      </c>
      <c r="D95" s="44"/>
      <c r="E95" s="34"/>
      <c r="F95" s="34"/>
      <c r="G95" s="34">
        <v>830.69</v>
      </c>
      <c r="H95" s="95"/>
      <c r="I95" s="13">
        <f>G95*0.05</f>
        <v>41.534500000000008</v>
      </c>
    </row>
    <row r="96" spans="1:9" ht="17.25" customHeight="1">
      <c r="A96" s="29">
        <v>26</v>
      </c>
      <c r="B96" s="93" t="s">
        <v>296</v>
      </c>
      <c r="C96" s="94" t="s">
        <v>169</v>
      </c>
      <c r="D96" s="44"/>
      <c r="E96" s="34"/>
      <c r="F96" s="34"/>
      <c r="G96" s="34">
        <v>273</v>
      </c>
      <c r="H96" s="95"/>
      <c r="I96" s="13">
        <f>G96*22</f>
        <v>6006</v>
      </c>
    </row>
    <row r="97" spans="1:9" ht="17.25" customHeight="1">
      <c r="A97" s="29">
        <v>27</v>
      </c>
      <c r="B97" s="93" t="s">
        <v>83</v>
      </c>
      <c r="C97" s="156" t="s">
        <v>121</v>
      </c>
      <c r="D97" s="44"/>
      <c r="E97" s="34"/>
      <c r="F97" s="34"/>
      <c r="G97" s="117">
        <v>207.55</v>
      </c>
      <c r="H97" s="95"/>
      <c r="I97" s="13">
        <f>G97*2</f>
        <v>415.1</v>
      </c>
    </row>
    <row r="98" spans="1:9" ht="15.75" customHeight="1">
      <c r="A98" s="29"/>
      <c r="B98" s="42" t="s">
        <v>53</v>
      </c>
      <c r="C98" s="38"/>
      <c r="D98" s="46"/>
      <c r="E98" s="38">
        <v>1</v>
      </c>
      <c r="F98" s="38"/>
      <c r="G98" s="38"/>
      <c r="H98" s="38"/>
      <c r="I98" s="32">
        <f>SUM(I91:I97)</f>
        <v>11663.934500000001</v>
      </c>
    </row>
    <row r="99" spans="1:9" ht="15.75" customHeight="1">
      <c r="A99" s="29"/>
      <c r="B99" s="44" t="s">
        <v>80</v>
      </c>
      <c r="C99" s="15"/>
      <c r="D99" s="15"/>
      <c r="E99" s="39"/>
      <c r="F99" s="39"/>
      <c r="G99" s="40"/>
      <c r="H99" s="40"/>
      <c r="I99" s="17">
        <v>0</v>
      </c>
    </row>
    <row r="100" spans="1:9" ht="15.75" customHeight="1">
      <c r="A100" s="47"/>
      <c r="B100" s="43" t="s">
        <v>54</v>
      </c>
      <c r="C100" s="33"/>
      <c r="D100" s="33"/>
      <c r="E100" s="33"/>
      <c r="F100" s="33"/>
      <c r="G100" s="33"/>
      <c r="H100" s="33"/>
      <c r="I100" s="41">
        <f>I89+I98</f>
        <v>91477.130467833325</v>
      </c>
    </row>
    <row r="101" spans="1:9" ht="15.75" customHeight="1">
      <c r="A101" s="174" t="s">
        <v>327</v>
      </c>
      <c r="B101" s="174"/>
      <c r="C101" s="174"/>
      <c r="D101" s="174"/>
      <c r="E101" s="174"/>
      <c r="F101" s="174"/>
      <c r="G101" s="174"/>
      <c r="H101" s="174"/>
      <c r="I101" s="174"/>
    </row>
    <row r="102" spans="1:9" ht="15.75" customHeight="1">
      <c r="A102" s="55"/>
      <c r="B102" s="175" t="s">
        <v>328</v>
      </c>
      <c r="C102" s="175"/>
      <c r="D102" s="175"/>
      <c r="E102" s="175"/>
      <c r="F102" s="175"/>
      <c r="G102" s="175"/>
      <c r="H102" s="61"/>
      <c r="I102" s="3"/>
    </row>
    <row r="103" spans="1:9" ht="15.75" customHeight="1">
      <c r="A103" s="88"/>
      <c r="B103" s="176" t="s">
        <v>6</v>
      </c>
      <c r="C103" s="176"/>
      <c r="D103" s="176"/>
      <c r="E103" s="176"/>
      <c r="F103" s="176"/>
      <c r="G103" s="176"/>
      <c r="H103" s="24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77" t="s">
        <v>7</v>
      </c>
      <c r="B105" s="177"/>
      <c r="C105" s="177"/>
      <c r="D105" s="177"/>
      <c r="E105" s="177"/>
      <c r="F105" s="177"/>
      <c r="G105" s="177"/>
      <c r="H105" s="177"/>
      <c r="I105" s="177"/>
    </row>
    <row r="106" spans="1:9" ht="15.75" customHeight="1">
      <c r="A106" s="177" t="s">
        <v>8</v>
      </c>
      <c r="B106" s="177"/>
      <c r="C106" s="177"/>
      <c r="D106" s="177"/>
      <c r="E106" s="177"/>
      <c r="F106" s="177"/>
      <c r="G106" s="177"/>
      <c r="H106" s="177"/>
      <c r="I106" s="177"/>
    </row>
    <row r="107" spans="1:9" ht="15.75" customHeight="1">
      <c r="A107" s="169" t="s">
        <v>63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 customHeight="1">
      <c r="A108" s="11"/>
    </row>
    <row r="109" spans="1:9" ht="15.75" customHeight="1">
      <c r="A109" s="182" t="s">
        <v>9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15.75" customHeight="1">
      <c r="A110" s="4"/>
    </row>
    <row r="111" spans="1:9" ht="15.75" customHeight="1">
      <c r="B111" s="89" t="s">
        <v>10</v>
      </c>
      <c r="C111" s="183" t="s">
        <v>90</v>
      </c>
      <c r="D111" s="183"/>
      <c r="E111" s="183"/>
      <c r="F111" s="59"/>
      <c r="I111" s="87"/>
    </row>
    <row r="112" spans="1:9" ht="15.75" customHeight="1">
      <c r="A112" s="88"/>
      <c r="C112" s="176" t="s">
        <v>11</v>
      </c>
      <c r="D112" s="176"/>
      <c r="E112" s="176"/>
      <c r="F112" s="24"/>
      <c r="I112" s="86" t="s">
        <v>12</v>
      </c>
    </row>
    <row r="113" spans="1:9" ht="15.75" customHeight="1">
      <c r="A113" s="25"/>
      <c r="C113" s="12"/>
      <c r="D113" s="12"/>
      <c r="G113" s="12"/>
      <c r="H113" s="12"/>
    </row>
    <row r="114" spans="1:9" ht="15.75" customHeight="1">
      <c r="B114" s="89" t="s">
        <v>13</v>
      </c>
      <c r="C114" s="184"/>
      <c r="D114" s="184"/>
      <c r="E114" s="184"/>
      <c r="F114" s="60"/>
      <c r="I114" s="87"/>
    </row>
    <row r="115" spans="1:9" ht="15.75" customHeight="1">
      <c r="A115" s="88"/>
      <c r="C115" s="159" t="s">
        <v>11</v>
      </c>
      <c r="D115" s="159"/>
      <c r="E115" s="159"/>
      <c r="F115" s="88"/>
      <c r="I115" s="86" t="s">
        <v>12</v>
      </c>
    </row>
    <row r="116" spans="1:9" ht="15.75" customHeight="1">
      <c r="A116" s="4" t="s">
        <v>14</v>
      </c>
    </row>
    <row r="117" spans="1:9" ht="15.75" customHeight="1">
      <c r="A117" s="185" t="s">
        <v>15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45" customHeight="1">
      <c r="A118" s="181" t="s">
        <v>16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30" customHeight="1">
      <c r="A119" s="181" t="s">
        <v>17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30" customHeight="1">
      <c r="A120" s="181" t="s">
        <v>21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15" customHeight="1">
      <c r="A121" s="181" t="s">
        <v>20</v>
      </c>
      <c r="B121" s="181"/>
      <c r="C121" s="181"/>
      <c r="D121" s="181"/>
      <c r="E121" s="181"/>
      <c r="F121" s="181"/>
      <c r="G121" s="181"/>
      <c r="H121" s="181"/>
      <c r="I121" s="181"/>
    </row>
  </sheetData>
  <autoFilter ref="I12:I64"/>
  <mergeCells count="29">
    <mergeCell ref="A117:I117"/>
    <mergeCell ref="A118:I118"/>
    <mergeCell ref="A119:I119"/>
    <mergeCell ref="A120:I120"/>
    <mergeCell ref="A121:I121"/>
    <mergeCell ref="R69:U69"/>
    <mergeCell ref="C115:E115"/>
    <mergeCell ref="A90:I90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6:I86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tabSelected="1" topLeftCell="A93" workbookViewId="0">
      <selection activeCell="K8" sqref="K8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63" t="s">
        <v>157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132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335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91"/>
      <c r="C6" s="91"/>
      <c r="D6" s="91"/>
      <c r="E6" s="91"/>
      <c r="F6" s="91"/>
      <c r="G6" s="91"/>
      <c r="H6" s="91"/>
      <c r="I6" s="30">
        <v>43830</v>
      </c>
      <c r="J6" s="2"/>
      <c r="K6" s="2"/>
      <c r="L6" s="2"/>
      <c r="M6" s="2"/>
    </row>
    <row r="7" spans="1:13" ht="15.75" customHeight="1">
      <c r="B7" s="89"/>
      <c r="C7" s="89"/>
      <c r="D7" s="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289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"/>
      <c r="K15" s="8"/>
      <c r="L15" s="8"/>
      <c r="M15" s="8"/>
    </row>
    <row r="16" spans="1:13" ht="15.75" customHeight="1">
      <c r="A16" s="29">
        <v>1</v>
      </c>
      <c r="B16" s="62" t="s">
        <v>87</v>
      </c>
      <c r="C16" s="63" t="s">
        <v>103</v>
      </c>
      <c r="D16" s="62" t="s">
        <v>237</v>
      </c>
      <c r="E16" s="128">
        <v>127.9</v>
      </c>
      <c r="F16" s="129">
        <f>SUM(E16*156/100)</f>
        <v>199.524</v>
      </c>
      <c r="G16" s="129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93</v>
      </c>
      <c r="C17" s="63" t="s">
        <v>103</v>
      </c>
      <c r="D17" s="62" t="s">
        <v>238</v>
      </c>
      <c r="E17" s="128">
        <v>511.6</v>
      </c>
      <c r="F17" s="129">
        <f>SUM(E17*104/100)</f>
        <v>532.06399999999996</v>
      </c>
      <c r="G17" s="129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94</v>
      </c>
      <c r="C18" s="63" t="s">
        <v>103</v>
      </c>
      <c r="D18" s="62" t="s">
        <v>239</v>
      </c>
      <c r="E18" s="128">
        <f>SUM(E16+E17)</f>
        <v>639.5</v>
      </c>
      <c r="F18" s="129">
        <f>SUM(E18*18/100)</f>
        <v>115.11</v>
      </c>
      <c r="G18" s="129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104</v>
      </c>
      <c r="C19" s="63" t="s">
        <v>105</v>
      </c>
      <c r="D19" s="62" t="s">
        <v>106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21" t="s">
        <v>97</v>
      </c>
      <c r="C20" s="122" t="s">
        <v>103</v>
      </c>
      <c r="D20" s="121" t="s">
        <v>216</v>
      </c>
      <c r="E20" s="128">
        <v>58.4</v>
      </c>
      <c r="F20" s="129">
        <f>SUM(E20*12/100)</f>
        <v>7.0079999999999991</v>
      </c>
      <c r="G20" s="129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21" t="s">
        <v>98</v>
      </c>
      <c r="C21" s="122" t="s">
        <v>103</v>
      </c>
      <c r="D21" s="121" t="s">
        <v>240</v>
      </c>
      <c r="E21" s="128">
        <v>9.08</v>
      </c>
      <c r="F21" s="129">
        <f>SUM(E21*12/100)</f>
        <v>1.0896000000000001</v>
      </c>
      <c r="G21" s="129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107</v>
      </c>
      <c r="C22" s="63" t="s">
        <v>55</v>
      </c>
      <c r="D22" s="62" t="s">
        <v>106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108</v>
      </c>
      <c r="C23" s="63" t="s">
        <v>55</v>
      </c>
      <c r="D23" s="62" t="s">
        <v>106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100</v>
      </c>
      <c r="C24" s="63" t="s">
        <v>55</v>
      </c>
      <c r="D24" s="62" t="s">
        <v>106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101</v>
      </c>
      <c r="C25" s="63" t="s">
        <v>55</v>
      </c>
      <c r="D25" s="62" t="s">
        <v>106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21" t="s">
        <v>236</v>
      </c>
      <c r="C26" s="122" t="s">
        <v>25</v>
      </c>
      <c r="D26" s="121" t="s">
        <v>241</v>
      </c>
      <c r="E26" s="133">
        <v>6.28</v>
      </c>
      <c r="F26" s="129">
        <f>E26*258</f>
        <v>1620.24</v>
      </c>
      <c r="G26" s="129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hidden="1" customHeight="1">
      <c r="A27" s="29">
        <v>6</v>
      </c>
      <c r="B27" s="70" t="s">
        <v>23</v>
      </c>
      <c r="C27" s="63" t="s">
        <v>24</v>
      </c>
      <c r="D27" s="70"/>
      <c r="E27" s="48">
        <v>4591.2</v>
      </c>
      <c r="F27" s="64">
        <f>SUM(E27*12)</f>
        <v>55094.399999999994</v>
      </c>
      <c r="G27" s="64">
        <v>5.85</v>
      </c>
      <c r="H27" s="65">
        <f>SUM(F27*G27/1000)</f>
        <v>322.30223999999993</v>
      </c>
      <c r="I27" s="13">
        <f>F27/12*G27</f>
        <v>26858.519999999997</v>
      </c>
      <c r="J27" s="23"/>
    </row>
    <row r="28" spans="1:13" ht="15.75" customHeight="1">
      <c r="A28" s="170" t="s">
        <v>86</v>
      </c>
      <c r="B28" s="170"/>
      <c r="C28" s="170"/>
      <c r="D28" s="170"/>
      <c r="E28" s="170"/>
      <c r="F28" s="170"/>
      <c r="G28" s="170"/>
      <c r="H28" s="170"/>
      <c r="I28" s="170"/>
      <c r="J28" s="22"/>
      <c r="K28" s="8"/>
      <c r="L28" s="8"/>
      <c r="M28" s="8"/>
    </row>
    <row r="29" spans="1:13" ht="15.75" hidden="1" customHeight="1">
      <c r="A29" s="29"/>
      <c r="B29" s="84" t="s">
        <v>28</v>
      </c>
      <c r="C29" s="63"/>
      <c r="D29" s="62"/>
      <c r="E29" s="48"/>
      <c r="F29" s="64"/>
      <c r="G29" s="64"/>
      <c r="H29" s="65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2" t="s">
        <v>109</v>
      </c>
      <c r="C30" s="63" t="s">
        <v>110</v>
      </c>
      <c r="D30" s="62" t="s">
        <v>111</v>
      </c>
      <c r="E30" s="64">
        <v>844.95</v>
      </c>
      <c r="F30" s="64">
        <f>SUM(E30*52/1000)</f>
        <v>43.937400000000004</v>
      </c>
      <c r="G30" s="64">
        <v>166.65</v>
      </c>
      <c r="H30" s="65">
        <f>SUM(F30*G30/1000)</f>
        <v>7.3221677100000004</v>
      </c>
      <c r="I30" s="13">
        <f>F30/6*G30</f>
        <v>1220.3612850000002</v>
      </c>
      <c r="J30" s="22"/>
      <c r="K30" s="8"/>
      <c r="L30" s="8"/>
      <c r="M30" s="8"/>
    </row>
    <row r="31" spans="1:13" ht="31.5" hidden="1" customHeight="1">
      <c r="A31" s="29">
        <v>8</v>
      </c>
      <c r="B31" s="62" t="s">
        <v>142</v>
      </c>
      <c r="C31" s="63" t="s">
        <v>110</v>
      </c>
      <c r="D31" s="62" t="s">
        <v>112</v>
      </c>
      <c r="E31" s="64">
        <v>260.13</v>
      </c>
      <c r="F31" s="64">
        <f>SUM(E31*78/1000)</f>
        <v>20.290140000000001</v>
      </c>
      <c r="G31" s="64">
        <v>276.48</v>
      </c>
      <c r="H31" s="65">
        <f t="shared" ref="H31:H36" si="1">SUM(F31*G31/1000)</f>
        <v>5.6098179072000001</v>
      </c>
      <c r="I31" s="13">
        <f t="shared" ref="I31:I34" si="2">F31/6*G31</f>
        <v>934.96965120000016</v>
      </c>
      <c r="J31" s="22"/>
      <c r="K31" s="8"/>
      <c r="L31" s="8"/>
      <c r="M31" s="8"/>
    </row>
    <row r="32" spans="1:13" ht="15.75" hidden="1" customHeight="1">
      <c r="A32" s="29"/>
      <c r="B32" s="62" t="s">
        <v>27</v>
      </c>
      <c r="C32" s="63" t="s">
        <v>110</v>
      </c>
      <c r="D32" s="62" t="s">
        <v>56</v>
      </c>
      <c r="E32" s="64">
        <v>844.95</v>
      </c>
      <c r="F32" s="64">
        <f>SUM(E32/1000)</f>
        <v>0.84495000000000009</v>
      </c>
      <c r="G32" s="64">
        <v>3228.73</v>
      </c>
      <c r="H32" s="65">
        <f t="shared" si="1"/>
        <v>2.7281154135000003</v>
      </c>
      <c r="I32" s="13">
        <f>F32*G32</f>
        <v>2728.1154135000002</v>
      </c>
      <c r="J32" s="22"/>
      <c r="K32" s="8"/>
      <c r="L32" s="8"/>
      <c r="M32" s="8"/>
    </row>
    <row r="33" spans="1:14" ht="15.75" hidden="1" customHeight="1">
      <c r="A33" s="29">
        <v>9</v>
      </c>
      <c r="B33" s="62" t="s">
        <v>140</v>
      </c>
      <c r="C33" s="63" t="s">
        <v>41</v>
      </c>
      <c r="D33" s="62" t="s">
        <v>65</v>
      </c>
      <c r="E33" s="64">
        <v>8</v>
      </c>
      <c r="F33" s="64">
        <v>12.4</v>
      </c>
      <c r="G33" s="64">
        <v>1391.86</v>
      </c>
      <c r="H33" s="65">
        <v>17.259</v>
      </c>
      <c r="I33" s="13">
        <f t="shared" si="2"/>
        <v>2876.5106666666666</v>
      </c>
      <c r="J33" s="22"/>
      <c r="K33" s="8"/>
      <c r="L33" s="8"/>
      <c r="M33" s="8"/>
    </row>
    <row r="34" spans="1:14" ht="15.75" hidden="1" customHeight="1">
      <c r="A34" s="29">
        <v>10</v>
      </c>
      <c r="B34" s="62" t="s">
        <v>113</v>
      </c>
      <c r="C34" s="63" t="s">
        <v>30</v>
      </c>
      <c r="D34" s="62" t="s">
        <v>65</v>
      </c>
      <c r="E34" s="69">
        <v>0.33333333333333331</v>
      </c>
      <c r="F34" s="64">
        <f>155/3</f>
        <v>51.666666666666664</v>
      </c>
      <c r="G34" s="64">
        <v>60.6</v>
      </c>
      <c r="H34" s="65">
        <f>SUM(G34*155/3/1000)</f>
        <v>3.1309999999999998</v>
      </c>
      <c r="I34" s="13">
        <f t="shared" si="2"/>
        <v>521.83333333333337</v>
      </c>
      <c r="J34" s="22"/>
      <c r="K34" s="8"/>
    </row>
    <row r="35" spans="1:14" ht="15.75" hidden="1" customHeight="1">
      <c r="A35" s="29"/>
      <c r="B35" s="62" t="s">
        <v>66</v>
      </c>
      <c r="C35" s="63" t="s">
        <v>33</v>
      </c>
      <c r="D35" s="62" t="s">
        <v>68</v>
      </c>
      <c r="E35" s="48"/>
      <c r="F35" s="64">
        <v>3</v>
      </c>
      <c r="G35" s="64">
        <v>204.32</v>
      </c>
      <c r="H35" s="65">
        <f t="shared" si="1"/>
        <v>0.61296000000000006</v>
      </c>
      <c r="I35" s="13">
        <v>0</v>
      </c>
      <c r="J35" s="23"/>
    </row>
    <row r="36" spans="1:14" ht="15.75" hidden="1" customHeight="1">
      <c r="A36" s="29"/>
      <c r="B36" s="62" t="s">
        <v>67</v>
      </c>
      <c r="C36" s="63" t="s">
        <v>32</v>
      </c>
      <c r="D36" s="62" t="s">
        <v>68</v>
      </c>
      <c r="E36" s="48"/>
      <c r="F36" s="64">
        <v>2</v>
      </c>
      <c r="G36" s="64">
        <v>1214.73</v>
      </c>
      <c r="H36" s="65">
        <f t="shared" si="1"/>
        <v>2.4294600000000002</v>
      </c>
      <c r="I36" s="13">
        <v>0</v>
      </c>
      <c r="J36" s="23"/>
    </row>
    <row r="37" spans="1:14" ht="15.75" customHeight="1">
      <c r="A37" s="29"/>
      <c r="B37" s="84" t="s">
        <v>5</v>
      </c>
      <c r="C37" s="63"/>
      <c r="D37" s="62"/>
      <c r="E37" s="48"/>
      <c r="F37" s="64"/>
      <c r="G37" s="64"/>
      <c r="H37" s="65" t="s">
        <v>129</v>
      </c>
      <c r="I37" s="13"/>
      <c r="J37" s="23"/>
    </row>
    <row r="38" spans="1:14" ht="15.75" customHeight="1">
      <c r="A38" s="29">
        <v>7</v>
      </c>
      <c r="B38" s="149" t="s">
        <v>26</v>
      </c>
      <c r="C38" s="122" t="s">
        <v>32</v>
      </c>
      <c r="D38" s="121"/>
      <c r="E38" s="128"/>
      <c r="F38" s="129">
        <v>6</v>
      </c>
      <c r="G38" s="129">
        <v>1855</v>
      </c>
      <c r="H38" s="65">
        <f t="shared" ref="H38:H44" si="3">SUM(F38*G38/1000)</f>
        <v>11.13</v>
      </c>
      <c r="I38" s="13">
        <f>G38*1.7</f>
        <v>3153.5</v>
      </c>
      <c r="J38" s="23"/>
    </row>
    <row r="39" spans="1:14" ht="15.75" customHeight="1">
      <c r="A39" s="29">
        <v>8</v>
      </c>
      <c r="B39" s="149" t="s">
        <v>317</v>
      </c>
      <c r="C39" s="150" t="s">
        <v>29</v>
      </c>
      <c r="D39" s="149" t="s">
        <v>242</v>
      </c>
      <c r="E39" s="152">
        <v>254.8</v>
      </c>
      <c r="F39" s="152">
        <f>SUM(E39*30/1000)</f>
        <v>7.6440000000000001</v>
      </c>
      <c r="G39" s="152">
        <v>3014.36</v>
      </c>
      <c r="H39" s="65">
        <f t="shared" si="3"/>
        <v>23.041767840000002</v>
      </c>
      <c r="I39" s="13">
        <f>F39/6*G39</f>
        <v>3840.2946400000001</v>
      </c>
      <c r="J39" s="23"/>
      <c r="L39" s="19"/>
      <c r="M39" s="20"/>
      <c r="N39" s="21"/>
    </row>
    <row r="40" spans="1:14" ht="15.75" hidden="1" customHeight="1">
      <c r="A40" s="29"/>
      <c r="B40" s="121" t="s">
        <v>95</v>
      </c>
      <c r="C40" s="122" t="s">
        <v>115</v>
      </c>
      <c r="D40" s="121" t="s">
        <v>176</v>
      </c>
      <c r="E40" s="128"/>
      <c r="F40" s="152">
        <v>26</v>
      </c>
      <c r="G40" s="129">
        <v>330</v>
      </c>
      <c r="H40" s="65">
        <f t="shared" si="3"/>
        <v>8.58</v>
      </c>
      <c r="I40" s="13">
        <v>0</v>
      </c>
      <c r="J40" s="23"/>
      <c r="L40" s="19"/>
      <c r="M40" s="20"/>
      <c r="N40" s="21"/>
    </row>
    <row r="41" spans="1:14" ht="15.75" customHeight="1">
      <c r="A41" s="29">
        <v>9</v>
      </c>
      <c r="B41" s="121" t="s">
        <v>69</v>
      </c>
      <c r="C41" s="122" t="s">
        <v>29</v>
      </c>
      <c r="D41" s="121" t="s">
        <v>243</v>
      </c>
      <c r="E41" s="129">
        <v>260.13</v>
      </c>
      <c r="F41" s="152">
        <f>SUM(E41*155/1000)</f>
        <v>40.320149999999998</v>
      </c>
      <c r="G41" s="129">
        <v>502.82</v>
      </c>
      <c r="H41" s="65">
        <f t="shared" si="3"/>
        <v>20.273777823</v>
      </c>
      <c r="I41" s="13">
        <f>F41/6*G41</f>
        <v>3378.9629704999998</v>
      </c>
      <c r="J41" s="23"/>
      <c r="L41" s="19"/>
      <c r="M41" s="20"/>
      <c r="N41" s="21"/>
    </row>
    <row r="42" spans="1:14" ht="47.25" customHeight="1">
      <c r="A42" s="29">
        <v>10</v>
      </c>
      <c r="B42" s="121" t="s">
        <v>84</v>
      </c>
      <c r="C42" s="122" t="s">
        <v>110</v>
      </c>
      <c r="D42" s="121" t="s">
        <v>290</v>
      </c>
      <c r="E42" s="129">
        <v>132.72999999999999</v>
      </c>
      <c r="F42" s="152">
        <f>SUM(E42*24/1000)</f>
        <v>3.1855199999999995</v>
      </c>
      <c r="G42" s="129">
        <v>8319.2999999999993</v>
      </c>
      <c r="H42" s="65">
        <f t="shared" si="3"/>
        <v>26.501296535999995</v>
      </c>
      <c r="I42" s="13">
        <f>F42/6*G42</f>
        <v>4416.8827559999991</v>
      </c>
      <c r="J42" s="23"/>
      <c r="L42" s="19"/>
      <c r="M42" s="20"/>
      <c r="N42" s="21"/>
    </row>
    <row r="43" spans="1:14" ht="15.75" customHeight="1">
      <c r="A43" s="29">
        <v>11</v>
      </c>
      <c r="B43" s="121" t="s">
        <v>118</v>
      </c>
      <c r="C43" s="122" t="s">
        <v>110</v>
      </c>
      <c r="D43" s="121" t="s">
        <v>239</v>
      </c>
      <c r="E43" s="129">
        <v>254.8</v>
      </c>
      <c r="F43" s="152">
        <f>SUM(E43*15/1000)</f>
        <v>3.8220000000000001</v>
      </c>
      <c r="G43" s="129">
        <v>614.55999999999995</v>
      </c>
      <c r="H43" s="65">
        <f t="shared" si="3"/>
        <v>2.3488483200000001</v>
      </c>
      <c r="I43" s="13">
        <f>F43/7.5*G43</f>
        <v>313.179776</v>
      </c>
      <c r="J43" s="23"/>
      <c r="L43" s="19"/>
      <c r="M43" s="20"/>
      <c r="N43" s="21"/>
    </row>
    <row r="44" spans="1:14" ht="15.75" customHeight="1">
      <c r="A44" s="29">
        <v>12</v>
      </c>
      <c r="B44" s="149" t="s">
        <v>71</v>
      </c>
      <c r="C44" s="150" t="s">
        <v>33</v>
      </c>
      <c r="D44" s="149"/>
      <c r="E44" s="151"/>
      <c r="F44" s="152">
        <v>0.9</v>
      </c>
      <c r="G44" s="152">
        <v>800</v>
      </c>
      <c r="H44" s="65">
        <f t="shared" si="3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35.25" customHeight="1">
      <c r="A45" s="147">
        <v>13</v>
      </c>
      <c r="B45" s="149" t="s">
        <v>312</v>
      </c>
      <c r="C45" s="150" t="s">
        <v>110</v>
      </c>
      <c r="D45" s="149" t="s">
        <v>318</v>
      </c>
      <c r="E45" s="151">
        <v>3.6</v>
      </c>
      <c r="F45" s="152">
        <f>E45*12/1000</f>
        <v>4.3200000000000002E-2</v>
      </c>
      <c r="G45" s="152">
        <v>19757.060000000001</v>
      </c>
      <c r="H45" s="56"/>
      <c r="I45" s="148">
        <f>G45*F45/6</f>
        <v>142.25083200000003</v>
      </c>
      <c r="J45" s="23"/>
      <c r="L45" s="19"/>
      <c r="M45" s="20"/>
      <c r="N45" s="21"/>
    </row>
    <row r="46" spans="1:14" ht="15.75" customHeight="1">
      <c r="A46" s="171" t="s">
        <v>136</v>
      </c>
      <c r="B46" s="172"/>
      <c r="C46" s="172"/>
      <c r="D46" s="172"/>
      <c r="E46" s="172"/>
      <c r="F46" s="172"/>
      <c r="G46" s="172"/>
      <c r="H46" s="172"/>
      <c r="I46" s="173"/>
      <c r="J46" s="23"/>
      <c r="L46" s="19"/>
      <c r="M46" s="20"/>
      <c r="N46" s="21"/>
    </row>
    <row r="47" spans="1:14" ht="15.75" hidden="1" customHeight="1">
      <c r="A47" s="29"/>
      <c r="B47" s="62" t="s">
        <v>133</v>
      </c>
      <c r="C47" s="63" t="s">
        <v>110</v>
      </c>
      <c r="D47" s="62" t="s">
        <v>43</v>
      </c>
      <c r="E47" s="48">
        <v>1795.9</v>
      </c>
      <c r="F47" s="64">
        <f>SUM(E47*2/1000)</f>
        <v>3.5918000000000001</v>
      </c>
      <c r="G47" s="13">
        <v>865.61</v>
      </c>
      <c r="H47" s="65">
        <f t="shared" ref="H47:H56" si="4">SUM(F47*G47/1000)</f>
        <v>3.1090979980000002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36</v>
      </c>
      <c r="C48" s="63" t="s">
        <v>110</v>
      </c>
      <c r="D48" s="62" t="s">
        <v>43</v>
      </c>
      <c r="E48" s="48">
        <v>104</v>
      </c>
      <c r="F48" s="64">
        <f>SUM(E48*2/1000)</f>
        <v>0.20799999999999999</v>
      </c>
      <c r="G48" s="13">
        <v>619.46</v>
      </c>
      <c r="H48" s="65">
        <f t="shared" si="4"/>
        <v>0.12884767999999999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37</v>
      </c>
      <c r="C49" s="63" t="s">
        <v>110</v>
      </c>
      <c r="D49" s="62" t="s">
        <v>43</v>
      </c>
      <c r="E49" s="48">
        <v>1996.87</v>
      </c>
      <c r="F49" s="64">
        <f>SUM(E49*2/1000)</f>
        <v>3.9937399999999998</v>
      </c>
      <c r="G49" s="13">
        <v>619.46</v>
      </c>
      <c r="H49" s="65">
        <f t="shared" si="4"/>
        <v>2.4739621804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2" t="s">
        <v>38</v>
      </c>
      <c r="C50" s="63" t="s">
        <v>110</v>
      </c>
      <c r="D50" s="62" t="s">
        <v>43</v>
      </c>
      <c r="E50" s="48">
        <v>2630.35</v>
      </c>
      <c r="F50" s="64">
        <f>SUM(E50*2/1000)</f>
        <v>5.2606999999999999</v>
      </c>
      <c r="G50" s="13">
        <v>648.64</v>
      </c>
      <c r="H50" s="65">
        <f t="shared" si="4"/>
        <v>3.4123004479999999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2" t="s">
        <v>34</v>
      </c>
      <c r="C51" s="63" t="s">
        <v>35</v>
      </c>
      <c r="D51" s="62" t="s">
        <v>43</v>
      </c>
      <c r="E51" s="48">
        <v>131.47</v>
      </c>
      <c r="F51" s="64">
        <f>SUM(E51*2/100)</f>
        <v>2.6294</v>
      </c>
      <c r="G51" s="13">
        <v>77.84</v>
      </c>
      <c r="H51" s="65">
        <f t="shared" si="4"/>
        <v>0.20467249599999998</v>
      </c>
      <c r="I51" s="13">
        <v>0</v>
      </c>
      <c r="J51" s="23"/>
      <c r="L51" s="19"/>
      <c r="M51" s="20"/>
      <c r="N51" s="21"/>
    </row>
    <row r="52" spans="1:22" ht="15.75" customHeight="1">
      <c r="A52" s="29">
        <v>14</v>
      </c>
      <c r="B52" s="62" t="s">
        <v>58</v>
      </c>
      <c r="C52" s="63" t="s">
        <v>110</v>
      </c>
      <c r="D52" s="62" t="s">
        <v>240</v>
      </c>
      <c r="E52" s="48">
        <v>2872.4</v>
      </c>
      <c r="F52" s="64">
        <f>SUM(E52*5/1000)</f>
        <v>14.362</v>
      </c>
      <c r="G52" s="117">
        <v>1739.68</v>
      </c>
      <c r="H52" s="65">
        <f t="shared" si="4"/>
        <v>24.985284160000003</v>
      </c>
      <c r="I52" s="13">
        <f>F52/5*G52</f>
        <v>4997.0568320000002</v>
      </c>
      <c r="J52" s="23"/>
      <c r="L52" s="19"/>
      <c r="M52" s="20"/>
      <c r="N52" s="21"/>
    </row>
    <row r="53" spans="1:22" ht="31.5" hidden="1" customHeight="1">
      <c r="A53" s="29">
        <v>11</v>
      </c>
      <c r="B53" s="62" t="s">
        <v>119</v>
      </c>
      <c r="C53" s="63" t="s">
        <v>110</v>
      </c>
      <c r="D53" s="62" t="s">
        <v>43</v>
      </c>
      <c r="E53" s="48">
        <v>2872.4</v>
      </c>
      <c r="F53" s="64">
        <f>SUM(E53*2/1000)</f>
        <v>5.7448000000000006</v>
      </c>
      <c r="G53" s="13">
        <v>1297.28</v>
      </c>
      <c r="H53" s="65">
        <f t="shared" si="4"/>
        <v>7.4526141440000009</v>
      </c>
      <c r="I53" s="13">
        <f>F53/2*G53</f>
        <v>3726.3070720000005</v>
      </c>
      <c r="J53" s="23"/>
      <c r="L53" s="19"/>
      <c r="M53" s="20"/>
      <c r="N53" s="21"/>
    </row>
    <row r="54" spans="1:22" ht="31.5" hidden="1" customHeight="1">
      <c r="A54" s="29">
        <v>12</v>
      </c>
      <c r="B54" s="62" t="s">
        <v>120</v>
      </c>
      <c r="C54" s="63" t="s">
        <v>39</v>
      </c>
      <c r="D54" s="62" t="s">
        <v>43</v>
      </c>
      <c r="E54" s="48">
        <v>40</v>
      </c>
      <c r="F54" s="64">
        <f>SUM(E54*2/100)</f>
        <v>0.8</v>
      </c>
      <c r="G54" s="13">
        <v>2918.89</v>
      </c>
      <c r="H54" s="65">
        <f t="shared" si="4"/>
        <v>2.3351120000000001</v>
      </c>
      <c r="I54" s="13">
        <f t="shared" ref="I54:I55" si="5">F54/2*G54</f>
        <v>1167.556</v>
      </c>
      <c r="J54" s="23"/>
      <c r="L54" s="19"/>
      <c r="M54" s="20"/>
      <c r="N54" s="21"/>
    </row>
    <row r="55" spans="1:22" ht="15.75" hidden="1" customHeight="1">
      <c r="A55" s="29">
        <v>13</v>
      </c>
      <c r="B55" s="62" t="s">
        <v>40</v>
      </c>
      <c r="C55" s="63" t="s">
        <v>41</v>
      </c>
      <c r="D55" s="62" t="s">
        <v>43</v>
      </c>
      <c r="E55" s="48">
        <v>1</v>
      </c>
      <c r="F55" s="64">
        <v>0.02</v>
      </c>
      <c r="G55" s="13">
        <v>6042.12</v>
      </c>
      <c r="H55" s="65">
        <f t="shared" si="4"/>
        <v>0.1208424</v>
      </c>
      <c r="I55" s="13">
        <f t="shared" si="5"/>
        <v>60.421199999999999</v>
      </c>
      <c r="J55" s="23"/>
      <c r="L55" s="19"/>
      <c r="M55" s="20"/>
      <c r="N55" s="21"/>
    </row>
    <row r="56" spans="1:22" ht="15.75" hidden="1" customHeight="1">
      <c r="A56" s="29">
        <v>14</v>
      </c>
      <c r="B56" s="62" t="s">
        <v>42</v>
      </c>
      <c r="C56" s="63" t="s">
        <v>30</v>
      </c>
      <c r="D56" s="62" t="s">
        <v>72</v>
      </c>
      <c r="E56" s="48">
        <v>160</v>
      </c>
      <c r="F56" s="64">
        <f>SUM(E56)*3</f>
        <v>480</v>
      </c>
      <c r="G56" s="13">
        <v>70.209999999999994</v>
      </c>
      <c r="H56" s="65">
        <f t="shared" si="4"/>
        <v>33.700799999999994</v>
      </c>
      <c r="I56" s="13">
        <f>E56*G56</f>
        <v>11233.599999999999</v>
      </c>
      <c r="J56" s="23"/>
      <c r="L56" s="19"/>
      <c r="M56" s="20"/>
      <c r="N56" s="21"/>
    </row>
    <row r="57" spans="1:22" ht="15.75" customHeight="1">
      <c r="A57" s="171" t="s">
        <v>137</v>
      </c>
      <c r="B57" s="172"/>
      <c r="C57" s="172"/>
      <c r="D57" s="172"/>
      <c r="E57" s="172"/>
      <c r="F57" s="172"/>
      <c r="G57" s="172"/>
      <c r="H57" s="172"/>
      <c r="I57" s="173"/>
      <c r="J57" s="23"/>
      <c r="L57" s="19"/>
      <c r="M57" s="20"/>
      <c r="N57" s="21"/>
    </row>
    <row r="58" spans="1:22" ht="15.75" customHeight="1">
      <c r="A58" s="29"/>
      <c r="B58" s="84" t="s">
        <v>44</v>
      </c>
      <c r="C58" s="63"/>
      <c r="D58" s="62"/>
      <c r="E58" s="48"/>
      <c r="F58" s="64"/>
      <c r="G58" s="64"/>
      <c r="H58" s="65"/>
      <c r="I58" s="13"/>
      <c r="J58" s="23"/>
      <c r="L58" s="19"/>
      <c r="M58" s="20"/>
      <c r="N58" s="21"/>
    </row>
    <row r="59" spans="1:22" ht="31.5" customHeight="1">
      <c r="A59" s="29">
        <v>15</v>
      </c>
      <c r="B59" s="62" t="s">
        <v>122</v>
      </c>
      <c r="C59" s="63" t="s">
        <v>103</v>
      </c>
      <c r="D59" s="62"/>
      <c r="E59" s="48">
        <v>239.59</v>
      </c>
      <c r="F59" s="64">
        <f>E59*6/100</f>
        <v>14.375399999999999</v>
      </c>
      <c r="G59" s="157">
        <v>2218.11</v>
      </c>
      <c r="H59" s="65">
        <f>F59*G59/1000</f>
        <v>31.886218494000001</v>
      </c>
      <c r="I59" s="13">
        <f>G59*0.6</f>
        <v>1330.866</v>
      </c>
      <c r="J59" s="23"/>
      <c r="L59" s="19"/>
      <c r="M59" s="20"/>
      <c r="N59" s="21"/>
    </row>
    <row r="60" spans="1:22" ht="16.5" customHeight="1">
      <c r="A60" s="29">
        <v>16</v>
      </c>
      <c r="B60" s="100" t="s">
        <v>88</v>
      </c>
      <c r="C60" s="101" t="s">
        <v>163</v>
      </c>
      <c r="D60" s="73"/>
      <c r="E60" s="74"/>
      <c r="F60" s="76"/>
      <c r="G60" s="109">
        <v>1730</v>
      </c>
      <c r="H60" s="78"/>
      <c r="I60" s="13">
        <f>G60*2.5</f>
        <v>4325</v>
      </c>
      <c r="J60" s="23"/>
      <c r="L60" s="19"/>
      <c r="M60" s="20"/>
      <c r="N60" s="21"/>
    </row>
    <row r="61" spans="1:22" ht="15.75" customHeight="1">
      <c r="A61" s="29"/>
      <c r="B61" s="85" t="s">
        <v>45</v>
      </c>
      <c r="C61" s="72"/>
      <c r="D61" s="73"/>
      <c r="E61" s="74"/>
      <c r="F61" s="76"/>
      <c r="G61" s="13"/>
      <c r="H61" s="78"/>
      <c r="I61" s="13"/>
      <c r="J61" s="23"/>
      <c r="L61" s="19"/>
      <c r="M61" s="20"/>
      <c r="N61" s="21"/>
    </row>
    <row r="62" spans="1:22" ht="15.75" hidden="1" customHeight="1">
      <c r="A62" s="29"/>
      <c r="B62" s="73" t="s">
        <v>46</v>
      </c>
      <c r="C62" s="72" t="s">
        <v>55</v>
      </c>
      <c r="D62" s="73" t="s">
        <v>56</v>
      </c>
      <c r="E62" s="74">
        <v>2686</v>
      </c>
      <c r="F62" s="76">
        <f>E62/100</f>
        <v>26.86</v>
      </c>
      <c r="G62" s="13">
        <v>848.37</v>
      </c>
      <c r="H62" s="78">
        <f>G62*F62/1000</f>
        <v>22.787218199999998</v>
      </c>
      <c r="I62" s="13">
        <v>0</v>
      </c>
      <c r="J62" s="23"/>
      <c r="L62" s="19"/>
    </row>
    <row r="63" spans="1:22" ht="15.75" customHeight="1">
      <c r="A63" s="29">
        <v>17</v>
      </c>
      <c r="B63" s="73" t="s">
        <v>96</v>
      </c>
      <c r="C63" s="72" t="s">
        <v>25</v>
      </c>
      <c r="D63" s="73" t="s">
        <v>216</v>
      </c>
      <c r="E63" s="74">
        <v>343</v>
      </c>
      <c r="F63" s="76">
        <v>2400</v>
      </c>
      <c r="G63" s="13">
        <v>1.4</v>
      </c>
      <c r="H63" s="78">
        <f>F63*G63</f>
        <v>3360</v>
      </c>
      <c r="I63" s="13">
        <f>F63/12*G63</f>
        <v>280</v>
      </c>
    </row>
    <row r="64" spans="1:22" ht="15.75" hidden="1" customHeight="1">
      <c r="A64" s="29"/>
      <c r="B64" s="85" t="s">
        <v>47</v>
      </c>
      <c r="C64" s="72"/>
      <c r="D64" s="73"/>
      <c r="E64" s="74"/>
      <c r="F64" s="75"/>
      <c r="G64" s="75"/>
      <c r="H64" s="76" t="s">
        <v>129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29">
        <v>16</v>
      </c>
      <c r="B65" s="14" t="s">
        <v>48</v>
      </c>
      <c r="C65" s="16" t="s">
        <v>121</v>
      </c>
      <c r="D65" s="73" t="s">
        <v>68</v>
      </c>
      <c r="E65" s="18">
        <v>15</v>
      </c>
      <c r="F65" s="64">
        <v>15</v>
      </c>
      <c r="G65" s="13">
        <v>237.74</v>
      </c>
      <c r="H65" s="79">
        <f t="shared" ref="H65:H81" si="6">SUM(F65*G65/1000)</f>
        <v>3.5661000000000005</v>
      </c>
      <c r="I65" s="13">
        <f>G65*2</f>
        <v>475.48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/>
      <c r="B66" s="14" t="s">
        <v>49</v>
      </c>
      <c r="C66" s="16" t="s">
        <v>121</v>
      </c>
      <c r="D66" s="73" t="s">
        <v>68</v>
      </c>
      <c r="E66" s="18">
        <v>5</v>
      </c>
      <c r="F66" s="64">
        <v>5</v>
      </c>
      <c r="G66" s="13">
        <v>81.510000000000005</v>
      </c>
      <c r="H66" s="79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50</v>
      </c>
      <c r="C67" s="16" t="s">
        <v>123</v>
      </c>
      <c r="D67" s="14" t="s">
        <v>56</v>
      </c>
      <c r="E67" s="48">
        <v>24123</v>
      </c>
      <c r="F67" s="13">
        <f>SUM(E67/100)</f>
        <v>241.23</v>
      </c>
      <c r="G67" s="13">
        <v>226.79</v>
      </c>
      <c r="H67" s="79">
        <f t="shared" si="6"/>
        <v>54.708551699999994</v>
      </c>
      <c r="I67" s="13">
        <f>F67*G67</f>
        <v>54708.551699999996</v>
      </c>
      <c r="J67" s="5"/>
      <c r="K67" s="5"/>
      <c r="L67" s="5"/>
      <c r="M67" s="5"/>
      <c r="N67" s="5"/>
      <c r="O67" s="5"/>
      <c r="P67" s="5"/>
      <c r="Q67" s="5"/>
      <c r="R67" s="159"/>
      <c r="S67" s="159"/>
      <c r="T67" s="159"/>
      <c r="U67" s="159"/>
    </row>
    <row r="68" spans="1:21" ht="15.75" hidden="1" customHeight="1">
      <c r="A68" s="29"/>
      <c r="B68" s="14" t="s">
        <v>51</v>
      </c>
      <c r="C68" s="16" t="s">
        <v>124</v>
      </c>
      <c r="D68" s="14"/>
      <c r="E68" s="48">
        <v>24123</v>
      </c>
      <c r="F68" s="13">
        <f>SUM(E68/1000)</f>
        <v>24.123000000000001</v>
      </c>
      <c r="G68" s="13">
        <v>176.61</v>
      </c>
      <c r="H68" s="79">
        <f t="shared" si="6"/>
        <v>4.2603630300000006</v>
      </c>
      <c r="I68" s="13">
        <f t="shared" ref="I68:I72" si="7">F68*G68</f>
        <v>4260.3630300000004</v>
      </c>
    </row>
    <row r="69" spans="1:21" ht="15.75" hidden="1" customHeight="1">
      <c r="A69" s="29"/>
      <c r="B69" s="14" t="s">
        <v>52</v>
      </c>
      <c r="C69" s="16" t="s">
        <v>78</v>
      </c>
      <c r="D69" s="14" t="s">
        <v>56</v>
      </c>
      <c r="E69" s="48">
        <v>2730</v>
      </c>
      <c r="F69" s="13">
        <f>SUM(E69/100)</f>
        <v>27.3</v>
      </c>
      <c r="G69" s="13">
        <v>2217.7800000000002</v>
      </c>
      <c r="H69" s="79">
        <f t="shared" si="6"/>
        <v>60.545394000000009</v>
      </c>
      <c r="I69" s="13">
        <f t="shared" si="7"/>
        <v>60545.394000000008</v>
      </c>
    </row>
    <row r="70" spans="1:21" ht="15.75" hidden="1" customHeight="1">
      <c r="A70" s="29"/>
      <c r="B70" s="80" t="s">
        <v>125</v>
      </c>
      <c r="C70" s="16" t="s">
        <v>33</v>
      </c>
      <c r="D70" s="14"/>
      <c r="E70" s="48">
        <v>23</v>
      </c>
      <c r="F70" s="13">
        <f>SUM(E70)</f>
        <v>23</v>
      </c>
      <c r="G70" s="13">
        <v>42.67</v>
      </c>
      <c r="H70" s="79">
        <f t="shared" si="6"/>
        <v>0.98141000000000012</v>
      </c>
      <c r="I70" s="13">
        <f t="shared" si="7"/>
        <v>981.41000000000008</v>
      </c>
    </row>
    <row r="71" spans="1:21" ht="15.75" hidden="1" customHeight="1">
      <c r="A71" s="29"/>
      <c r="B71" s="80" t="s">
        <v>126</v>
      </c>
      <c r="C71" s="16" t="s">
        <v>33</v>
      </c>
      <c r="D71" s="14"/>
      <c r="E71" s="48">
        <v>23</v>
      </c>
      <c r="F71" s="13">
        <f>SUM(E71)</f>
        <v>23</v>
      </c>
      <c r="G71" s="13">
        <v>39.81</v>
      </c>
      <c r="H71" s="79">
        <f t="shared" si="6"/>
        <v>0.91563000000000005</v>
      </c>
      <c r="I71" s="13">
        <f t="shared" si="7"/>
        <v>915.63000000000011</v>
      </c>
    </row>
    <row r="72" spans="1:21" ht="15.75" hidden="1" customHeight="1">
      <c r="A72" s="29"/>
      <c r="B72" s="14" t="s">
        <v>59</v>
      </c>
      <c r="C72" s="16" t="s">
        <v>60</v>
      </c>
      <c r="D72" s="14" t="s">
        <v>56</v>
      </c>
      <c r="E72" s="18">
        <v>10</v>
      </c>
      <c r="F72" s="64">
        <f>SUM(E72)</f>
        <v>10</v>
      </c>
      <c r="G72" s="13">
        <v>53.32</v>
      </c>
      <c r="H72" s="79">
        <f t="shared" si="6"/>
        <v>0.53320000000000001</v>
      </c>
      <c r="I72" s="13">
        <f t="shared" si="7"/>
        <v>533.20000000000005</v>
      </c>
    </row>
    <row r="73" spans="1:21" ht="15.75" customHeight="1">
      <c r="A73" s="29"/>
      <c r="B73" s="155" t="s">
        <v>299</v>
      </c>
      <c r="C73" s="16"/>
      <c r="D73" s="14"/>
      <c r="E73" s="18"/>
      <c r="F73" s="13"/>
      <c r="G73" s="13"/>
      <c r="H73" s="13"/>
      <c r="I73" s="13"/>
    </row>
    <row r="74" spans="1:21" ht="32.25" customHeight="1">
      <c r="A74" s="29">
        <v>18</v>
      </c>
      <c r="B74" s="98" t="s">
        <v>300</v>
      </c>
      <c r="C74" s="137" t="s">
        <v>301</v>
      </c>
      <c r="D74" s="138"/>
      <c r="E74" s="139">
        <v>4591.2</v>
      </c>
      <c r="F74" s="140">
        <f>E74*12</f>
        <v>55094.399999999994</v>
      </c>
      <c r="G74" s="140">
        <v>2.4900000000000002</v>
      </c>
      <c r="H74" s="13"/>
      <c r="I74" s="13">
        <f>G74*F74/12</f>
        <v>11432.088000000002</v>
      </c>
    </row>
    <row r="75" spans="1:21" ht="16.5" customHeight="1">
      <c r="A75" s="29"/>
      <c r="B75" s="92" t="s">
        <v>74</v>
      </c>
      <c r="C75" s="16"/>
      <c r="D75" s="14"/>
      <c r="E75" s="18"/>
      <c r="F75" s="13"/>
      <c r="G75" s="13"/>
      <c r="H75" s="79" t="s">
        <v>129</v>
      </c>
      <c r="I75" s="13"/>
    </row>
    <row r="76" spans="1:21" ht="17.25" hidden="1" customHeight="1">
      <c r="A76" s="29">
        <v>16</v>
      </c>
      <c r="B76" s="14" t="s">
        <v>75</v>
      </c>
      <c r="C76" s="16" t="s">
        <v>31</v>
      </c>
      <c r="D76" s="14"/>
      <c r="E76" s="18">
        <v>2</v>
      </c>
      <c r="F76" s="56">
        <v>0.2</v>
      </c>
      <c r="G76" s="13">
        <v>536.23</v>
      </c>
      <c r="H76" s="79">
        <v>0.251</v>
      </c>
      <c r="I76" s="13">
        <f>G76*0.2</f>
        <v>107.24600000000001</v>
      </c>
    </row>
    <row r="77" spans="1:21" ht="16.5" hidden="1" customHeight="1">
      <c r="A77" s="29"/>
      <c r="B77" s="14" t="s">
        <v>89</v>
      </c>
      <c r="C77" s="16" t="s">
        <v>30</v>
      </c>
      <c r="D77" s="14"/>
      <c r="E77" s="18">
        <v>1</v>
      </c>
      <c r="F77" s="64">
        <f>SUM(E77)</f>
        <v>1</v>
      </c>
      <c r="G77" s="13">
        <v>383.25</v>
      </c>
      <c r="H77" s="79">
        <f t="shared" si="6"/>
        <v>0.38324999999999998</v>
      </c>
      <c r="I77" s="13">
        <v>0</v>
      </c>
    </row>
    <row r="78" spans="1:21" ht="15.75" hidden="1" customHeight="1">
      <c r="A78" s="29"/>
      <c r="B78" s="14" t="s">
        <v>76</v>
      </c>
      <c r="C78" s="16" t="s">
        <v>30</v>
      </c>
      <c r="D78" s="14"/>
      <c r="E78" s="18">
        <v>2</v>
      </c>
      <c r="F78" s="13">
        <v>2</v>
      </c>
      <c r="G78" s="13">
        <v>911.85</v>
      </c>
      <c r="H78" s="79">
        <f>F78*G78/1000</f>
        <v>1.8237000000000001</v>
      </c>
      <c r="I78" s="13">
        <v>0</v>
      </c>
    </row>
    <row r="79" spans="1:21" ht="33" customHeight="1">
      <c r="A79" s="29">
        <v>19</v>
      </c>
      <c r="B79" s="98" t="s">
        <v>291</v>
      </c>
      <c r="C79" s="119" t="s">
        <v>30</v>
      </c>
      <c r="D79" s="98" t="s">
        <v>216</v>
      </c>
      <c r="E79" s="17">
        <v>2</v>
      </c>
      <c r="F79" s="34">
        <f>E79*12</f>
        <v>24</v>
      </c>
      <c r="G79" s="34">
        <v>404</v>
      </c>
      <c r="H79" s="79"/>
      <c r="I79" s="13">
        <f>G79*2</f>
        <v>808</v>
      </c>
    </row>
    <row r="80" spans="1:21" ht="17.25" customHeight="1">
      <c r="A80" s="29"/>
      <c r="B80" s="81" t="s">
        <v>77</v>
      </c>
      <c r="C80" s="16"/>
      <c r="D80" s="14"/>
      <c r="E80" s="18"/>
      <c r="F80" s="13"/>
      <c r="G80" s="13" t="s">
        <v>129</v>
      </c>
      <c r="H80" s="79" t="s">
        <v>129</v>
      </c>
      <c r="I80" s="13"/>
    </row>
    <row r="81" spans="1:9" ht="15" customHeight="1">
      <c r="A81" s="29">
        <v>20</v>
      </c>
      <c r="B81" s="44" t="s">
        <v>130</v>
      </c>
      <c r="C81" s="16" t="s">
        <v>78</v>
      </c>
      <c r="D81" s="14"/>
      <c r="E81" s="18"/>
      <c r="F81" s="13">
        <v>1.35</v>
      </c>
      <c r="G81" s="158">
        <v>10325.85</v>
      </c>
      <c r="H81" s="79">
        <f t="shared" si="6"/>
        <v>13.939897500000001</v>
      </c>
      <c r="I81" s="13">
        <f>G81*0.03</f>
        <v>309.77550000000002</v>
      </c>
    </row>
    <row r="82" spans="1:9" ht="16.5" hidden="1" customHeight="1">
      <c r="A82" s="29"/>
      <c r="B82" s="67" t="s">
        <v>127</v>
      </c>
      <c r="C82" s="81"/>
      <c r="D82" s="31"/>
      <c r="E82" s="32"/>
      <c r="F82" s="68"/>
      <c r="G82" s="68"/>
      <c r="H82" s="82">
        <f>SUM(H59:H81)</f>
        <v>3556.9894829239997</v>
      </c>
      <c r="I82" s="68"/>
    </row>
    <row r="83" spans="1:9" ht="16.5" hidden="1" customHeight="1">
      <c r="A83" s="29"/>
      <c r="B83" s="62" t="s">
        <v>128</v>
      </c>
      <c r="C83" s="16"/>
      <c r="D83" s="14"/>
      <c r="E83" s="57"/>
      <c r="F83" s="13">
        <v>1</v>
      </c>
      <c r="G83" s="13">
        <v>19342.2</v>
      </c>
      <c r="H83" s="79">
        <f>G83*F83/1000</f>
        <v>19.342200000000002</v>
      </c>
      <c r="I83" s="13">
        <v>0</v>
      </c>
    </row>
    <row r="84" spans="1:9" ht="15.75" customHeight="1">
      <c r="A84" s="160" t="s">
        <v>138</v>
      </c>
      <c r="B84" s="161"/>
      <c r="C84" s="161"/>
      <c r="D84" s="161"/>
      <c r="E84" s="161"/>
      <c r="F84" s="161"/>
      <c r="G84" s="161"/>
      <c r="H84" s="161"/>
      <c r="I84" s="162"/>
    </row>
    <row r="85" spans="1:9" ht="15.75" customHeight="1">
      <c r="A85" s="29">
        <v>21</v>
      </c>
      <c r="B85" s="98" t="s">
        <v>131</v>
      </c>
      <c r="C85" s="119" t="s">
        <v>57</v>
      </c>
      <c r="D85" s="141"/>
      <c r="E85" s="34">
        <v>4591.2</v>
      </c>
      <c r="F85" s="34">
        <f>SUM(E85*12)</f>
        <v>55094.399999999994</v>
      </c>
      <c r="G85" s="34">
        <v>3.38</v>
      </c>
      <c r="H85" s="79">
        <f>SUM(F85*G85/1000)</f>
        <v>186.21907199999998</v>
      </c>
      <c r="I85" s="13">
        <f>F85/12*G85</f>
        <v>15518.255999999999</v>
      </c>
    </row>
    <row r="86" spans="1:9" ht="31.5" customHeight="1">
      <c r="A86" s="29">
        <v>22</v>
      </c>
      <c r="B86" s="142" t="s">
        <v>292</v>
      </c>
      <c r="C86" s="143" t="s">
        <v>25</v>
      </c>
      <c r="D86" s="144"/>
      <c r="E86" s="145">
        <f>E85</f>
        <v>4591.2</v>
      </c>
      <c r="F86" s="127">
        <f>E86*12</f>
        <v>55094.399999999994</v>
      </c>
      <c r="G86" s="127">
        <v>3.05</v>
      </c>
      <c r="H86" s="79">
        <f>F86*G86/1000</f>
        <v>168.03791999999999</v>
      </c>
      <c r="I86" s="13">
        <f>F86/12*G86</f>
        <v>14003.159999999998</v>
      </c>
    </row>
    <row r="87" spans="1:9" ht="15.75" customHeight="1">
      <c r="A87" s="90"/>
      <c r="B87" s="36" t="s">
        <v>81</v>
      </c>
      <c r="C87" s="37"/>
      <c r="D87" s="15"/>
      <c r="E87" s="15"/>
      <c r="F87" s="15"/>
      <c r="G87" s="18"/>
      <c r="H87" s="18"/>
      <c r="I87" s="32">
        <f>I86+I85+I81+I79+I74+I63+I60+I59+I52+I45+I44+I43+I42+I41+I39+I38+I26+I21+I20+I18+I17+I16</f>
        <v>89909.88904783332</v>
      </c>
    </row>
    <row r="88" spans="1:9" ht="15.75" customHeight="1">
      <c r="A88" s="178" t="s">
        <v>62</v>
      </c>
      <c r="B88" s="179"/>
      <c r="C88" s="179"/>
      <c r="D88" s="179"/>
      <c r="E88" s="179"/>
      <c r="F88" s="179"/>
      <c r="G88" s="179"/>
      <c r="H88" s="179"/>
      <c r="I88" s="180"/>
    </row>
    <row r="89" spans="1:9" ht="31.5" customHeight="1">
      <c r="A89" s="29">
        <v>23</v>
      </c>
      <c r="B89" s="93" t="s">
        <v>223</v>
      </c>
      <c r="C89" s="94" t="s">
        <v>39</v>
      </c>
      <c r="D89" s="44"/>
      <c r="E89" s="34"/>
      <c r="F89" s="34">
        <f>134/3</f>
        <v>44.666666666666664</v>
      </c>
      <c r="G89" s="34">
        <v>3914.31</v>
      </c>
      <c r="H89" s="95">
        <f t="shared" ref="H89" si="8">G89*F89/1000</f>
        <v>174.83918</v>
      </c>
      <c r="I89" s="13">
        <f>G89*0.01</f>
        <v>39.143099999999997</v>
      </c>
    </row>
    <row r="90" spans="1:9" ht="17.25" customHeight="1">
      <c r="A90" s="29">
        <v>24</v>
      </c>
      <c r="B90" s="93" t="s">
        <v>329</v>
      </c>
      <c r="C90" s="94" t="s">
        <v>29</v>
      </c>
      <c r="D90" s="44"/>
      <c r="E90" s="34"/>
      <c r="F90" s="34">
        <v>5</v>
      </c>
      <c r="G90" s="34">
        <v>1160.81</v>
      </c>
      <c r="H90" s="95">
        <f t="shared" ref="H90:H92" si="9">G90*F90/1000</f>
        <v>5.8040499999999993</v>
      </c>
      <c r="I90" s="13">
        <f>G90*0.06</f>
        <v>69.648599999999988</v>
      </c>
    </row>
    <row r="91" spans="1:9" ht="15.75" customHeight="1">
      <c r="A91" s="29">
        <v>25</v>
      </c>
      <c r="B91" s="93" t="s">
        <v>330</v>
      </c>
      <c r="C91" s="94" t="s">
        <v>121</v>
      </c>
      <c r="D91" s="96"/>
      <c r="E91" s="34"/>
      <c r="F91" s="34">
        <v>16</v>
      </c>
      <c r="G91" s="34">
        <v>91.11</v>
      </c>
      <c r="H91" s="95">
        <f t="shared" si="9"/>
        <v>1.4577599999999999</v>
      </c>
      <c r="I91" s="13">
        <f>G91*1</f>
        <v>91.11</v>
      </c>
    </row>
    <row r="92" spans="1:9" ht="15.75" customHeight="1">
      <c r="A92" s="29">
        <v>26</v>
      </c>
      <c r="B92" s="93" t="s">
        <v>331</v>
      </c>
      <c r="C92" s="94" t="s">
        <v>121</v>
      </c>
      <c r="D92" s="44"/>
      <c r="E92" s="34"/>
      <c r="F92" s="34">
        <v>2</v>
      </c>
      <c r="G92" s="34">
        <v>87.32</v>
      </c>
      <c r="H92" s="95">
        <f t="shared" si="9"/>
        <v>0.17463999999999999</v>
      </c>
      <c r="I92" s="13">
        <f>G92*1</f>
        <v>87.32</v>
      </c>
    </row>
    <row r="93" spans="1:9" ht="18.75" customHeight="1">
      <c r="A93" s="29">
        <v>27</v>
      </c>
      <c r="B93" s="93" t="s">
        <v>332</v>
      </c>
      <c r="C93" s="94" t="s">
        <v>121</v>
      </c>
      <c r="D93" s="44"/>
      <c r="E93" s="34"/>
      <c r="F93" s="34"/>
      <c r="G93" s="34">
        <v>208.61</v>
      </c>
      <c r="H93" s="95"/>
      <c r="I93" s="13">
        <f>G93*4</f>
        <v>834.44</v>
      </c>
    </row>
    <row r="94" spans="1:9" ht="18.75" customHeight="1">
      <c r="A94" s="29">
        <v>28</v>
      </c>
      <c r="B94" s="93" t="s">
        <v>296</v>
      </c>
      <c r="C94" s="94" t="s">
        <v>169</v>
      </c>
      <c r="D94" s="44"/>
      <c r="E94" s="34"/>
      <c r="F94" s="34"/>
      <c r="G94" s="34">
        <v>273</v>
      </c>
      <c r="H94" s="95"/>
      <c r="I94" s="13">
        <f>G94*2</f>
        <v>546</v>
      </c>
    </row>
    <row r="95" spans="1:9" ht="15.75" customHeight="1">
      <c r="A95" s="29"/>
      <c r="B95" s="42" t="s">
        <v>53</v>
      </c>
      <c r="C95" s="38"/>
      <c r="D95" s="46"/>
      <c r="E95" s="38">
        <v>1</v>
      </c>
      <c r="F95" s="38"/>
      <c r="G95" s="38"/>
      <c r="H95" s="38"/>
      <c r="I95" s="32">
        <f>SUM(I89:I94)</f>
        <v>1667.6617000000001</v>
      </c>
    </row>
    <row r="96" spans="1:9" ht="15.75" customHeight="1">
      <c r="A96" s="29"/>
      <c r="B96" s="44" t="s">
        <v>80</v>
      </c>
      <c r="C96" s="15"/>
      <c r="D96" s="15"/>
      <c r="E96" s="39"/>
      <c r="F96" s="39"/>
      <c r="G96" s="40"/>
      <c r="H96" s="40"/>
      <c r="I96" s="17">
        <v>0</v>
      </c>
    </row>
    <row r="97" spans="1:9" ht="15.75" customHeight="1">
      <c r="A97" s="47"/>
      <c r="B97" s="43" t="s">
        <v>54</v>
      </c>
      <c r="C97" s="33"/>
      <c r="D97" s="33"/>
      <c r="E97" s="33"/>
      <c r="F97" s="33"/>
      <c r="G97" s="33"/>
      <c r="H97" s="33"/>
      <c r="I97" s="41">
        <f>I87+I95</f>
        <v>91577.550747833317</v>
      </c>
    </row>
    <row r="98" spans="1:9" ht="15.75" customHeight="1">
      <c r="A98" s="174" t="s">
        <v>333</v>
      </c>
      <c r="B98" s="174"/>
      <c r="C98" s="174"/>
      <c r="D98" s="174"/>
      <c r="E98" s="174"/>
      <c r="F98" s="174"/>
      <c r="G98" s="174"/>
      <c r="H98" s="174"/>
      <c r="I98" s="174"/>
    </row>
    <row r="99" spans="1:9" ht="15.75" customHeight="1">
      <c r="A99" s="55"/>
      <c r="B99" s="175" t="s">
        <v>334</v>
      </c>
      <c r="C99" s="175"/>
      <c r="D99" s="175"/>
      <c r="E99" s="175"/>
      <c r="F99" s="175"/>
      <c r="G99" s="175"/>
      <c r="H99" s="61"/>
      <c r="I99" s="3"/>
    </row>
    <row r="100" spans="1:9" ht="15.75" customHeight="1">
      <c r="A100" s="88"/>
      <c r="B100" s="176" t="s">
        <v>6</v>
      </c>
      <c r="C100" s="176"/>
      <c r="D100" s="176"/>
      <c r="E100" s="176"/>
      <c r="F100" s="176"/>
      <c r="G100" s="176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77" t="s">
        <v>7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 customHeight="1">
      <c r="A103" s="177" t="s">
        <v>8</v>
      </c>
      <c r="B103" s="177"/>
      <c r="C103" s="177"/>
      <c r="D103" s="177"/>
      <c r="E103" s="177"/>
      <c r="F103" s="177"/>
      <c r="G103" s="177"/>
      <c r="H103" s="177"/>
      <c r="I103" s="177"/>
    </row>
    <row r="104" spans="1:9" ht="15.75" customHeight="1">
      <c r="A104" s="169" t="s">
        <v>63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 customHeight="1">
      <c r="A105" s="11"/>
    </row>
    <row r="106" spans="1:9" ht="15.75" customHeight="1">
      <c r="A106" s="182" t="s">
        <v>9</v>
      </c>
      <c r="B106" s="182"/>
      <c r="C106" s="182"/>
      <c r="D106" s="182"/>
      <c r="E106" s="182"/>
      <c r="F106" s="182"/>
      <c r="G106" s="182"/>
      <c r="H106" s="182"/>
      <c r="I106" s="182"/>
    </row>
    <row r="107" spans="1:9" ht="15.75" customHeight="1">
      <c r="A107" s="4"/>
    </row>
    <row r="108" spans="1:9" ht="15.75" customHeight="1">
      <c r="B108" s="89" t="s">
        <v>10</v>
      </c>
      <c r="C108" s="183" t="s">
        <v>90</v>
      </c>
      <c r="D108" s="183"/>
      <c r="E108" s="183"/>
      <c r="F108" s="59"/>
      <c r="I108" s="87"/>
    </row>
    <row r="109" spans="1:9" ht="15.75" customHeight="1">
      <c r="A109" s="88"/>
      <c r="C109" s="176" t="s">
        <v>11</v>
      </c>
      <c r="D109" s="176"/>
      <c r="E109" s="176"/>
      <c r="F109" s="24"/>
      <c r="I109" s="86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89" t="s">
        <v>13</v>
      </c>
      <c r="C111" s="184"/>
      <c r="D111" s="184"/>
      <c r="E111" s="184"/>
      <c r="F111" s="60"/>
      <c r="I111" s="87"/>
    </row>
    <row r="112" spans="1:9" ht="15.75" customHeight="1">
      <c r="A112" s="88"/>
      <c r="C112" s="159" t="s">
        <v>11</v>
      </c>
      <c r="D112" s="159"/>
      <c r="E112" s="159"/>
      <c r="F112" s="88"/>
      <c r="I112" s="86" t="s">
        <v>12</v>
      </c>
    </row>
    <row r="113" spans="1:9" ht="15.75" customHeight="1">
      <c r="A113" s="4" t="s">
        <v>14</v>
      </c>
    </row>
    <row r="114" spans="1:9" ht="15.75" customHeight="1">
      <c r="A114" s="185" t="s">
        <v>15</v>
      </c>
      <c r="B114" s="185"/>
      <c r="C114" s="185"/>
      <c r="D114" s="185"/>
      <c r="E114" s="185"/>
      <c r="F114" s="185"/>
      <c r="G114" s="185"/>
      <c r="H114" s="185"/>
      <c r="I114" s="185"/>
    </row>
    <row r="115" spans="1:9" ht="45" customHeight="1">
      <c r="A115" s="181" t="s">
        <v>16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30" customHeight="1">
      <c r="A116" s="181" t="s">
        <v>17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30" customHeight="1">
      <c r="A117" s="181" t="s">
        <v>21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15" customHeight="1">
      <c r="A118" s="181" t="s">
        <v>20</v>
      </c>
      <c r="B118" s="181"/>
      <c r="C118" s="181"/>
      <c r="D118" s="181"/>
      <c r="E118" s="181"/>
      <c r="F118" s="181"/>
      <c r="G118" s="181"/>
      <c r="H118" s="181"/>
      <c r="I118" s="181"/>
    </row>
  </sheetData>
  <autoFilter ref="I12:I63"/>
  <mergeCells count="29">
    <mergeCell ref="A114:I114"/>
    <mergeCell ref="A115:I115"/>
    <mergeCell ref="A116:I116"/>
    <mergeCell ref="A117:I117"/>
    <mergeCell ref="A118:I118"/>
    <mergeCell ref="R67:U67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2020-02-04T12:32:09Z</cp:lastPrinted>
  <dcterms:created xsi:type="dcterms:W3CDTF">2016-03-25T08:33:47Z</dcterms:created>
  <dcterms:modified xsi:type="dcterms:W3CDTF">2020-02-04T12:32:41Z</dcterms:modified>
</cp:coreProperties>
</file>