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60" windowWidth="15480" windowHeight="8130" activeTab="11"/>
  </bookViews>
  <sheets>
    <sheet name="01.18" sheetId="17" r:id="rId1"/>
    <sheet name="02.18" sheetId="27" r:id="rId2"/>
    <sheet name="03.18" sheetId="28" r:id="rId3"/>
    <sheet name="04.18" sheetId="29" r:id="rId4"/>
    <sheet name="05.18" sheetId="30" r:id="rId5"/>
    <sheet name="06.18" sheetId="31" r:id="rId6"/>
    <sheet name="07.18" sheetId="32" r:id="rId7"/>
    <sheet name="08.18" sheetId="33" r:id="rId8"/>
    <sheet name="09.18" sheetId="34" r:id="rId9"/>
    <sheet name="10.18" sheetId="35" r:id="rId10"/>
    <sheet name="11.18" sheetId="36" r:id="rId11"/>
    <sheet name="12.18" sheetId="37" r:id="rId12"/>
  </sheets>
  <definedNames>
    <definedName name="_xlnm._FilterDatabase" localSheetId="0" hidden="1">'01.18'!$I$14:$I$64</definedName>
    <definedName name="_xlnm._FilterDatabase" localSheetId="1" hidden="1">'02.18'!$I$14:$I$64</definedName>
    <definedName name="_xlnm._FilterDatabase" localSheetId="2" hidden="1">'03.18'!$I$14:$I$64</definedName>
    <definedName name="_xlnm._FilterDatabase" localSheetId="3" hidden="1">'04.18'!$I$14:$I$65</definedName>
    <definedName name="_xlnm._FilterDatabase" localSheetId="4" hidden="1">'05.18'!$I$14:$I$64</definedName>
    <definedName name="_xlnm._FilterDatabase" localSheetId="5" hidden="1">'06.18'!$I$14:$I$64</definedName>
    <definedName name="_xlnm._FilterDatabase" localSheetId="6" hidden="1">'07.18'!$I$14:$I$64</definedName>
    <definedName name="_xlnm._FilterDatabase" localSheetId="7" hidden="1">'08.18'!$I$14:$I$64</definedName>
    <definedName name="_xlnm._FilterDatabase" localSheetId="8" hidden="1">'09.18'!$I$14:$I$64</definedName>
    <definedName name="_xlnm._FilterDatabase" localSheetId="9" hidden="1">'10.18'!$I$14:$I$64</definedName>
    <definedName name="_xlnm._FilterDatabase" localSheetId="10" hidden="1">'11.18'!$I$14:$I$64</definedName>
    <definedName name="_xlnm._FilterDatabase" localSheetId="11" hidden="1">'12.18'!$I$14:$I$64</definedName>
    <definedName name="_xlnm.Print_Area" localSheetId="0">'01.18'!$A$1:$I$109</definedName>
    <definedName name="_xlnm.Print_Area" localSheetId="1">'02.18'!$A$1:$I$113</definedName>
    <definedName name="_xlnm.Print_Area" localSheetId="2">'03.18'!$A$1:$I$110</definedName>
    <definedName name="_xlnm.Print_Area" localSheetId="3">'04.18'!$A$1:$I$130</definedName>
    <definedName name="_xlnm.Print_Area" localSheetId="4">'05.18'!$A$1:$I$114</definedName>
    <definedName name="_xlnm.Print_Area" localSheetId="5">'06.18'!$A$1:$I$120</definedName>
    <definedName name="_xlnm.Print_Area" localSheetId="6">'07.18'!$A$1:$I$117</definedName>
    <definedName name="_xlnm.Print_Area" localSheetId="7">'08.18'!$A$1:$I$116</definedName>
    <definedName name="_xlnm.Print_Area" localSheetId="8">'09.18'!$A$1:$I$117</definedName>
    <definedName name="_xlnm.Print_Area" localSheetId="9">'10.18'!$A$1:$I$119</definedName>
    <definedName name="_xlnm.Print_Area" localSheetId="10">'11.18'!$A$1:$I$117</definedName>
    <definedName name="_xlnm.Print_Area" localSheetId="11">'12.18'!$A$1:$I$113</definedName>
  </definedNames>
  <calcPr calcId="124519"/>
</workbook>
</file>

<file path=xl/calcChain.xml><?xml version="1.0" encoding="utf-8"?>
<calcChain xmlns="http://schemas.openxmlformats.org/spreadsheetml/2006/main">
  <c r="I83" i="37"/>
  <c r="I90"/>
  <c r="I89"/>
  <c r="I88"/>
  <c r="I87"/>
  <c r="I86"/>
  <c r="H86"/>
  <c r="I85"/>
  <c r="I43"/>
  <c r="I42"/>
  <c r="I94" i="36"/>
  <c r="I88"/>
  <c r="I89"/>
  <c r="I93"/>
  <c r="I92"/>
  <c r="I91"/>
  <c r="I90"/>
  <c r="I87"/>
  <c r="I86"/>
  <c r="I85"/>
  <c r="H85"/>
  <c r="I43"/>
  <c r="I83" i="35"/>
  <c r="I96"/>
  <c r="I95"/>
  <c r="I94"/>
  <c r="I93"/>
  <c r="I92"/>
  <c r="I91"/>
  <c r="I90"/>
  <c r="I89"/>
  <c r="I88"/>
  <c r="I87"/>
  <c r="I86"/>
  <c r="I85"/>
  <c r="H85"/>
  <c r="I61"/>
  <c r="I83" i="34"/>
  <c r="I96" s="1"/>
  <c r="I61"/>
  <c r="I94"/>
  <c r="I93"/>
  <c r="I92"/>
  <c r="I91"/>
  <c r="I90"/>
  <c r="I89"/>
  <c r="I88"/>
  <c r="I87"/>
  <c r="I86"/>
  <c r="I85"/>
  <c r="H85"/>
  <c r="F91"/>
  <c r="H91" s="1"/>
  <c r="I93" i="33"/>
  <c r="I92"/>
  <c r="I83" l="1"/>
  <c r="I91"/>
  <c r="I90"/>
  <c r="I89"/>
  <c r="I88"/>
  <c r="I87"/>
  <c r="I86"/>
  <c r="I85"/>
  <c r="H85"/>
  <c r="I57" i="29" l="1"/>
  <c r="I83" i="28"/>
  <c r="I56" i="27"/>
  <c r="I83" i="17"/>
  <c r="I94" i="32" l="1"/>
  <c r="I83"/>
  <c r="I93"/>
  <c r="I92"/>
  <c r="I91"/>
  <c r="I90"/>
  <c r="I89"/>
  <c r="I88"/>
  <c r="I87"/>
  <c r="I86"/>
  <c r="H86"/>
  <c r="I85"/>
  <c r="H85"/>
  <c r="I92" i="31"/>
  <c r="I97" l="1"/>
  <c r="I96"/>
  <c r="I95"/>
  <c r="I94"/>
  <c r="I93"/>
  <c r="I91"/>
  <c r="I90"/>
  <c r="I89"/>
  <c r="I88"/>
  <c r="I87"/>
  <c r="I86"/>
  <c r="I85"/>
  <c r="H85"/>
  <c r="I91" i="30" l="1"/>
  <c r="I90"/>
  <c r="I89"/>
  <c r="I88"/>
  <c r="I87"/>
  <c r="I86"/>
  <c r="I85"/>
  <c r="H85"/>
  <c r="I19"/>
  <c r="I107" i="29"/>
  <c r="I84"/>
  <c r="I102"/>
  <c r="I106" l="1"/>
  <c r="I105"/>
  <c r="I104"/>
  <c r="I103"/>
  <c r="I101"/>
  <c r="I100"/>
  <c r="I99"/>
  <c r="I98"/>
  <c r="I97"/>
  <c r="I96"/>
  <c r="I95"/>
  <c r="I94"/>
  <c r="I93"/>
  <c r="I92"/>
  <c r="I91"/>
  <c r="I90"/>
  <c r="I89"/>
  <c r="G89"/>
  <c r="I88"/>
  <c r="I87"/>
  <c r="I86"/>
  <c r="I43"/>
  <c r="I87" i="28"/>
  <c r="I86"/>
  <c r="H86"/>
  <c r="I85"/>
  <c r="H85"/>
  <c r="I61"/>
  <c r="I43"/>
  <c r="I42"/>
  <c r="I43" i="27"/>
  <c r="I42"/>
  <c r="I43" i="17"/>
  <c r="I42"/>
  <c r="I89" i="27" l="1"/>
  <c r="I88"/>
  <c r="I87"/>
  <c r="I86"/>
  <c r="I85"/>
  <c r="H89"/>
  <c r="H88"/>
  <c r="H87"/>
  <c r="H86"/>
  <c r="H85"/>
  <c r="I83"/>
  <c r="I57"/>
  <c r="I85" i="17" l="1"/>
  <c r="H85"/>
  <c r="F82" i="37" l="1"/>
  <c r="I82" s="1"/>
  <c r="F81"/>
  <c r="I81" s="1"/>
  <c r="I79"/>
  <c r="H79"/>
  <c r="H77"/>
  <c r="F75"/>
  <c r="H75" s="1"/>
  <c r="H74"/>
  <c r="F73"/>
  <c r="H73" s="1"/>
  <c r="H72"/>
  <c r="F71"/>
  <c r="H71" s="1"/>
  <c r="I69"/>
  <c r="H69"/>
  <c r="I68"/>
  <c r="H68"/>
  <c r="F67"/>
  <c r="I67" s="1"/>
  <c r="F66"/>
  <c r="I66" s="1"/>
  <c r="H65"/>
  <c r="F65"/>
  <c r="I65" s="1"/>
  <c r="F64"/>
  <c r="I64" s="1"/>
  <c r="F63"/>
  <c r="I63" s="1"/>
  <c r="F62"/>
  <c r="H62" s="1"/>
  <c r="I61"/>
  <c r="F61"/>
  <c r="H61" s="1"/>
  <c r="H59"/>
  <c r="I57"/>
  <c r="H57"/>
  <c r="F56"/>
  <c r="I56" s="1"/>
  <c r="I53"/>
  <c r="F53"/>
  <c r="H53" s="1"/>
  <c r="I52"/>
  <c r="H52"/>
  <c r="F51"/>
  <c r="I51" s="1"/>
  <c r="F50"/>
  <c r="I50" s="1"/>
  <c r="F49"/>
  <c r="I49" s="1"/>
  <c r="F48"/>
  <c r="I48" s="1"/>
  <c r="F47"/>
  <c r="I47" s="1"/>
  <c r="F46"/>
  <c r="I46" s="1"/>
  <c r="F45"/>
  <c r="I45" s="1"/>
  <c r="H43"/>
  <c r="H42"/>
  <c r="F42"/>
  <c r="F41"/>
  <c r="I41" s="1"/>
  <c r="I40"/>
  <c r="H40"/>
  <c r="F39"/>
  <c r="I39" s="1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86" i="36"/>
  <c r="I79"/>
  <c r="F82"/>
  <c r="H82" s="1"/>
  <c r="H83" s="1"/>
  <c r="F81"/>
  <c r="I81" s="1"/>
  <c r="H79"/>
  <c r="H77"/>
  <c r="F75"/>
  <c r="H75" s="1"/>
  <c r="H74"/>
  <c r="F73"/>
  <c r="H73" s="1"/>
  <c r="H72"/>
  <c r="F71"/>
  <c r="H71" s="1"/>
  <c r="I69"/>
  <c r="H69"/>
  <c r="I68"/>
  <c r="H68"/>
  <c r="F67"/>
  <c r="I67" s="1"/>
  <c r="F66"/>
  <c r="H66" s="1"/>
  <c r="F65"/>
  <c r="I65" s="1"/>
  <c r="F64"/>
  <c r="H64" s="1"/>
  <c r="F63"/>
  <c r="I63" s="1"/>
  <c r="F62"/>
  <c r="H62" s="1"/>
  <c r="I61"/>
  <c r="F61"/>
  <c r="H61" s="1"/>
  <c r="H59"/>
  <c r="I57"/>
  <c r="H57"/>
  <c r="F56"/>
  <c r="I56" s="1"/>
  <c r="I53"/>
  <c r="F53"/>
  <c r="H53" s="1"/>
  <c r="I52"/>
  <c r="H52"/>
  <c r="F51"/>
  <c r="I51" s="1"/>
  <c r="F50"/>
  <c r="I50" s="1"/>
  <c r="F49"/>
  <c r="I49" s="1"/>
  <c r="F48"/>
  <c r="I48" s="1"/>
  <c r="F47"/>
  <c r="I47" s="1"/>
  <c r="F46"/>
  <c r="I46" s="1"/>
  <c r="F45"/>
  <c r="I45" s="1"/>
  <c r="H43"/>
  <c r="F42"/>
  <c r="I42" s="1"/>
  <c r="F41"/>
  <c r="I41" s="1"/>
  <c r="I40"/>
  <c r="H40"/>
  <c r="F39"/>
  <c r="I39" s="1"/>
  <c r="F38"/>
  <c r="I38" s="1"/>
  <c r="I37"/>
  <c r="H37"/>
  <c r="H35"/>
  <c r="H34"/>
  <c r="F33"/>
  <c r="I33" s="1"/>
  <c r="E33"/>
  <c r="F32"/>
  <c r="I32" s="1"/>
  <c r="F31"/>
  <c r="I31" s="1"/>
  <c r="F30"/>
  <c r="I30" s="1"/>
  <c r="F27"/>
  <c r="I27" s="1"/>
  <c r="F26"/>
  <c r="I26" s="1"/>
  <c r="F25"/>
  <c r="I25" s="1"/>
  <c r="F24"/>
  <c r="I24" s="1"/>
  <c r="F23"/>
  <c r="I23" s="1"/>
  <c r="F22"/>
  <c r="I22" s="1"/>
  <c r="F21"/>
  <c r="H21" s="1"/>
  <c r="F20"/>
  <c r="I20" s="1"/>
  <c r="F19"/>
  <c r="I19" s="1"/>
  <c r="E18"/>
  <c r="F18" s="1"/>
  <c r="F17"/>
  <c r="I17" s="1"/>
  <c r="F16"/>
  <c r="H16" s="1"/>
  <c r="F86" i="35"/>
  <c r="H86" s="1"/>
  <c r="H39" i="37" l="1"/>
  <c r="H63"/>
  <c r="H67"/>
  <c r="H82"/>
  <c r="H83" s="1"/>
  <c r="H46"/>
  <c r="H50"/>
  <c r="H48"/>
  <c r="H18"/>
  <c r="I18"/>
  <c r="H16"/>
  <c r="I17"/>
  <c r="H19"/>
  <c r="I20"/>
  <c r="H21"/>
  <c r="I22"/>
  <c r="H23"/>
  <c r="I24"/>
  <c r="H25"/>
  <c r="I26"/>
  <c r="H27"/>
  <c r="I30"/>
  <c r="H31"/>
  <c r="I32"/>
  <c r="I33"/>
  <c r="H38"/>
  <c r="H41"/>
  <c r="H45"/>
  <c r="H47"/>
  <c r="H49"/>
  <c r="H51"/>
  <c r="H56"/>
  <c r="H64"/>
  <c r="H66"/>
  <c r="H81"/>
  <c r="H19" i="36"/>
  <c r="H25"/>
  <c r="H38"/>
  <c r="H23"/>
  <c r="H27"/>
  <c r="H45"/>
  <c r="H56"/>
  <c r="H49"/>
  <c r="H31"/>
  <c r="H41"/>
  <c r="H47"/>
  <c r="H51"/>
  <c r="I18"/>
  <c r="H18"/>
  <c r="I16"/>
  <c r="H17"/>
  <c r="H20"/>
  <c r="I21"/>
  <c r="H22"/>
  <c r="H24"/>
  <c r="H26"/>
  <c r="H30"/>
  <c r="H32"/>
  <c r="H33"/>
  <c r="H39"/>
  <c r="H42"/>
  <c r="H46"/>
  <c r="H48"/>
  <c r="H50"/>
  <c r="H63"/>
  <c r="I64"/>
  <c r="H65"/>
  <c r="I66"/>
  <c r="H67"/>
  <c r="H81"/>
  <c r="I82"/>
  <c r="I83" s="1"/>
  <c r="I96" s="1"/>
  <c r="I92" i="37" l="1"/>
  <c r="H78"/>
  <c r="H78" i="36"/>
  <c r="F82" i="35" l="1"/>
  <c r="I82" s="1"/>
  <c r="F81"/>
  <c r="H81" s="1"/>
  <c r="H79"/>
  <c r="H77"/>
  <c r="F75"/>
  <c r="H75" s="1"/>
  <c r="H74"/>
  <c r="F73"/>
  <c r="H73" s="1"/>
  <c r="H72"/>
  <c r="F71"/>
  <c r="H71" s="1"/>
  <c r="I69"/>
  <c r="H69"/>
  <c r="I68"/>
  <c r="H68"/>
  <c r="F67"/>
  <c r="H67" s="1"/>
  <c r="F66"/>
  <c r="I66" s="1"/>
  <c r="F65"/>
  <c r="H65" s="1"/>
  <c r="F64"/>
  <c r="I64" s="1"/>
  <c r="F63"/>
  <c r="H63" s="1"/>
  <c r="F62"/>
  <c r="H62" s="1"/>
  <c r="F61"/>
  <c r="H61" s="1"/>
  <c r="H59"/>
  <c r="I57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I40"/>
  <c r="H40"/>
  <c r="F39"/>
  <c r="I39" s="1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68" i="34"/>
  <c r="H82"/>
  <c r="H83" s="1"/>
  <c r="F82"/>
  <c r="I82" s="1"/>
  <c r="F81"/>
  <c r="I81" s="1"/>
  <c r="H79"/>
  <c r="H77"/>
  <c r="F75"/>
  <c r="H75" s="1"/>
  <c r="H74"/>
  <c r="F73"/>
  <c r="H73" s="1"/>
  <c r="H72"/>
  <c r="H71"/>
  <c r="F71"/>
  <c r="I69"/>
  <c r="H69"/>
  <c r="H68"/>
  <c r="F67"/>
  <c r="I67" s="1"/>
  <c r="F66"/>
  <c r="I66" s="1"/>
  <c r="F65"/>
  <c r="I65" s="1"/>
  <c r="F64"/>
  <c r="I64" s="1"/>
  <c r="F63"/>
  <c r="H63" s="1"/>
  <c r="F62"/>
  <c r="H62" s="1"/>
  <c r="F61"/>
  <c r="H61" s="1"/>
  <c r="H59"/>
  <c r="I57"/>
  <c r="H57"/>
  <c r="H56"/>
  <c r="F56"/>
  <c r="I56" s="1"/>
  <c r="I53"/>
  <c r="F53"/>
  <c r="H53" s="1"/>
  <c r="I52"/>
  <c r="H52"/>
  <c r="F51"/>
  <c r="I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I40"/>
  <c r="H40"/>
  <c r="F39"/>
  <c r="I39" s="1"/>
  <c r="F38"/>
  <c r="H38" s="1"/>
  <c r="I37"/>
  <c r="H37"/>
  <c r="H35"/>
  <c r="H34"/>
  <c r="F33"/>
  <c r="I33" s="1"/>
  <c r="E33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6" i="33"/>
  <c r="F82"/>
  <c r="I82" s="1"/>
  <c r="F81"/>
  <c r="I81" s="1"/>
  <c r="H79"/>
  <c r="H77"/>
  <c r="F75"/>
  <c r="H75" s="1"/>
  <c r="H74"/>
  <c r="F73"/>
  <c r="H73" s="1"/>
  <c r="H72"/>
  <c r="F71"/>
  <c r="H71" s="1"/>
  <c r="I69"/>
  <c r="H69"/>
  <c r="H68"/>
  <c r="F67"/>
  <c r="H67" s="1"/>
  <c r="F66"/>
  <c r="I66" s="1"/>
  <c r="F65"/>
  <c r="H65" s="1"/>
  <c r="F64"/>
  <c r="I64" s="1"/>
  <c r="F63"/>
  <c r="H63" s="1"/>
  <c r="F62"/>
  <c r="H62" s="1"/>
  <c r="F61"/>
  <c r="H61" s="1"/>
  <c r="H59"/>
  <c r="I57"/>
  <c r="H57"/>
  <c r="F56"/>
  <c r="I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I40"/>
  <c r="H40"/>
  <c r="F39"/>
  <c r="I39" s="1"/>
  <c r="F38"/>
  <c r="H38" s="1"/>
  <c r="I37"/>
  <c r="H37"/>
  <c r="H35"/>
  <c r="H34"/>
  <c r="F33"/>
  <c r="I33" s="1"/>
  <c r="E33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93" i="32"/>
  <c r="H92"/>
  <c r="H89"/>
  <c r="H88"/>
  <c r="H87"/>
  <c r="H82"/>
  <c r="H83" s="1"/>
  <c r="F82"/>
  <c r="I82" s="1"/>
  <c r="F81"/>
  <c r="I81" s="1"/>
  <c r="H79"/>
  <c r="H77"/>
  <c r="H75"/>
  <c r="F75"/>
  <c r="H74"/>
  <c r="F73"/>
  <c r="H73" s="1"/>
  <c r="H72"/>
  <c r="H71"/>
  <c r="F71"/>
  <c r="I69"/>
  <c r="H69"/>
  <c r="H68"/>
  <c r="H67"/>
  <c r="F67"/>
  <c r="I67" s="1"/>
  <c r="F66"/>
  <c r="I66" s="1"/>
  <c r="H65"/>
  <c r="F65"/>
  <c r="I65" s="1"/>
  <c r="F64"/>
  <c r="I64" s="1"/>
  <c r="H63"/>
  <c r="F63"/>
  <c r="I63" s="1"/>
  <c r="H62"/>
  <c r="F62"/>
  <c r="H61"/>
  <c r="F61"/>
  <c r="H59"/>
  <c r="I57"/>
  <c r="H57"/>
  <c r="F56"/>
  <c r="I56" s="1"/>
  <c r="I53"/>
  <c r="F53"/>
  <c r="H53" s="1"/>
  <c r="I52"/>
  <c r="H52"/>
  <c r="H51"/>
  <c r="F51"/>
  <c r="I51" s="1"/>
  <c r="F50"/>
  <c r="I50" s="1"/>
  <c r="H49"/>
  <c r="F49"/>
  <c r="I49" s="1"/>
  <c r="F48"/>
  <c r="I48" s="1"/>
  <c r="H47"/>
  <c r="F47"/>
  <c r="I47" s="1"/>
  <c r="F46"/>
  <c r="I46" s="1"/>
  <c r="H45"/>
  <c r="F45"/>
  <c r="I45" s="1"/>
  <c r="I43"/>
  <c r="H43"/>
  <c r="F42"/>
  <c r="I42" s="1"/>
  <c r="H41"/>
  <c r="F41"/>
  <c r="I41" s="1"/>
  <c r="I40"/>
  <c r="H40"/>
  <c r="F39"/>
  <c r="I39" s="1"/>
  <c r="H38"/>
  <c r="F38"/>
  <c r="I38" s="1"/>
  <c r="I37"/>
  <c r="H37"/>
  <c r="H35"/>
  <c r="H34"/>
  <c r="F33"/>
  <c r="I33" s="1"/>
  <c r="E33"/>
  <c r="F32"/>
  <c r="I32" s="1"/>
  <c r="F31"/>
  <c r="H31" s="1"/>
  <c r="F30"/>
  <c r="I30" s="1"/>
  <c r="H27"/>
  <c r="F27"/>
  <c r="I27" s="1"/>
  <c r="F26"/>
  <c r="I26" s="1"/>
  <c r="H25"/>
  <c r="F25"/>
  <c r="I25" s="1"/>
  <c r="F24"/>
  <c r="I24" s="1"/>
  <c r="H23"/>
  <c r="F23"/>
  <c r="I23" s="1"/>
  <c r="F22"/>
  <c r="I22" s="1"/>
  <c r="H21"/>
  <c r="F21"/>
  <c r="I21" s="1"/>
  <c r="F20"/>
  <c r="I20" s="1"/>
  <c r="H19"/>
  <c r="F19"/>
  <c r="I19" s="1"/>
  <c r="F18"/>
  <c r="I18" s="1"/>
  <c r="E18"/>
  <c r="F17"/>
  <c r="I17" s="1"/>
  <c r="H16"/>
  <c r="F16"/>
  <c r="I16" s="1"/>
  <c r="F82" i="31"/>
  <c r="I82" s="1"/>
  <c r="F81"/>
  <c r="H81" s="1"/>
  <c r="H79"/>
  <c r="H77"/>
  <c r="F75"/>
  <c r="H75" s="1"/>
  <c r="H74"/>
  <c r="F73"/>
  <c r="H73" s="1"/>
  <c r="H72"/>
  <c r="H71"/>
  <c r="F71"/>
  <c r="I69"/>
  <c r="H69"/>
  <c r="H68"/>
  <c r="F67"/>
  <c r="I67" s="1"/>
  <c r="F66"/>
  <c r="H66" s="1"/>
  <c r="F65"/>
  <c r="I65" s="1"/>
  <c r="F64"/>
  <c r="H64" s="1"/>
  <c r="F63"/>
  <c r="I63" s="1"/>
  <c r="F62"/>
  <c r="H62" s="1"/>
  <c r="F61"/>
  <c r="H61" s="1"/>
  <c r="H59"/>
  <c r="I57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I40"/>
  <c r="H40"/>
  <c r="F39"/>
  <c r="H39" s="1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87" i="30"/>
  <c r="H87" s="1"/>
  <c r="H86"/>
  <c r="F82"/>
  <c r="H82" s="1"/>
  <c r="H83" s="1"/>
  <c r="F81"/>
  <c r="I81" s="1"/>
  <c r="H79"/>
  <c r="H77"/>
  <c r="F75"/>
  <c r="H75" s="1"/>
  <c r="H74"/>
  <c r="F73"/>
  <c r="H73" s="1"/>
  <c r="H72"/>
  <c r="F71"/>
  <c r="H71" s="1"/>
  <c r="I69"/>
  <c r="H69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I57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I40"/>
  <c r="H40"/>
  <c r="F39"/>
  <c r="H39" s="1"/>
  <c r="F38"/>
  <c r="I38" s="1"/>
  <c r="I37"/>
  <c r="H37"/>
  <c r="H35"/>
  <c r="H34"/>
  <c r="F33"/>
  <c r="H33" s="1"/>
  <c r="E33"/>
  <c r="F32"/>
  <c r="H32" s="1"/>
  <c r="F31"/>
  <c r="H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88" i="29"/>
  <c r="H87"/>
  <c r="H86"/>
  <c r="I40"/>
  <c r="F83"/>
  <c r="H83" s="1"/>
  <c r="H84" s="1"/>
  <c r="F82"/>
  <c r="I82" s="1"/>
  <c r="H80"/>
  <c r="H78"/>
  <c r="F76"/>
  <c r="H76" s="1"/>
  <c r="H75"/>
  <c r="F74"/>
  <c r="H74" s="1"/>
  <c r="H73"/>
  <c r="F72"/>
  <c r="H72" s="1"/>
  <c r="I70"/>
  <c r="H70"/>
  <c r="H69"/>
  <c r="H68"/>
  <c r="F68"/>
  <c r="H67"/>
  <c r="F67"/>
  <c r="H66"/>
  <c r="F66"/>
  <c r="H65"/>
  <c r="F65"/>
  <c r="H64"/>
  <c r="F64"/>
  <c r="H63"/>
  <c r="F63"/>
  <c r="H62"/>
  <c r="F62"/>
  <c r="H60"/>
  <c r="I58"/>
  <c r="H58"/>
  <c r="F57"/>
  <c r="I54"/>
  <c r="F54"/>
  <c r="H54" s="1"/>
  <c r="I52"/>
  <c r="H52"/>
  <c r="F51"/>
  <c r="I51" s="1"/>
  <c r="F50"/>
  <c r="H50" s="1"/>
  <c r="F49"/>
  <c r="I49" s="1"/>
  <c r="F48"/>
  <c r="H48" s="1"/>
  <c r="F47"/>
  <c r="H47" s="1"/>
  <c r="F46"/>
  <c r="H46" s="1"/>
  <c r="F45"/>
  <c r="H45" s="1"/>
  <c r="H43"/>
  <c r="F42"/>
  <c r="H41"/>
  <c r="F41"/>
  <c r="I41" s="1"/>
  <c r="H40"/>
  <c r="F39"/>
  <c r="H39" s="1"/>
  <c r="H38"/>
  <c r="F38"/>
  <c r="I38" s="1"/>
  <c r="I37"/>
  <c r="H37"/>
  <c r="H35"/>
  <c r="H34"/>
  <c r="H33"/>
  <c r="F33"/>
  <c r="E33"/>
  <c r="F32"/>
  <c r="H32" s="1"/>
  <c r="F31"/>
  <c r="H31" s="1"/>
  <c r="F30"/>
  <c r="H30" s="1"/>
  <c r="H27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57" i="28"/>
  <c r="I52"/>
  <c r="I40"/>
  <c r="F82"/>
  <c r="I82" s="1"/>
  <c r="F81"/>
  <c r="H81" s="1"/>
  <c r="H79"/>
  <c r="H77"/>
  <c r="F75"/>
  <c r="H75" s="1"/>
  <c r="H74"/>
  <c r="F73"/>
  <c r="H73" s="1"/>
  <c r="H72"/>
  <c r="F71"/>
  <c r="H71" s="1"/>
  <c r="I69"/>
  <c r="H69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H57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F41"/>
  <c r="H41" s="1"/>
  <c r="H40"/>
  <c r="F39"/>
  <c r="H39" s="1"/>
  <c r="F38"/>
  <c r="I38" s="1"/>
  <c r="I37"/>
  <c r="H37"/>
  <c r="H35"/>
  <c r="H34"/>
  <c r="F33"/>
  <c r="H33" s="1"/>
  <c r="E33"/>
  <c r="F32"/>
  <c r="H32" s="1"/>
  <c r="F31"/>
  <c r="H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0" i="27"/>
  <c r="H39" i="35" l="1"/>
  <c r="H82" i="33"/>
  <c r="H83" s="1"/>
  <c r="H56" i="32"/>
  <c r="H42" i="29"/>
  <c r="I42"/>
  <c r="H17"/>
  <c r="H57"/>
  <c r="H82"/>
  <c r="H18" i="35"/>
  <c r="I18"/>
  <c r="H16"/>
  <c r="I17"/>
  <c r="H19"/>
  <c r="I20"/>
  <c r="H21"/>
  <c r="I22"/>
  <c r="H23"/>
  <c r="I24"/>
  <c r="H25"/>
  <c r="I26"/>
  <c r="H27"/>
  <c r="I30"/>
  <c r="H31"/>
  <c r="I32"/>
  <c r="I33"/>
  <c r="H38"/>
  <c r="H41"/>
  <c r="I42"/>
  <c r="H45"/>
  <c r="I46"/>
  <c r="H47"/>
  <c r="I48"/>
  <c r="H49"/>
  <c r="I50"/>
  <c r="H51"/>
  <c r="H56"/>
  <c r="I63"/>
  <c r="H64"/>
  <c r="I65"/>
  <c r="H66"/>
  <c r="I67"/>
  <c r="I81"/>
  <c r="H82"/>
  <c r="H83" s="1"/>
  <c r="H67" i="34"/>
  <c r="H65"/>
  <c r="H51"/>
  <c r="I18"/>
  <c r="H18"/>
  <c r="I16"/>
  <c r="H17"/>
  <c r="I19"/>
  <c r="H20"/>
  <c r="I21"/>
  <c r="H22"/>
  <c r="I23"/>
  <c r="H24"/>
  <c r="I25"/>
  <c r="H26"/>
  <c r="I27"/>
  <c r="H30"/>
  <c r="I31"/>
  <c r="H32"/>
  <c r="H33"/>
  <c r="I38"/>
  <c r="H39"/>
  <c r="I41"/>
  <c r="H42"/>
  <c r="I45"/>
  <c r="H46"/>
  <c r="I47"/>
  <c r="H48"/>
  <c r="I49"/>
  <c r="H50"/>
  <c r="I63"/>
  <c r="H64"/>
  <c r="H78" s="1"/>
  <c r="H66"/>
  <c r="H81"/>
  <c r="H56" i="33"/>
  <c r="I18"/>
  <c r="H18"/>
  <c r="I16"/>
  <c r="H17"/>
  <c r="I19"/>
  <c r="H20"/>
  <c r="I21"/>
  <c r="H22"/>
  <c r="I23"/>
  <c r="H24"/>
  <c r="I25"/>
  <c r="H26"/>
  <c r="I27"/>
  <c r="H30"/>
  <c r="I31"/>
  <c r="H32"/>
  <c r="H33"/>
  <c r="I38"/>
  <c r="H39"/>
  <c r="I41"/>
  <c r="H42"/>
  <c r="I45"/>
  <c r="H46"/>
  <c r="I47"/>
  <c r="H48"/>
  <c r="I49"/>
  <c r="H50"/>
  <c r="I51"/>
  <c r="I63"/>
  <c r="H64"/>
  <c r="I65"/>
  <c r="H66"/>
  <c r="I67"/>
  <c r="H81"/>
  <c r="H17" i="32"/>
  <c r="H18"/>
  <c r="H20"/>
  <c r="H22"/>
  <c r="H24"/>
  <c r="H26"/>
  <c r="H30"/>
  <c r="I31"/>
  <c r="I96" s="1"/>
  <c r="H32"/>
  <c r="H33"/>
  <c r="H39"/>
  <c r="H42"/>
  <c r="H46"/>
  <c r="H48"/>
  <c r="H50"/>
  <c r="H64"/>
  <c r="H78" s="1"/>
  <c r="H66"/>
  <c r="H81"/>
  <c r="H17" i="31"/>
  <c r="H56"/>
  <c r="H22"/>
  <c r="H20"/>
  <c r="H24"/>
  <c r="I18"/>
  <c r="H18"/>
  <c r="I16"/>
  <c r="I19"/>
  <c r="I21"/>
  <c r="I23"/>
  <c r="H25"/>
  <c r="I26"/>
  <c r="H27"/>
  <c r="I30"/>
  <c r="H31"/>
  <c r="I32"/>
  <c r="I33"/>
  <c r="H38"/>
  <c r="I39"/>
  <c r="H41"/>
  <c r="I42"/>
  <c r="H45"/>
  <c r="I46"/>
  <c r="H47"/>
  <c r="I48"/>
  <c r="H49"/>
  <c r="I50"/>
  <c r="H51"/>
  <c r="H63"/>
  <c r="I64"/>
  <c r="H65"/>
  <c r="I66"/>
  <c r="H67"/>
  <c r="I81"/>
  <c r="H82"/>
  <c r="H83" s="1"/>
  <c r="I20" i="30"/>
  <c r="I25"/>
  <c r="I23"/>
  <c r="I33"/>
  <c r="I32"/>
  <c r="I48"/>
  <c r="I46"/>
  <c r="I67"/>
  <c r="I65"/>
  <c r="H17"/>
  <c r="H45"/>
  <c r="H47"/>
  <c r="H49"/>
  <c r="H81"/>
  <c r="I21"/>
  <c r="I22"/>
  <c r="I24"/>
  <c r="I30"/>
  <c r="I31"/>
  <c r="I63"/>
  <c r="I66"/>
  <c r="I64"/>
  <c r="H56"/>
  <c r="H78" s="1"/>
  <c r="H38"/>
  <c r="H51"/>
  <c r="H41"/>
  <c r="H27"/>
  <c r="I18"/>
  <c r="H18"/>
  <c r="I16"/>
  <c r="I26"/>
  <c r="I39"/>
  <c r="I42"/>
  <c r="I50"/>
  <c r="I82"/>
  <c r="H51" i="29"/>
  <c r="H49"/>
  <c r="I18"/>
  <c r="H18"/>
  <c r="H79"/>
  <c r="I16"/>
  <c r="I26"/>
  <c r="I39"/>
  <c r="I50"/>
  <c r="I83"/>
  <c r="I109" s="1"/>
  <c r="I50" i="28"/>
  <c r="I51"/>
  <c r="I18"/>
  <c r="H18"/>
  <c r="I16"/>
  <c r="H17"/>
  <c r="I26"/>
  <c r="H27"/>
  <c r="H38"/>
  <c r="I39"/>
  <c r="I41"/>
  <c r="H42"/>
  <c r="I49"/>
  <c r="H56"/>
  <c r="H78" s="1"/>
  <c r="I81"/>
  <c r="H82"/>
  <c r="H83" s="1"/>
  <c r="I98" i="35" l="1"/>
  <c r="H78"/>
  <c r="H78" i="33"/>
  <c r="I95"/>
  <c r="I83" i="31"/>
  <c r="H78"/>
  <c r="I99"/>
  <c r="I83" i="30"/>
  <c r="I93" s="1"/>
  <c r="I89" i="28"/>
  <c r="F82" i="27" l="1"/>
  <c r="I82" s="1"/>
  <c r="F81"/>
  <c r="H81" s="1"/>
  <c r="H79"/>
  <c r="H77"/>
  <c r="H75"/>
  <c r="F75"/>
  <c r="H74"/>
  <c r="F73"/>
  <c r="H73" s="1"/>
  <c r="H72"/>
  <c r="H71"/>
  <c r="F71"/>
  <c r="I69"/>
  <c r="H69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H57"/>
  <c r="F56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F41"/>
  <c r="H41" s="1"/>
  <c r="H40"/>
  <c r="F39"/>
  <c r="H39" s="1"/>
  <c r="F38"/>
  <c r="I38" s="1"/>
  <c r="I37"/>
  <c r="H37"/>
  <c r="H35"/>
  <c r="H34"/>
  <c r="F33"/>
  <c r="H33" s="1"/>
  <c r="E33"/>
  <c r="F32"/>
  <c r="H32" s="1"/>
  <c r="F31"/>
  <c r="H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6" i="17"/>
  <c r="F82"/>
  <c r="F81"/>
  <c r="H81" s="1"/>
  <c r="H79"/>
  <c r="H77"/>
  <c r="F75"/>
  <c r="H75" s="1"/>
  <c r="H74"/>
  <c r="F73"/>
  <c r="H73" s="1"/>
  <c r="H72"/>
  <c r="F71"/>
  <c r="H71" s="1"/>
  <c r="I69"/>
  <c r="H69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H57"/>
  <c r="F56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H42" s="1"/>
  <c r="F41"/>
  <c r="I41" s="1"/>
  <c r="H40"/>
  <c r="F39"/>
  <c r="I39" s="1"/>
  <c r="F38"/>
  <c r="H38" s="1"/>
  <c r="I37"/>
  <c r="H37"/>
  <c r="H35"/>
  <c r="H34"/>
  <c r="F33"/>
  <c r="H33" s="1"/>
  <c r="E33"/>
  <c r="F32"/>
  <c r="H32" s="1"/>
  <c r="F31"/>
  <c r="H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18" i="27" l="1"/>
  <c r="H18"/>
  <c r="I16"/>
  <c r="H17"/>
  <c r="I26"/>
  <c r="H27"/>
  <c r="H38"/>
  <c r="I39"/>
  <c r="I41"/>
  <c r="H42"/>
  <c r="I49"/>
  <c r="H56"/>
  <c r="H78" s="1"/>
  <c r="I81"/>
  <c r="H82"/>
  <c r="H83" s="1"/>
  <c r="H56" i="17"/>
  <c r="H82"/>
  <c r="I82"/>
  <c r="I81"/>
  <c r="I49"/>
  <c r="H16"/>
  <c r="I38"/>
  <c r="H39"/>
  <c r="H41"/>
  <c r="I27"/>
  <c r="I26"/>
  <c r="I18"/>
  <c r="I17"/>
  <c r="I92" i="27" l="1"/>
  <c r="H83" i="17" l="1"/>
  <c r="H78"/>
  <c r="I88" l="1"/>
</calcChain>
</file>

<file path=xl/sharedStrings.xml><?xml version="1.0" encoding="utf-8"?>
<sst xmlns="http://schemas.openxmlformats.org/spreadsheetml/2006/main" count="2717" uniqueCount="266">
  <si>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</si>
  <si>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</si>
  <si>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</si>
  <si>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</si>
  <si>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</si>
  <si>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</si>
  <si>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</si>
  <si>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</si>
  <si>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</si>
  <si>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</si>
  <si>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</si>
  <si>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</si>
  <si>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</si>
  <si>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</si>
  <si>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</si>
  <si>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</si>
  <si>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</si>
  <si>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</si>
  <si>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</si>
  <si>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</si>
  <si>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</si>
  <si>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</si>
  <si>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</si>
  <si>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</si>
  <si>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</si>
  <si>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</si>
  <si>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</si>
  <si>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</si>
  <si>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</si>
  <si>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</si>
  <si>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</si>
  <si>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</si>
  <si>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</si>
  <si>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</si>
  <si>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</si>
  <si>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</si>
  <si>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</si>
  <si>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</si>
  <si>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</si>
  <si>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</si>
  <si>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</si>
  <si>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</si>
  <si>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</si>
  <si>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</si>
  <si>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</si>
  <si>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</si>
  <si>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</si>
  <si>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</si>
  <si>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</si>
  <si>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</si>
  <si>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</si>
  <si>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</si>
  <si>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</si>
  <si>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</si>
  <si>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</si>
  <si>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</si>
  <si>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</si>
  <si>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</si>
  <si>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</si>
  <si>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</si>
  <si>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</si>
  <si>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</si>
  <si>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</si>
  <si>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</si>
  <si>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по необходимости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</si>
  <si>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</si>
  <si>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</si>
  <si>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</si>
  <si>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</si>
  <si>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</si>
  <si>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</si>
  <si>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</si>
  <si>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</si>
  <si>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</si>
  <si>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</si>
  <si>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</si>
  <si>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</si>
  <si>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</si>
  <si>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ООО «Жилсервис»</t>
  </si>
  <si>
    <t>Влажное подметание лестничных клеток 1 этажа</t>
  </si>
  <si>
    <t>III. Содержание общего имущества</t>
  </si>
  <si>
    <t>генеральный директор Куканов Ю.Л.</t>
  </si>
  <si>
    <t>Сдвигание снега в дни снегопада (проезд)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</si>
  <si>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</si>
  <si>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</si>
  <si>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</si>
  <si>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</si>
  <si>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</si>
  <si>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</si>
  <si>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</si>
  <si>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</si>
  <si>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</si>
  <si>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Уборка газонов</t>
  </si>
  <si>
    <t>1000м2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</si>
  <si>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</si>
  <si>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</si>
  <si>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</si>
  <si>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</si>
  <si>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</si>
  <si>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</si>
  <si>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</si>
  <si>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</si>
  <si>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</si>
  <si>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</si>
  <si>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</si>
  <si>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</si>
  <si>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</si>
  <si>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</si>
  <si>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Стоимость светодиодного светильника</t>
  </si>
  <si>
    <t>Прочистка каналов</t>
  </si>
  <si>
    <t>3м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</si>
  <si>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</si>
  <si>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ул.Космонавтов пгт.Ярега
</t>
  </si>
  <si>
    <t>Влажное подметание лестничных клеток 2-5 этажа</t>
  </si>
  <si>
    <t>Мытье лестничных  площадок и маршей 1-5 этаж.</t>
  </si>
  <si>
    <t>156 раз в год</t>
  </si>
  <si>
    <t>104 раза в год</t>
  </si>
  <si>
    <t xml:space="preserve">24 раза в год </t>
  </si>
  <si>
    <t>Влажная протирка отопительных приборов</t>
  </si>
  <si>
    <t>52 раза в сезон</t>
  </si>
  <si>
    <t>78 раз за сезон</t>
  </si>
  <si>
    <t>Сдвигание снега в дни снегопада (крыльца, тротуары)</t>
  </si>
  <si>
    <t>Вывоз снега с придомовой территории</t>
  </si>
  <si>
    <t>1м3</t>
  </si>
  <si>
    <t>35 раз за сезон</t>
  </si>
  <si>
    <t>20 раз за сезон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</si>
  <si>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</si>
  <si>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</si>
  <si>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Работа автовышки</t>
  </si>
  <si>
    <t>маш-час</t>
  </si>
  <si>
    <t>ТО внутренних сетей водопровода и канализации</t>
  </si>
  <si>
    <t>руб/м2 в мес</t>
  </si>
  <si>
    <t>Смена светодиодных светильников в.о.</t>
  </si>
  <si>
    <t>1 шт.</t>
  </si>
  <si>
    <t>руб.</t>
  </si>
  <si>
    <t>Смена светодиодных светильников н.о.</t>
  </si>
  <si>
    <t>АКТ №1</t>
  </si>
  <si>
    <t>Вывоз смета,травы,ветвей и т.п.- м/ч</t>
  </si>
  <si>
    <t xml:space="preserve"> </t>
  </si>
  <si>
    <t>Очистка  от мусора</t>
  </si>
  <si>
    <t>IV. Содержание общего имущества</t>
  </si>
  <si>
    <t>III. Плановые осмотры</t>
  </si>
  <si>
    <t>V. Прочие услуги</t>
  </si>
  <si>
    <t>АКТ №2</t>
  </si>
  <si>
    <t>АКТ №3</t>
  </si>
  <si>
    <t>АКТ №4</t>
  </si>
  <si>
    <t>АКТ №5</t>
  </si>
  <si>
    <t>АКТ №6</t>
  </si>
  <si>
    <t>IV. Прочие услуги</t>
  </si>
  <si>
    <r>
      <t xml:space="preserve">    Собственники   помещений   в многоквартирном доме, расположенном по адресу:  пгт.Ярега, ул.Космонавтов, д.5,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10.11.2016г. стороны,  и ООО «Жилсервис»,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</si>
  <si>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II. Уборка земельного участка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</si>
  <si>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</si>
  <si>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</si>
  <si>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Итого затраты за месяц</t>
  </si>
  <si>
    <t>Ремонт групповых щитков на лестничной клетке без ремонта автоматов</t>
  </si>
  <si>
    <t>Внеплановый осмотр электросетей, армазуры и электрооборудования на лестничных клетках</t>
  </si>
  <si>
    <t>АКТ №7</t>
  </si>
  <si>
    <t>АКТ №8</t>
  </si>
  <si>
    <t>м</t>
  </si>
  <si>
    <t>АКТ №9</t>
  </si>
  <si>
    <t>1 м</t>
  </si>
  <si>
    <t>АКТ №10</t>
  </si>
  <si>
    <t>10 м2</t>
  </si>
  <si>
    <t>АКТ №11</t>
  </si>
  <si>
    <t>АКТ №12</t>
  </si>
  <si>
    <t>за период с 01.01.2018 г. по 31.01.2018 г.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</si>
  <si>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д.5</t>
    </r>
  </si>
  <si>
    <t>Дератизация</t>
  </si>
  <si>
    <t>м2</t>
  </si>
  <si>
    <t>за период с 01.02.2018 г. по 28.02.2018 г.</t>
  </si>
  <si>
    <t>Очистка канализационной сети внутренней</t>
  </si>
  <si>
    <t>1м</t>
  </si>
  <si>
    <t>Работа гона</t>
  </si>
  <si>
    <t>маш/час</t>
  </si>
  <si>
    <t>за период с 01.03.2018 г. по 31.03.2018 г.</t>
  </si>
  <si>
    <t>за период с 01.04.2018 г. по 30.04.2018 г.</t>
  </si>
  <si>
    <t xml:space="preserve"> Плановые осмотры</t>
  </si>
  <si>
    <t>Внеплановый осмотр шиферной кровли</t>
  </si>
  <si>
    <t>Смена дверных приборов /замки навесные)</t>
  </si>
  <si>
    <t>Смена внутренних трубопроводов из стальных труб диаметром до 32 мм (без стоимости креплений)</t>
  </si>
  <si>
    <t>Заглушка 20</t>
  </si>
  <si>
    <t>Муфта 32</t>
  </si>
  <si>
    <t>Колено 32-90</t>
  </si>
  <si>
    <t>Муфта разъемная 32*25 ВР</t>
  </si>
  <si>
    <t>Смена внутренних трубопроводов из стальных труб диаметром до 40 мм (без стоимости креплений)</t>
  </si>
  <si>
    <t>Колено 40-90</t>
  </si>
  <si>
    <t>Муфта 40</t>
  </si>
  <si>
    <t>Муфта комб. 40*32</t>
  </si>
  <si>
    <t>Тройник 40*20</t>
  </si>
  <si>
    <t>Изготовление щитов на планках для подмостей</t>
  </si>
  <si>
    <t>Разборка оснований покрытия полов - лаг из досок и брусков</t>
  </si>
  <si>
    <t>Внеплановый осмотр электросетей, арматуры и электрооборудования на чердаках, подвалах и техэтажах</t>
  </si>
  <si>
    <t>Внеплановый осмотр вводных электрических щитков</t>
  </si>
  <si>
    <t>Смена светильников с лампами накаливания</t>
  </si>
  <si>
    <t>Ремонт силового предохранительного шкафа (со стоимостью материалов)</t>
  </si>
  <si>
    <t>за период с 01.05.2018 г. по 31.05.2018 г.</t>
  </si>
  <si>
    <t>Работа ротенбергера</t>
  </si>
  <si>
    <t>час</t>
  </si>
  <si>
    <t>Мелкий ремонт электропроводки</t>
  </si>
  <si>
    <t>2. Всего за период с 01.05.2018 по 31.05.2018 выполнено работ (оказано услуг) на общую сумму: 172 099,71 руб.</t>
  </si>
  <si>
    <t>(сто семьдесят две тысячи девяносто девять рублей 71 копейка)</t>
  </si>
  <si>
    <t>за период с 01.06.2018 г. по 30.06.2018 г.</t>
  </si>
  <si>
    <t>Смена трубопроводов на полипропиленовые трубы PN25 Dу 25</t>
  </si>
  <si>
    <t>Муфта 25</t>
  </si>
  <si>
    <t>Муфта разъемная 25*3/4 ВР</t>
  </si>
  <si>
    <t>Муфта разъемная 25*3/4 НР</t>
  </si>
  <si>
    <t>Осмотр водопроводов, канализации, отопления в квартирах</t>
  </si>
  <si>
    <t>Осмотр входной площадки</t>
  </si>
  <si>
    <t>Смена магнитных пускателей</t>
  </si>
  <si>
    <t>Смена дверных приборов - петли</t>
  </si>
  <si>
    <t>2. Всего за период с 01.06.2018 по 30.06.2018 выполнено работ (оказано услуг) на общую сумму: 56125,82 руб.</t>
  </si>
  <si>
    <t>(пятьдесят шесть тысяч сто двадцать пять рублей 82 копейки)</t>
  </si>
  <si>
    <t>за период с 01.07.2018 г. по 31.07.2018 г.</t>
  </si>
  <si>
    <r>
      <t xml:space="preserve">    Собственники   помещений   в многоквартирном доме, расположенном по адресу:  пгт.Ярега, ул.Космонавтов, д.5,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10.11.2016г. стороны,  и ООО «Движение»,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</si>
  <si>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100 кв.</t>
  </si>
  <si>
    <t>Смена дверных приборов - шпингалеты</t>
  </si>
  <si>
    <t>Смена обделок из листовой стали, примыканий к каменным стенам</t>
  </si>
  <si>
    <t>10 м</t>
  </si>
  <si>
    <t>Ремонт отдельных мест покрытия из асбоцементных листов обыкновенного профиля</t>
  </si>
  <si>
    <t>Ремонт и регулировка доводчика ( без стоимости доводчика)</t>
  </si>
  <si>
    <t>2. Всего за период с 01.07.2018 по 31.07.2018 выполнено работ (оказано услуг) на общую сумму: 58812,87 руб.</t>
  </si>
  <si>
    <t>(пятьдесят восемь тысяч восемьсот двенадцать рублей 87 копеек)</t>
  </si>
  <si>
    <t>2. Всего за период с 01.01.2018 по 31.01.2018 выполнено работ (оказано услуг) на общую сумму: 70439,38 руб.</t>
  </si>
  <si>
    <t>(семьдесят тысяч чеыреста тридцать девять рублей 38 копеек)</t>
  </si>
  <si>
    <t>2. Всего за период с 01.02.2018 по 28.02.2018 выполнено работ (оказано услуг) на общую сумму: 70707,11 руб.</t>
  </si>
  <si>
    <t>(семьдесят тысяч семьсот семь рублей 11 копеек)</t>
  </si>
  <si>
    <t>2. Всего за период с 01.03.2018 по 31.03.2018 выполнено работ (оказано услуг) на общую сумму: 54889,18 руб.</t>
  </si>
  <si>
    <t>(пятьдесят четыре тысячи восемьсот восемьдесят девять рублей  18 копеек)</t>
  </si>
  <si>
    <t>2. Всего за период с 01.04.2018 по 30.04.2018 выполнено работ (оказано услуг) на общую сумму: 134468,99руб.</t>
  </si>
  <si>
    <t>(сто тридцать четыре тысячи четыреста шестьдесят восемь рублей 99 копеек )</t>
  </si>
  <si>
    <t>ООО «Движение»</t>
  </si>
  <si>
    <t>за период с 01.08.2018 г. по 31.08.2018 г.</t>
  </si>
  <si>
    <t>Ремонт штукатурки внугренних стен по камню известковым раствором площадью до 1 м2 толщиной слоя до 20 мм</t>
  </si>
  <si>
    <t>0,4 м2</t>
  </si>
  <si>
    <t>2. Всего за период с 01.08.2018 по 31.08.2018 выполнено работ (оказано услуг) на общую сумму: 52571,04 руб.</t>
  </si>
  <si>
    <t>(пятьдесят две тысячи пятьсот семьдесят один рубль 04 копейки)</t>
  </si>
  <si>
    <t>за период с 01.09.2018 г. по 30.09.2018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</si>
  <si>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</si>
  <si>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</si>
  <si>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Демонтаж деревянного пола</t>
  </si>
  <si>
    <t>Восстановление деревянного пола</t>
  </si>
  <si>
    <t>Устройство стяжек цементных толщиной 20 мм</t>
  </si>
  <si>
    <t>Заделка слуховых окон фанерой</t>
  </si>
  <si>
    <t>Работа автопогрузчика</t>
  </si>
  <si>
    <t>2. Всего за период с 01.09.2018 по 30.09.2018 выполнено работ (оказано услуг) на общую сумму: 77928,09 руб.</t>
  </si>
  <si>
    <t>(семьдесят семь тысяч девятьсот двадцать восемь рублей 09 копеек)</t>
  </si>
  <si>
    <t>за период с 01.10.2018 г. по 31.10.2018 г.</t>
  </si>
  <si>
    <t>Спуск и наполнение воды системы отопления без осмотра системы</t>
  </si>
  <si>
    <t>Вода для наполнения системы</t>
  </si>
  <si>
    <t>Смена трубопроводов на полипропиленовые трубы PN25 Dу 25 (чердак)</t>
  </si>
  <si>
    <t>Тройник 25*20</t>
  </si>
  <si>
    <t>Муфта 20*1/2 НР</t>
  </si>
  <si>
    <t>Смена арматуры - вентилей и клапанов обратных муфтовых диаметром до 20 мм</t>
  </si>
  <si>
    <t>1 шт</t>
  </si>
  <si>
    <t>2. Всего за период с 01.10.2018 по 31.10.2018 выполнено работ (оказано услуг) на общую сумму: 61641,22 руб.</t>
  </si>
  <si>
    <t>(шестьдесят одна тысяча шестьсот сорок один рубль 22 копейки)</t>
  </si>
  <si>
    <t>за период с 01.11.2018 г. по 30.11.2018 г.</t>
  </si>
  <si>
    <t>1000мЗ</t>
  </si>
  <si>
    <t>Очистка вручную от снега и наледи люков каналиационных и водопроводных колодцев</t>
  </si>
  <si>
    <t>Ремонт и регулировка доводчика ( со стоимостью доводчика )</t>
  </si>
  <si>
    <t>Внеплановый осмотр канализации в чердачных и подвальных помещениях</t>
  </si>
  <si>
    <t>2. Всего за период с 01.11.2018 по 30.11.2018 выполнено работ (оказано услуг) на общую сумму: 49629,23 руб.</t>
  </si>
  <si>
    <t>(сорок девять тысяч шестьсот двадцать девять рублей 23 копейки)</t>
  </si>
  <si>
    <t>за период с 01.12.2018 г. по 31.12.2018 г.</t>
  </si>
  <si>
    <t>2. Всего за период с 01.12.2018 по 31.12.2018 выполнено работ (оказано услуг) на общую сумму: 49689,40 руб.</t>
  </si>
  <si>
    <t>(сорок девять тысяч шестьсот восемьдесят девять рублей 40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</si>
</sst>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0" borderId="20" xfId="0" applyFont="1" applyFill="1" applyBorder="1" applyAlignment="1">
      <alignment horizontal="center" vertical="center"/>
    </xf>
    <xf numFmtId="0" fontId="0" fillId="0" borderId="3" xfId="0" applyBorder="1"/>
    <xf numFmtId="0" fontId="14" fillId="0" borderId="3" xfId="0" applyFont="1" applyBorder="1" applyAlignment="1">
      <alignment vertical="center"/>
    </xf>
    <xf numFmtId="0" fontId="11" fillId="0" borderId="3" xfId="0" applyFont="1" applyFill="1" applyBorder="1"/>
    <xf numFmtId="0" fontId="13" fillId="0" borderId="4" xfId="0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22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wrapText="1"/>
    </xf>
    <xf numFmtId="4" fontId="11" fillId="0" borderId="23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0" fontId="11" fillId="2" borderId="12" xfId="0" applyNumberFormat="1" applyFont="1" applyFill="1" applyBorder="1" applyAlignment="1" applyProtection="1">
      <alignment horizontal="left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4" fontId="22" fillId="2" borderId="3" xfId="0" applyNumberFormat="1" applyFont="1" applyFill="1" applyBorder="1" applyAlignment="1">
      <alignment horizontal="center" vertical="center"/>
    </xf>
    <xf numFmtId="0" fontId="22" fillId="2" borderId="3" xfId="0" applyNumberFormat="1" applyFont="1" applyFill="1" applyBorder="1" applyAlignment="1" applyProtection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4" fontId="11" fillId="2" borderId="24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11" fillId="2" borderId="12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B90" sqref="B90:G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78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4" t="s">
        <v>136</v>
      </c>
      <c r="B3" s="154"/>
      <c r="C3" s="154"/>
      <c r="D3" s="154"/>
      <c r="E3" s="154"/>
      <c r="F3" s="154"/>
      <c r="G3" s="154"/>
      <c r="H3" s="154"/>
      <c r="I3" s="154"/>
      <c r="J3" s="2"/>
      <c r="K3" s="2"/>
      <c r="L3" s="2"/>
      <c r="M3" s="2"/>
    </row>
    <row r="4" spans="1:13" ht="33.75" customHeight="1">
      <c r="A4" s="155" t="s">
        <v>112</v>
      </c>
      <c r="B4" s="155"/>
      <c r="C4" s="155"/>
      <c r="D4" s="155"/>
      <c r="E4" s="155"/>
      <c r="F4" s="155"/>
      <c r="G4" s="155"/>
      <c r="H4" s="155"/>
      <c r="I4" s="155"/>
      <c r="J4" s="3"/>
      <c r="K4" s="3"/>
      <c r="L4" s="3"/>
      <c r="M4" s="3"/>
    </row>
    <row r="5" spans="1:13" ht="15.75" customHeight="1">
      <c r="A5" s="154" t="s">
        <v>165</v>
      </c>
      <c r="B5" s="156"/>
      <c r="C5" s="156"/>
      <c r="D5" s="156"/>
      <c r="E5" s="156"/>
      <c r="F5" s="156"/>
      <c r="G5" s="156"/>
      <c r="H5" s="156"/>
      <c r="I5" s="156"/>
      <c r="J5" s="4"/>
      <c r="K5" s="4"/>
      <c r="L5" s="4"/>
    </row>
    <row r="6" spans="1:13" ht="15.75" customHeight="1">
      <c r="A6" s="3"/>
      <c r="B6" s="51"/>
      <c r="C6" s="51"/>
      <c r="D6" s="51"/>
      <c r="E6" s="51"/>
      <c r="F6" s="51"/>
      <c r="G6" s="51"/>
      <c r="H6" s="51"/>
      <c r="I6" s="32">
        <v>43131</v>
      </c>
    </row>
    <row r="7" spans="1:13" ht="15.75">
      <c r="B7" s="53"/>
      <c r="C7" s="53"/>
      <c r="D7" s="5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57" t="s">
        <v>149</v>
      </c>
      <c r="B8" s="157"/>
      <c r="C8" s="157"/>
      <c r="D8" s="157"/>
      <c r="E8" s="157"/>
      <c r="F8" s="157"/>
      <c r="G8" s="157"/>
      <c r="H8" s="157"/>
      <c r="I8" s="157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158" t="s">
        <v>166</v>
      </c>
      <c r="B10" s="158"/>
      <c r="C10" s="158"/>
      <c r="D10" s="158"/>
      <c r="E10" s="158"/>
      <c r="F10" s="158"/>
      <c r="G10" s="158"/>
      <c r="H10" s="158"/>
      <c r="I10" s="15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59" t="s">
        <v>57</v>
      </c>
      <c r="B14" s="159"/>
      <c r="C14" s="159"/>
      <c r="D14" s="159"/>
      <c r="E14" s="159"/>
      <c r="F14" s="159"/>
      <c r="G14" s="159"/>
      <c r="H14" s="159"/>
      <c r="I14" s="159"/>
    </row>
    <row r="15" spans="1:13">
      <c r="A15" s="161" t="s">
        <v>4</v>
      </c>
      <c r="B15" s="161"/>
      <c r="C15" s="161"/>
      <c r="D15" s="161"/>
      <c r="E15" s="161"/>
      <c r="F15" s="161"/>
      <c r="G15" s="161"/>
      <c r="H15" s="161"/>
      <c r="I15" s="161"/>
      <c r="J15" s="9"/>
      <c r="K15" s="9"/>
      <c r="L15" s="9"/>
      <c r="M15" s="9"/>
    </row>
    <row r="16" spans="1:13" ht="15.75" customHeight="1">
      <c r="A16" s="59">
        <v>1</v>
      </c>
      <c r="B16" s="64" t="s">
        <v>79</v>
      </c>
      <c r="C16" s="65" t="s">
        <v>83</v>
      </c>
      <c r="D16" s="64" t="s">
        <v>115</v>
      </c>
      <c r="E16" s="66">
        <v>54</v>
      </c>
      <c r="F16" s="67">
        <f>SUM(E16*156/100)</f>
        <v>84.24</v>
      </c>
      <c r="G16" s="67">
        <v>218.21</v>
      </c>
      <c r="H16" s="68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4" t="s">
        <v>113</v>
      </c>
      <c r="C17" s="65" t="s">
        <v>83</v>
      </c>
      <c r="D17" s="64" t="s">
        <v>116</v>
      </c>
      <c r="E17" s="66">
        <v>216</v>
      </c>
      <c r="F17" s="67">
        <f>SUM(E17*104/100)</f>
        <v>224.64</v>
      </c>
      <c r="G17" s="67">
        <v>218.21</v>
      </c>
      <c r="H17" s="68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4" t="s">
        <v>114</v>
      </c>
      <c r="C18" s="65" t="s">
        <v>83</v>
      </c>
      <c r="D18" s="64" t="s">
        <v>117</v>
      </c>
      <c r="E18" s="66">
        <f>SUM(E16+E17)</f>
        <v>270</v>
      </c>
      <c r="F18" s="67">
        <f>SUM(E18*24/100)</f>
        <v>64.8</v>
      </c>
      <c r="G18" s="67">
        <v>627.77</v>
      </c>
      <c r="H18" s="68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/>
      <c r="B19" s="64" t="s">
        <v>84</v>
      </c>
      <c r="C19" s="65" t="s">
        <v>85</v>
      </c>
      <c r="D19" s="64" t="s">
        <v>86</v>
      </c>
      <c r="E19" s="66">
        <v>40</v>
      </c>
      <c r="F19" s="67">
        <f>SUM(E19/10)</f>
        <v>4</v>
      </c>
      <c r="G19" s="67">
        <v>211.74</v>
      </c>
      <c r="H19" s="68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9"/>
      <c r="B20" s="64" t="s">
        <v>87</v>
      </c>
      <c r="C20" s="65" t="s">
        <v>83</v>
      </c>
      <c r="D20" s="64" t="s">
        <v>40</v>
      </c>
      <c r="E20" s="66">
        <v>10.5</v>
      </c>
      <c r="F20" s="67">
        <f>SUM(E20*2/100)</f>
        <v>0.21</v>
      </c>
      <c r="G20" s="67">
        <v>271.12</v>
      </c>
      <c r="H20" s="68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9"/>
      <c r="B21" s="64" t="s">
        <v>88</v>
      </c>
      <c r="C21" s="65" t="s">
        <v>83</v>
      </c>
      <c r="D21" s="64" t="s">
        <v>40</v>
      </c>
      <c r="E21" s="66">
        <v>2.7</v>
      </c>
      <c r="F21" s="67">
        <f>SUM(E21*2/100)</f>
        <v>5.4000000000000006E-2</v>
      </c>
      <c r="G21" s="67">
        <v>268.92</v>
      </c>
      <c r="H21" s="68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9"/>
      <c r="B22" s="64" t="s">
        <v>89</v>
      </c>
      <c r="C22" s="65" t="s">
        <v>50</v>
      </c>
      <c r="D22" s="64" t="s">
        <v>86</v>
      </c>
      <c r="E22" s="66">
        <v>357</v>
      </c>
      <c r="F22" s="67">
        <f t="shared" ref="F22:F25" si="1">SUM(E22/100)</f>
        <v>3.57</v>
      </c>
      <c r="G22" s="67">
        <v>335.05</v>
      </c>
      <c r="H22" s="68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9"/>
      <c r="B23" s="64" t="s">
        <v>90</v>
      </c>
      <c r="C23" s="65" t="s">
        <v>50</v>
      </c>
      <c r="D23" s="64" t="s">
        <v>86</v>
      </c>
      <c r="E23" s="69">
        <v>38.64</v>
      </c>
      <c r="F23" s="67">
        <f t="shared" si="1"/>
        <v>0.38640000000000002</v>
      </c>
      <c r="G23" s="67">
        <v>55.1</v>
      </c>
      <c r="H23" s="68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9"/>
      <c r="B24" s="64" t="s">
        <v>91</v>
      </c>
      <c r="C24" s="65" t="s">
        <v>50</v>
      </c>
      <c r="D24" s="70" t="s">
        <v>86</v>
      </c>
      <c r="E24" s="19">
        <v>15</v>
      </c>
      <c r="F24" s="71">
        <f t="shared" si="1"/>
        <v>0.15</v>
      </c>
      <c r="G24" s="67">
        <v>484.94</v>
      </c>
      <c r="H24" s="68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9"/>
      <c r="B25" s="64" t="s">
        <v>118</v>
      </c>
      <c r="C25" s="65" t="s">
        <v>50</v>
      </c>
      <c r="D25" s="64" t="s">
        <v>86</v>
      </c>
      <c r="E25" s="72">
        <v>6.38</v>
      </c>
      <c r="F25" s="67">
        <f t="shared" si="1"/>
        <v>6.3799999999999996E-2</v>
      </c>
      <c r="G25" s="67">
        <v>648.04999999999995</v>
      </c>
      <c r="H25" s="68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9">
        <v>4</v>
      </c>
      <c r="B26" s="64" t="s">
        <v>62</v>
      </c>
      <c r="C26" s="65" t="s">
        <v>31</v>
      </c>
      <c r="D26" s="64"/>
      <c r="E26" s="66">
        <v>0.1</v>
      </c>
      <c r="F26" s="67">
        <f>SUM(E26*365)</f>
        <v>36.5</v>
      </c>
      <c r="G26" s="67">
        <v>182.96</v>
      </c>
      <c r="H26" s="68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5" t="s">
        <v>23</v>
      </c>
      <c r="C27" s="65" t="s">
        <v>24</v>
      </c>
      <c r="D27" s="64"/>
      <c r="E27" s="66">
        <v>3216.2</v>
      </c>
      <c r="F27" s="67">
        <f>SUM(E27*12)</f>
        <v>38594.399999999994</v>
      </c>
      <c r="G27" s="67">
        <v>4.01</v>
      </c>
      <c r="H27" s="68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5" t="s">
        <v>150</v>
      </c>
      <c r="B28" s="166"/>
      <c r="C28" s="166"/>
      <c r="D28" s="166"/>
      <c r="E28" s="166"/>
      <c r="F28" s="166"/>
      <c r="G28" s="166"/>
      <c r="H28" s="166"/>
      <c r="I28" s="167"/>
      <c r="J28" s="24"/>
      <c r="K28" s="9"/>
      <c r="L28" s="9"/>
      <c r="M28" s="9"/>
    </row>
    <row r="29" spans="1:13" ht="15.75" hidden="1" customHeight="1">
      <c r="A29" s="104"/>
      <c r="B29" s="94" t="s">
        <v>27</v>
      </c>
      <c r="C29" s="105"/>
      <c r="D29" s="105"/>
      <c r="E29" s="105"/>
      <c r="F29" s="105"/>
      <c r="G29" s="105"/>
      <c r="H29" s="105"/>
      <c r="I29" s="105"/>
      <c r="J29" s="24"/>
      <c r="K29" s="9"/>
      <c r="L29" s="9"/>
      <c r="M29" s="9"/>
    </row>
    <row r="30" spans="1:13" ht="15.75" hidden="1" customHeight="1">
      <c r="A30" s="103"/>
      <c r="B30" s="64" t="s">
        <v>92</v>
      </c>
      <c r="C30" s="65" t="s">
        <v>93</v>
      </c>
      <c r="D30" s="64" t="s">
        <v>119</v>
      </c>
      <c r="E30" s="67">
        <v>191.65</v>
      </c>
      <c r="F30" s="67">
        <f>SUM(E30*52/1000)</f>
        <v>9.9658000000000015</v>
      </c>
      <c r="G30" s="67">
        <v>193.97</v>
      </c>
      <c r="H30" s="68">
        <f t="shared" ref="H30:H35" si="2">SUM(F30*G30/1000)</f>
        <v>1.9330662260000004</v>
      </c>
      <c r="I30" s="14">
        <v>0</v>
      </c>
      <c r="J30" s="24"/>
      <c r="K30" s="9"/>
      <c r="L30" s="9"/>
      <c r="M30" s="9"/>
    </row>
    <row r="31" spans="1:13" ht="31.5" hidden="1" customHeight="1">
      <c r="A31" s="59"/>
      <c r="B31" s="64" t="s">
        <v>151</v>
      </c>
      <c r="C31" s="65" t="s">
        <v>93</v>
      </c>
      <c r="D31" s="64" t="s">
        <v>120</v>
      </c>
      <c r="E31" s="67">
        <v>67.650000000000006</v>
      </c>
      <c r="F31" s="67">
        <f>SUM(E31*78/1000)</f>
        <v>5.2767000000000008</v>
      </c>
      <c r="G31" s="67">
        <v>321.82</v>
      </c>
      <c r="H31" s="68">
        <f t="shared" si="2"/>
        <v>1.6981475940000001</v>
      </c>
      <c r="I31" s="14">
        <v>0</v>
      </c>
      <c r="J31" s="24"/>
      <c r="K31" s="9"/>
      <c r="L31" s="9"/>
      <c r="M31" s="9"/>
    </row>
    <row r="32" spans="1:13" ht="15.75" hidden="1" customHeight="1">
      <c r="A32" s="59"/>
      <c r="B32" s="64" t="s">
        <v>26</v>
      </c>
      <c r="C32" s="65" t="s">
        <v>93</v>
      </c>
      <c r="D32" s="64" t="s">
        <v>51</v>
      </c>
      <c r="E32" s="67">
        <v>191.65</v>
      </c>
      <c r="F32" s="67">
        <f>SUM(E32/1000)</f>
        <v>0.19165000000000001</v>
      </c>
      <c r="G32" s="67">
        <v>3758.28</v>
      </c>
      <c r="H32" s="68">
        <f t="shared" si="2"/>
        <v>0.72027436200000006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4" t="s">
        <v>94</v>
      </c>
      <c r="C33" s="65" t="s">
        <v>29</v>
      </c>
      <c r="D33" s="64" t="s">
        <v>61</v>
      </c>
      <c r="E33" s="74">
        <f>1/3</f>
        <v>0.33333333333333331</v>
      </c>
      <c r="F33" s="67">
        <f>155/3</f>
        <v>51.666666666666664</v>
      </c>
      <c r="G33" s="67">
        <v>70.540000000000006</v>
      </c>
      <c r="H33" s="68">
        <f t="shared" si="2"/>
        <v>3.6445666666666665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4" t="s">
        <v>63</v>
      </c>
      <c r="C34" s="65" t="s">
        <v>31</v>
      </c>
      <c r="D34" s="64" t="s">
        <v>64</v>
      </c>
      <c r="E34" s="66"/>
      <c r="F34" s="67">
        <v>3</v>
      </c>
      <c r="G34" s="67">
        <v>238.07</v>
      </c>
      <c r="H34" s="68">
        <f t="shared" si="2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4" t="s">
        <v>137</v>
      </c>
      <c r="C35" s="65" t="s">
        <v>30</v>
      </c>
      <c r="D35" s="64" t="s">
        <v>64</v>
      </c>
      <c r="E35" s="66"/>
      <c r="F35" s="67">
        <v>2</v>
      </c>
      <c r="G35" s="67">
        <v>1413.96</v>
      </c>
      <c r="H35" s="68">
        <f t="shared" si="2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4"/>
      <c r="B36" s="94" t="s">
        <v>5</v>
      </c>
      <c r="C36" s="105"/>
      <c r="D36" s="105"/>
      <c r="E36" s="105"/>
      <c r="F36" s="105"/>
      <c r="G36" s="105"/>
      <c r="H36" s="105"/>
      <c r="I36" s="105"/>
      <c r="J36" s="25"/>
    </row>
    <row r="37" spans="1:14" ht="15.75" customHeight="1">
      <c r="A37" s="103">
        <v>6</v>
      </c>
      <c r="B37" s="64" t="s">
        <v>25</v>
      </c>
      <c r="C37" s="65" t="s">
        <v>30</v>
      </c>
      <c r="D37" s="64"/>
      <c r="E37" s="66"/>
      <c r="F37" s="67">
        <v>3</v>
      </c>
      <c r="G37" s="67">
        <v>1900.37</v>
      </c>
      <c r="H37" s="68">
        <f t="shared" ref="H37:H43" si="3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9">
        <v>7</v>
      </c>
      <c r="B38" s="64" t="s">
        <v>82</v>
      </c>
      <c r="C38" s="65" t="s">
        <v>28</v>
      </c>
      <c r="D38" s="64" t="s">
        <v>95</v>
      </c>
      <c r="E38" s="66">
        <v>67.650000000000006</v>
      </c>
      <c r="F38" s="67">
        <f>E38*30/1000</f>
        <v>2.0295000000000001</v>
      </c>
      <c r="G38" s="67">
        <v>2616.4899999999998</v>
      </c>
      <c r="H38" s="68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9">
        <v>8</v>
      </c>
      <c r="B39" s="64" t="s">
        <v>121</v>
      </c>
      <c r="C39" s="65" t="s">
        <v>28</v>
      </c>
      <c r="D39" s="64" t="s">
        <v>96</v>
      </c>
      <c r="E39" s="66">
        <v>67.650000000000006</v>
      </c>
      <c r="F39" s="67">
        <f>E39*155/1000</f>
        <v>10.485749999999999</v>
      </c>
      <c r="G39" s="67">
        <v>436.45</v>
      </c>
      <c r="H39" s="68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59"/>
      <c r="B40" s="64" t="s">
        <v>122</v>
      </c>
      <c r="C40" s="65" t="s">
        <v>123</v>
      </c>
      <c r="D40" s="64" t="s">
        <v>64</v>
      </c>
      <c r="E40" s="66"/>
      <c r="F40" s="67">
        <v>64</v>
      </c>
      <c r="G40" s="67">
        <v>226.84</v>
      </c>
      <c r="H40" s="68">
        <f>G40*F40/1000</f>
        <v>14.517760000000001</v>
      </c>
      <c r="I40" s="14">
        <v>0</v>
      </c>
      <c r="J40" s="25"/>
    </row>
    <row r="41" spans="1:14" ht="47.25" customHeight="1">
      <c r="A41" s="59">
        <v>9</v>
      </c>
      <c r="B41" s="64" t="s">
        <v>77</v>
      </c>
      <c r="C41" s="65" t="s">
        <v>28</v>
      </c>
      <c r="D41" s="64" t="s">
        <v>124</v>
      </c>
      <c r="E41" s="67">
        <v>67.650000000000006</v>
      </c>
      <c r="F41" s="67">
        <f>SUM(E41*35/1000)</f>
        <v>2.36775</v>
      </c>
      <c r="G41" s="67">
        <v>7221.21</v>
      </c>
      <c r="H41" s="68">
        <f t="shared" si="3"/>
        <v>17.098019977500002</v>
      </c>
      <c r="I41" s="14">
        <f>F41/6*G41</f>
        <v>2849.6699962500002</v>
      </c>
      <c r="J41" s="25"/>
    </row>
    <row r="42" spans="1:14" ht="15.75" customHeight="1">
      <c r="A42" s="59">
        <v>10</v>
      </c>
      <c r="B42" s="64" t="s">
        <v>97</v>
      </c>
      <c r="C42" s="65" t="s">
        <v>93</v>
      </c>
      <c r="D42" s="64" t="s">
        <v>125</v>
      </c>
      <c r="E42" s="67">
        <v>67.650000000000006</v>
      </c>
      <c r="F42" s="67">
        <f>SUM(E42*20/1000)</f>
        <v>1.353</v>
      </c>
      <c r="G42" s="67">
        <v>533.45000000000005</v>
      </c>
      <c r="H42" s="68">
        <f t="shared" si="3"/>
        <v>0.72175785000000003</v>
      </c>
      <c r="I42" s="14">
        <f>F42/7.5*G42</f>
        <v>96.234380000000016</v>
      </c>
      <c r="J42" s="25"/>
    </row>
    <row r="43" spans="1:14" ht="15.75" customHeight="1">
      <c r="A43" s="59">
        <v>11</v>
      </c>
      <c r="B43" s="64" t="s">
        <v>65</v>
      </c>
      <c r="C43" s="65" t="s">
        <v>31</v>
      </c>
      <c r="D43" s="64"/>
      <c r="E43" s="66"/>
      <c r="F43" s="67">
        <v>0.8</v>
      </c>
      <c r="G43" s="67">
        <v>992.97</v>
      </c>
      <c r="H43" s="68">
        <f t="shared" si="3"/>
        <v>0.79437600000000008</v>
      </c>
      <c r="I43" s="14">
        <f>F43/7.5*G43</f>
        <v>105.91680000000001</v>
      </c>
      <c r="J43" s="25"/>
    </row>
    <row r="44" spans="1:14" ht="15.75" customHeight="1">
      <c r="A44" s="162" t="s">
        <v>141</v>
      </c>
      <c r="B44" s="163"/>
      <c r="C44" s="163"/>
      <c r="D44" s="163"/>
      <c r="E44" s="163"/>
      <c r="F44" s="163"/>
      <c r="G44" s="163"/>
      <c r="H44" s="163"/>
      <c r="I44" s="164"/>
      <c r="J44" s="25"/>
      <c r="L44" s="20"/>
      <c r="M44" s="21"/>
      <c r="N44" s="22"/>
    </row>
    <row r="45" spans="1:14" ht="15.75" hidden="1" customHeight="1">
      <c r="A45" s="59"/>
      <c r="B45" s="64" t="s">
        <v>98</v>
      </c>
      <c r="C45" s="65" t="s">
        <v>93</v>
      </c>
      <c r="D45" s="64" t="s">
        <v>40</v>
      </c>
      <c r="E45" s="66">
        <v>1114.75</v>
      </c>
      <c r="F45" s="67">
        <f>SUM(E45*2/1000)</f>
        <v>2.2294999999999998</v>
      </c>
      <c r="G45" s="14">
        <v>1283.46</v>
      </c>
      <c r="H45" s="68">
        <f t="shared" ref="H45:H53" si="4">SUM(F45*G45/1000)</f>
        <v>2.8614740699999999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9"/>
      <c r="B46" s="64" t="s">
        <v>34</v>
      </c>
      <c r="C46" s="65" t="s">
        <v>93</v>
      </c>
      <c r="D46" s="64" t="s">
        <v>40</v>
      </c>
      <c r="E46" s="66">
        <v>1563.3</v>
      </c>
      <c r="F46" s="67">
        <f>SUM(E46*2/1000)</f>
        <v>3.1265999999999998</v>
      </c>
      <c r="G46" s="14">
        <v>1711.28</v>
      </c>
      <c r="H46" s="68">
        <f t="shared" si="4"/>
        <v>5.350488047999999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9"/>
      <c r="B47" s="64" t="s">
        <v>35</v>
      </c>
      <c r="C47" s="65" t="s">
        <v>93</v>
      </c>
      <c r="D47" s="64" t="s">
        <v>40</v>
      </c>
      <c r="E47" s="66">
        <v>1619.6</v>
      </c>
      <c r="F47" s="67">
        <f>SUM(E47*2/1000)</f>
        <v>3.2391999999999999</v>
      </c>
      <c r="G47" s="14">
        <v>1179.73</v>
      </c>
      <c r="H47" s="68">
        <f t="shared" si="4"/>
        <v>3.8213814159999999</v>
      </c>
      <c r="I47" s="14">
        <v>0</v>
      </c>
      <c r="J47" s="25"/>
      <c r="L47" s="20"/>
      <c r="M47" s="21"/>
      <c r="N47" s="22"/>
    </row>
    <row r="48" spans="1:14" ht="15.75" hidden="1" customHeight="1">
      <c r="A48" s="59"/>
      <c r="B48" s="64" t="s">
        <v>32</v>
      </c>
      <c r="C48" s="65" t="s">
        <v>33</v>
      </c>
      <c r="D48" s="64" t="s">
        <v>40</v>
      </c>
      <c r="E48" s="66">
        <v>85.84</v>
      </c>
      <c r="F48" s="67">
        <f>SUM(E48*2/100)</f>
        <v>1.7168000000000001</v>
      </c>
      <c r="G48" s="14">
        <v>90.61</v>
      </c>
      <c r="H48" s="68">
        <f t="shared" si="4"/>
        <v>0.15555924799999998</v>
      </c>
      <c r="I48" s="14">
        <v>0</v>
      </c>
      <c r="J48" s="25"/>
      <c r="L48" s="20"/>
      <c r="M48" s="21"/>
      <c r="N48" s="22"/>
    </row>
    <row r="49" spans="1:14" ht="15.75" customHeight="1">
      <c r="A49" s="59">
        <v>12</v>
      </c>
      <c r="B49" s="64" t="s">
        <v>54</v>
      </c>
      <c r="C49" s="65" t="s">
        <v>93</v>
      </c>
      <c r="D49" s="64" t="s">
        <v>152</v>
      </c>
      <c r="E49" s="66">
        <v>3216.2</v>
      </c>
      <c r="F49" s="67">
        <f>SUM(E49*5/1000)</f>
        <v>16.081</v>
      </c>
      <c r="G49" s="14">
        <v>1711.28</v>
      </c>
      <c r="H49" s="68">
        <f t="shared" si="4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4" t="s">
        <v>99</v>
      </c>
      <c r="C50" s="65" t="s">
        <v>93</v>
      </c>
      <c r="D50" s="64" t="s">
        <v>40</v>
      </c>
      <c r="E50" s="66">
        <v>3216.2</v>
      </c>
      <c r="F50" s="67">
        <f>SUM(E50*2/1000)</f>
        <v>6.4323999999999995</v>
      </c>
      <c r="G50" s="14">
        <v>1510.06</v>
      </c>
      <c r="H50" s="68">
        <f t="shared" si="4"/>
        <v>9.7133099439999988</v>
      </c>
      <c r="I50" s="14">
        <v>0</v>
      </c>
      <c r="J50" s="25"/>
      <c r="L50" s="20"/>
      <c r="M50" s="21"/>
      <c r="N50" s="22"/>
    </row>
    <row r="51" spans="1:14" ht="31.5" hidden="1" customHeight="1">
      <c r="A51" s="59"/>
      <c r="B51" s="64" t="s">
        <v>100</v>
      </c>
      <c r="C51" s="65" t="s">
        <v>36</v>
      </c>
      <c r="D51" s="64" t="s">
        <v>40</v>
      </c>
      <c r="E51" s="66">
        <v>16</v>
      </c>
      <c r="F51" s="67">
        <f>SUM(E51*2/100)</f>
        <v>0.32</v>
      </c>
      <c r="G51" s="14">
        <v>3850.4</v>
      </c>
      <c r="H51" s="68">
        <f t="shared" si="4"/>
        <v>1.2321280000000001</v>
      </c>
      <c r="I51" s="14">
        <v>0</v>
      </c>
      <c r="J51" s="25"/>
      <c r="L51" s="20"/>
      <c r="M51" s="21"/>
      <c r="N51" s="22"/>
    </row>
    <row r="52" spans="1:14" ht="15.75" hidden="1" customHeight="1">
      <c r="A52" s="59"/>
      <c r="B52" s="64" t="s">
        <v>37</v>
      </c>
      <c r="C52" s="65" t="s">
        <v>38</v>
      </c>
      <c r="D52" s="64" t="s">
        <v>40</v>
      </c>
      <c r="E52" s="66">
        <v>1</v>
      </c>
      <c r="F52" s="67">
        <v>0.02</v>
      </c>
      <c r="G52" s="14">
        <v>7033.13</v>
      </c>
      <c r="H52" s="68">
        <f t="shared" si="4"/>
        <v>0.1406626</v>
      </c>
      <c r="I52" s="14">
        <v>0</v>
      </c>
      <c r="J52" s="25"/>
      <c r="L52" s="20"/>
      <c r="M52" s="21"/>
      <c r="N52" s="22"/>
    </row>
    <row r="53" spans="1:14" ht="15.75" customHeight="1">
      <c r="A53" s="59">
        <v>13</v>
      </c>
      <c r="B53" s="64" t="s">
        <v>39</v>
      </c>
      <c r="C53" s="65" t="s">
        <v>101</v>
      </c>
      <c r="D53" s="64" t="s">
        <v>66</v>
      </c>
      <c r="E53" s="66">
        <v>128</v>
      </c>
      <c r="F53" s="67">
        <f>SUM(E53)*3</f>
        <v>384</v>
      </c>
      <c r="G53" s="14">
        <v>81.73</v>
      </c>
      <c r="H53" s="68">
        <f t="shared" si="4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2" t="s">
        <v>140</v>
      </c>
      <c r="B54" s="172"/>
      <c r="C54" s="172"/>
      <c r="D54" s="172"/>
      <c r="E54" s="172"/>
      <c r="F54" s="172"/>
      <c r="G54" s="172"/>
      <c r="H54" s="172"/>
      <c r="I54" s="173"/>
      <c r="J54" s="25"/>
      <c r="L54" s="20"/>
      <c r="M54" s="21"/>
      <c r="N54" s="22"/>
    </row>
    <row r="55" spans="1:14" ht="15.75" hidden="1" customHeight="1">
      <c r="A55" s="59"/>
      <c r="B55" s="88" t="s">
        <v>41</v>
      </c>
      <c r="C55" s="65"/>
      <c r="D55" s="64"/>
      <c r="E55" s="66"/>
      <c r="F55" s="67"/>
      <c r="G55" s="67"/>
      <c r="H55" s="68"/>
      <c r="I55" s="14"/>
      <c r="J55" s="25"/>
      <c r="L55" s="20"/>
      <c r="M55" s="21"/>
      <c r="N55" s="22"/>
    </row>
    <row r="56" spans="1:14" ht="31.5" hidden="1" customHeight="1">
      <c r="A56" s="59">
        <v>14</v>
      </c>
      <c r="B56" s="64" t="s">
        <v>126</v>
      </c>
      <c r="C56" s="65" t="s">
        <v>83</v>
      </c>
      <c r="D56" s="64" t="s">
        <v>127</v>
      </c>
      <c r="E56" s="66">
        <v>123.31</v>
      </c>
      <c r="F56" s="67">
        <f>SUM(E56*6/100)</f>
        <v>7.3986000000000001</v>
      </c>
      <c r="G56" s="14">
        <v>2306.62</v>
      </c>
      <c r="H56" s="68">
        <f>SUM(F56*G56/1000)</f>
        <v>17.065758731999999</v>
      </c>
      <c r="I56" s="14">
        <v>0</v>
      </c>
      <c r="J56" s="25"/>
      <c r="L56" s="20"/>
      <c r="M56" s="21"/>
      <c r="N56" s="22"/>
    </row>
    <row r="57" spans="1:14" ht="15.75" hidden="1" customHeight="1">
      <c r="A57" s="60"/>
      <c r="B57" s="77" t="s">
        <v>128</v>
      </c>
      <c r="C57" s="76" t="s">
        <v>129</v>
      </c>
      <c r="D57" s="77" t="s">
        <v>64</v>
      </c>
      <c r="E57" s="78"/>
      <c r="F57" s="79">
        <v>3</v>
      </c>
      <c r="G57" s="14">
        <v>1501</v>
      </c>
      <c r="H57" s="68">
        <f>SUM(F57*G57/1000)</f>
        <v>4.5030000000000001</v>
      </c>
      <c r="I57" s="14">
        <v>0</v>
      </c>
      <c r="J57" s="25"/>
      <c r="L57" s="20"/>
      <c r="M57" s="21"/>
      <c r="N57" s="22"/>
    </row>
    <row r="58" spans="1:14" ht="15.75" hidden="1" customHeight="1">
      <c r="A58" s="60"/>
      <c r="B58" s="89" t="s">
        <v>42</v>
      </c>
      <c r="C58" s="76"/>
      <c r="D58" s="77"/>
      <c r="E58" s="78"/>
      <c r="F58" s="79"/>
      <c r="G58" s="14"/>
      <c r="H58" s="80"/>
      <c r="I58" s="14"/>
      <c r="J58" s="25"/>
      <c r="L58" s="20"/>
      <c r="M58" s="21"/>
      <c r="N58" s="22"/>
    </row>
    <row r="59" spans="1:14" ht="15.75" hidden="1" customHeight="1">
      <c r="A59" s="60"/>
      <c r="B59" s="77" t="s">
        <v>139</v>
      </c>
      <c r="C59" s="76" t="s">
        <v>50</v>
      </c>
      <c r="D59" s="77" t="s">
        <v>51</v>
      </c>
      <c r="E59" s="78">
        <v>451</v>
      </c>
      <c r="F59" s="79">
        <v>8.9</v>
      </c>
      <c r="G59" s="14">
        <v>987.51</v>
      </c>
      <c r="H59" s="80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89" t="s">
        <v>43</v>
      </c>
      <c r="C60" s="76"/>
      <c r="D60" s="77"/>
      <c r="E60" s="108"/>
      <c r="F60" s="67"/>
      <c r="G60" s="111"/>
      <c r="H60" s="79" t="s">
        <v>138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44</v>
      </c>
      <c r="C61" s="17" t="s">
        <v>101</v>
      </c>
      <c r="D61" s="15" t="s">
        <v>64</v>
      </c>
      <c r="E61" s="109">
        <v>10</v>
      </c>
      <c r="F61" s="67">
        <f>E61</f>
        <v>10</v>
      </c>
      <c r="G61" s="112">
        <v>276.74</v>
      </c>
      <c r="H61" s="63">
        <f t="shared" ref="H61:H69" si="5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45</v>
      </c>
      <c r="C62" s="17" t="s">
        <v>101</v>
      </c>
      <c r="D62" s="15" t="s">
        <v>64</v>
      </c>
      <c r="E62" s="109">
        <v>10</v>
      </c>
      <c r="F62" s="67">
        <f>E62</f>
        <v>10</v>
      </c>
      <c r="G62" s="112">
        <v>94.89</v>
      </c>
      <c r="H62" s="63">
        <f t="shared" si="5"/>
        <v>0.94889999999999997</v>
      </c>
      <c r="I62" s="14">
        <v>0</v>
      </c>
      <c r="J62" s="25"/>
      <c r="L62" s="20"/>
    </row>
    <row r="63" spans="1:14" ht="15.75" hidden="1" customHeight="1">
      <c r="A63" s="17"/>
      <c r="B63" s="15" t="s">
        <v>46</v>
      </c>
      <c r="C63" s="17" t="s">
        <v>102</v>
      </c>
      <c r="D63" s="15" t="s">
        <v>51</v>
      </c>
      <c r="E63" s="110">
        <v>13447</v>
      </c>
      <c r="F63" s="67">
        <f>SUM(E63/100)</f>
        <v>134.47</v>
      </c>
      <c r="G63" s="112">
        <v>263.99</v>
      </c>
      <c r="H63" s="63">
        <f t="shared" si="5"/>
        <v>35.4987353</v>
      </c>
      <c r="I63" s="14">
        <v>0</v>
      </c>
      <c r="J63" s="25"/>
      <c r="L63" s="20"/>
    </row>
    <row r="64" spans="1:14" ht="15.75" hidden="1" customHeight="1">
      <c r="A64" s="17"/>
      <c r="B64" s="15" t="s">
        <v>47</v>
      </c>
      <c r="C64" s="17" t="s">
        <v>103</v>
      </c>
      <c r="D64" s="15"/>
      <c r="E64" s="110">
        <v>13447</v>
      </c>
      <c r="F64" s="67">
        <f>SUM(E64/1000)</f>
        <v>13.446999999999999</v>
      </c>
      <c r="G64" s="112">
        <v>205.57</v>
      </c>
      <c r="H64" s="63">
        <f t="shared" si="5"/>
        <v>2.7642997899999995</v>
      </c>
      <c r="I64" s="14">
        <v>0</v>
      </c>
    </row>
    <row r="65" spans="1:22" ht="15.75" hidden="1" customHeight="1">
      <c r="A65" s="17"/>
      <c r="B65" s="15" t="s">
        <v>48</v>
      </c>
      <c r="C65" s="17" t="s">
        <v>72</v>
      </c>
      <c r="D65" s="15" t="s">
        <v>51</v>
      </c>
      <c r="E65" s="110">
        <v>2200</v>
      </c>
      <c r="F65" s="67">
        <f>SUM(E65/100)</f>
        <v>22</v>
      </c>
      <c r="G65" s="112">
        <v>2581.5300000000002</v>
      </c>
      <c r="H65" s="63">
        <f t="shared" si="5"/>
        <v>56.793660000000003</v>
      </c>
      <c r="I65" s="14">
        <v>0</v>
      </c>
    </row>
    <row r="66" spans="1:22" ht="15.75" hidden="1" customHeight="1">
      <c r="A66" s="17"/>
      <c r="B66" s="81" t="s">
        <v>104</v>
      </c>
      <c r="C66" s="17" t="s">
        <v>31</v>
      </c>
      <c r="D66" s="15"/>
      <c r="E66" s="110">
        <v>12.1</v>
      </c>
      <c r="F66" s="67">
        <f>SUM(E66)</f>
        <v>12.1</v>
      </c>
      <c r="G66" s="112">
        <v>47.45</v>
      </c>
      <c r="H66" s="63">
        <f t="shared" si="5"/>
        <v>0.57414500000000002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06"/>
      <c r="B67" s="81" t="s">
        <v>105</v>
      </c>
      <c r="C67" s="17" t="s">
        <v>31</v>
      </c>
      <c r="D67" s="15"/>
      <c r="E67" s="110">
        <v>12.1</v>
      </c>
      <c r="F67" s="67">
        <f>SUM(E67)</f>
        <v>12.1</v>
      </c>
      <c r="G67" s="112">
        <v>44.27</v>
      </c>
      <c r="H67" s="63">
        <f t="shared" si="5"/>
        <v>0.535667</v>
      </c>
      <c r="I67" s="14">
        <v>0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55</v>
      </c>
      <c r="C68" s="17" t="s">
        <v>56</v>
      </c>
      <c r="D68" s="15" t="s">
        <v>51</v>
      </c>
      <c r="E68" s="109">
        <v>4</v>
      </c>
      <c r="F68" s="67">
        <v>4</v>
      </c>
      <c r="G68" s="112">
        <v>62.07</v>
      </c>
      <c r="H68" s="63">
        <f t="shared" si="5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14</v>
      </c>
      <c r="B69" s="15" t="s">
        <v>130</v>
      </c>
      <c r="C69" s="31" t="s">
        <v>131</v>
      </c>
      <c r="D69" s="15"/>
      <c r="E69" s="109">
        <v>3216.2</v>
      </c>
      <c r="F69" s="113">
        <v>38594.400000000001</v>
      </c>
      <c r="G69" s="112">
        <v>2.16</v>
      </c>
      <c r="H69" s="63">
        <f t="shared" si="5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6"/>
      <c r="B70" s="52" t="s">
        <v>67</v>
      </c>
      <c r="C70" s="17"/>
      <c r="D70" s="15"/>
      <c r="E70" s="19"/>
      <c r="F70" s="14"/>
      <c r="G70" s="14"/>
      <c r="H70" s="63" t="s">
        <v>138</v>
      </c>
      <c r="I70" s="14"/>
      <c r="J70" s="6"/>
      <c r="K70" s="6"/>
      <c r="L70" s="6"/>
      <c r="M70" s="6"/>
      <c r="N70" s="6"/>
      <c r="O70" s="6"/>
      <c r="P70" s="6"/>
      <c r="Q70" s="6"/>
      <c r="R70" s="152"/>
      <c r="S70" s="152"/>
      <c r="T70" s="152"/>
      <c r="U70" s="152"/>
    </row>
    <row r="71" spans="1:22" ht="15.75" hidden="1" customHeight="1">
      <c r="A71" s="17"/>
      <c r="B71" s="15" t="s">
        <v>132</v>
      </c>
      <c r="C71" s="17" t="s">
        <v>133</v>
      </c>
      <c r="D71" s="15" t="s">
        <v>64</v>
      </c>
      <c r="E71" s="19">
        <v>2</v>
      </c>
      <c r="F71" s="14">
        <f>E71</f>
        <v>2</v>
      </c>
      <c r="G71" s="14">
        <v>976.4</v>
      </c>
      <c r="H71" s="63">
        <f t="shared" ref="H71:H75" si="6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108</v>
      </c>
      <c r="C72" s="17" t="s">
        <v>134</v>
      </c>
      <c r="D72" s="15" t="s">
        <v>64</v>
      </c>
      <c r="E72" s="19">
        <v>1</v>
      </c>
      <c r="F72" s="14">
        <v>1</v>
      </c>
      <c r="G72" s="14">
        <v>735</v>
      </c>
      <c r="H72" s="63">
        <f t="shared" si="6"/>
        <v>0.73499999999999999</v>
      </c>
      <c r="I72" s="14">
        <v>0</v>
      </c>
    </row>
    <row r="73" spans="1:22" ht="15.75" hidden="1" customHeight="1">
      <c r="A73" s="17"/>
      <c r="B73" s="15" t="s">
        <v>68</v>
      </c>
      <c r="C73" s="17" t="s">
        <v>70</v>
      </c>
      <c r="D73" s="15" t="s">
        <v>64</v>
      </c>
      <c r="E73" s="19">
        <v>4</v>
      </c>
      <c r="F73" s="14">
        <f>E73/10</f>
        <v>0.4</v>
      </c>
      <c r="G73" s="14">
        <v>624.16999999999996</v>
      </c>
      <c r="H73" s="63">
        <f t="shared" si="6"/>
        <v>0.249668</v>
      </c>
      <c r="I73" s="14">
        <v>0</v>
      </c>
    </row>
    <row r="74" spans="1:22" ht="15.75" hidden="1" customHeight="1">
      <c r="A74" s="17"/>
      <c r="B74" s="15" t="s">
        <v>69</v>
      </c>
      <c r="C74" s="17" t="s">
        <v>29</v>
      </c>
      <c r="D74" s="15" t="s">
        <v>64</v>
      </c>
      <c r="E74" s="19">
        <v>1</v>
      </c>
      <c r="F74" s="55">
        <v>1</v>
      </c>
      <c r="G74" s="14">
        <v>1061.4100000000001</v>
      </c>
      <c r="H74" s="63">
        <f t="shared" si="6"/>
        <v>1.0614100000000002</v>
      </c>
      <c r="I74" s="14">
        <v>0</v>
      </c>
    </row>
    <row r="75" spans="1:22" ht="15.75" hidden="1" customHeight="1">
      <c r="A75" s="17"/>
      <c r="B75" s="15" t="s">
        <v>135</v>
      </c>
      <c r="C75" s="17" t="s">
        <v>133</v>
      </c>
      <c r="D75" s="15" t="s">
        <v>64</v>
      </c>
      <c r="E75" s="19">
        <v>1</v>
      </c>
      <c r="F75" s="14">
        <f>E75</f>
        <v>1</v>
      </c>
      <c r="G75" s="14">
        <v>976.1</v>
      </c>
      <c r="H75" s="63">
        <f t="shared" si="6"/>
        <v>0.97609999999999997</v>
      </c>
      <c r="I75" s="14">
        <v>0</v>
      </c>
    </row>
    <row r="76" spans="1:22" ht="15.75" hidden="1" customHeight="1">
      <c r="A76" s="106"/>
      <c r="B76" s="107" t="s">
        <v>71</v>
      </c>
      <c r="C76" s="17"/>
      <c r="D76" s="15"/>
      <c r="E76" s="19"/>
      <c r="F76" s="14"/>
      <c r="G76" s="14" t="s">
        <v>138</v>
      </c>
      <c r="H76" s="63" t="s">
        <v>138</v>
      </c>
      <c r="I76" s="14"/>
    </row>
    <row r="77" spans="1:22" ht="15.75" hidden="1" customHeight="1">
      <c r="A77" s="17"/>
      <c r="B77" s="43" t="s">
        <v>109</v>
      </c>
      <c r="C77" s="17" t="s">
        <v>72</v>
      </c>
      <c r="D77" s="15"/>
      <c r="E77" s="19"/>
      <c r="F77" s="14">
        <v>0.1</v>
      </c>
      <c r="G77" s="14">
        <v>3433.68</v>
      </c>
      <c r="H77" s="63">
        <f t="shared" ref="H77" si="7">SUM(F77*G77/1000)</f>
        <v>0.34336800000000001</v>
      </c>
      <c r="I77" s="14">
        <v>0</v>
      </c>
    </row>
    <row r="78" spans="1:22" ht="15.75" hidden="1" customHeight="1">
      <c r="A78" s="106"/>
      <c r="B78" s="96" t="s">
        <v>106</v>
      </c>
      <c r="C78" s="83"/>
      <c r="D78" s="33"/>
      <c r="E78" s="34"/>
      <c r="F78" s="73"/>
      <c r="G78" s="73"/>
      <c r="H78" s="84">
        <f>SUM(H56:H77)</f>
        <v>219.17093482199999</v>
      </c>
      <c r="I78" s="73"/>
    </row>
    <row r="79" spans="1:22" ht="15.75" hidden="1" customHeight="1">
      <c r="A79" s="17"/>
      <c r="B79" s="64" t="s">
        <v>107</v>
      </c>
      <c r="C79" s="17"/>
      <c r="D79" s="15"/>
      <c r="E79" s="85"/>
      <c r="F79" s="14">
        <v>1</v>
      </c>
      <c r="G79" s="14">
        <v>14133</v>
      </c>
      <c r="H79" s="63">
        <f>G79*F79/1000</f>
        <v>14.132999999999999</v>
      </c>
      <c r="I79" s="14">
        <v>0</v>
      </c>
    </row>
    <row r="80" spans="1:22" ht="15.75" customHeight="1">
      <c r="A80" s="162" t="s">
        <v>142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17">
        <v>15</v>
      </c>
      <c r="B81" s="64" t="s">
        <v>111</v>
      </c>
      <c r="C81" s="17" t="s">
        <v>52</v>
      </c>
      <c r="D81" s="86" t="s">
        <v>53</v>
      </c>
      <c r="E81" s="14">
        <v>3216.2</v>
      </c>
      <c r="F81" s="14">
        <f>SUM(E81*12)</f>
        <v>38594.399999999994</v>
      </c>
      <c r="G81" s="14">
        <v>2.95</v>
      </c>
      <c r="H81" s="63">
        <f>SUM(F81*G81/1000)</f>
        <v>113.85347999999999</v>
      </c>
      <c r="I81" s="14">
        <f>F81/12*G81</f>
        <v>9487.7899999999991</v>
      </c>
    </row>
    <row r="82" spans="1:9" ht="31.5" customHeight="1">
      <c r="A82" s="87">
        <v>16</v>
      </c>
      <c r="B82" s="15" t="s">
        <v>73</v>
      </c>
      <c r="C82" s="17"/>
      <c r="D82" s="86" t="s">
        <v>53</v>
      </c>
      <c r="E82" s="66">
        <v>3216.2</v>
      </c>
      <c r="F82" s="14">
        <f>E82*12</f>
        <v>38594.399999999994</v>
      </c>
      <c r="G82" s="14">
        <v>3.05</v>
      </c>
      <c r="H82" s="63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75</v>
      </c>
      <c r="C83" s="83"/>
      <c r="D83" s="82"/>
      <c r="E83" s="73"/>
      <c r="F83" s="73"/>
      <c r="G83" s="73"/>
      <c r="H83" s="84">
        <f>H82</f>
        <v>117.71291999999997</v>
      </c>
      <c r="I83" s="73">
        <f>I82+I81+I69+I53+I49+I43+I42+I41+I39+I38+I37+I27+I26+I18+I17+I16</f>
        <v>70319.38431933333</v>
      </c>
    </row>
    <row r="84" spans="1:9" ht="15.75" customHeight="1">
      <c r="A84" s="168" t="s">
        <v>58</v>
      </c>
      <c r="B84" s="169"/>
      <c r="C84" s="169"/>
      <c r="D84" s="169"/>
      <c r="E84" s="169"/>
      <c r="F84" s="169"/>
      <c r="G84" s="169"/>
      <c r="H84" s="169"/>
      <c r="I84" s="170"/>
    </row>
    <row r="85" spans="1:9" ht="15.75" customHeight="1">
      <c r="A85" s="62">
        <v>17</v>
      </c>
      <c r="B85" s="77" t="s">
        <v>167</v>
      </c>
      <c r="C85" s="76" t="s">
        <v>168</v>
      </c>
      <c r="D85" s="77"/>
      <c r="E85" s="78"/>
      <c r="F85" s="132">
        <v>200</v>
      </c>
      <c r="G85" s="55">
        <v>1.2</v>
      </c>
      <c r="H85" s="79">
        <f>F85*G85/1000</f>
        <v>0.24</v>
      </c>
      <c r="I85" s="14">
        <f>G85*100</f>
        <v>120</v>
      </c>
    </row>
    <row r="86" spans="1:9" ht="15.75" customHeight="1">
      <c r="A86" s="31"/>
      <c r="B86" s="41" t="s">
        <v>49</v>
      </c>
      <c r="C86" s="37"/>
      <c r="D86" s="44"/>
      <c r="E86" s="37">
        <v>1</v>
      </c>
      <c r="F86" s="37"/>
      <c r="G86" s="37"/>
      <c r="H86" s="37"/>
      <c r="I86" s="34">
        <f>SUM(I85:I85)</f>
        <v>120</v>
      </c>
    </row>
    <row r="87" spans="1:9" ht="15.75" customHeight="1">
      <c r="A87" s="31"/>
      <c r="B87" s="43" t="s">
        <v>74</v>
      </c>
      <c r="C87" s="16"/>
      <c r="D87" s="16"/>
      <c r="E87" s="38"/>
      <c r="F87" s="38"/>
      <c r="G87" s="39"/>
      <c r="H87" s="39"/>
      <c r="I87" s="18">
        <v>0</v>
      </c>
    </row>
    <row r="88" spans="1:9" ht="15.75" customHeight="1">
      <c r="A88" s="45"/>
      <c r="B88" s="42" t="s">
        <v>153</v>
      </c>
      <c r="C88" s="35"/>
      <c r="D88" s="35"/>
      <c r="E88" s="35"/>
      <c r="F88" s="35"/>
      <c r="G88" s="35"/>
      <c r="H88" s="35"/>
      <c r="I88" s="40">
        <f>I83+I86</f>
        <v>70439.38431933333</v>
      </c>
    </row>
    <row r="89" spans="1:9" ht="15.75" customHeight="1">
      <c r="A89" s="153" t="s">
        <v>222</v>
      </c>
      <c r="B89" s="153"/>
      <c r="C89" s="153"/>
      <c r="D89" s="153"/>
      <c r="E89" s="153"/>
      <c r="F89" s="153"/>
      <c r="G89" s="153"/>
      <c r="H89" s="153"/>
      <c r="I89" s="153"/>
    </row>
    <row r="90" spans="1:9" ht="15.75" customHeight="1">
      <c r="A90" s="54"/>
      <c r="B90" s="178" t="s">
        <v>223</v>
      </c>
      <c r="C90" s="178"/>
      <c r="D90" s="178"/>
      <c r="E90" s="178"/>
      <c r="F90" s="178"/>
      <c r="G90" s="178"/>
      <c r="H90" s="58"/>
      <c r="I90" s="4"/>
    </row>
    <row r="91" spans="1:9" ht="15.75" customHeight="1">
      <c r="A91" s="48"/>
      <c r="B91" s="175" t="s">
        <v>6</v>
      </c>
      <c r="C91" s="175"/>
      <c r="D91" s="175"/>
      <c r="E91" s="175"/>
      <c r="F91" s="175"/>
      <c r="G91" s="175"/>
      <c r="H91" s="26"/>
      <c r="I91" s="6"/>
    </row>
    <row r="92" spans="1:9" ht="15.75" customHeight="1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5.75" customHeight="1">
      <c r="A93" s="179" t="s">
        <v>7</v>
      </c>
      <c r="B93" s="179"/>
      <c r="C93" s="179"/>
      <c r="D93" s="179"/>
      <c r="E93" s="179"/>
      <c r="F93" s="179"/>
      <c r="G93" s="179"/>
      <c r="H93" s="179"/>
      <c r="I93" s="179"/>
    </row>
    <row r="94" spans="1:9" ht="15.75" customHeight="1">
      <c r="A94" s="179" t="s">
        <v>8</v>
      </c>
      <c r="B94" s="179"/>
      <c r="C94" s="179"/>
      <c r="D94" s="179"/>
      <c r="E94" s="179"/>
      <c r="F94" s="179"/>
      <c r="G94" s="179"/>
      <c r="H94" s="179"/>
      <c r="I94" s="179"/>
    </row>
    <row r="95" spans="1:9" ht="15.75" customHeight="1">
      <c r="A95" s="180" t="s">
        <v>59</v>
      </c>
      <c r="B95" s="180"/>
      <c r="C95" s="180"/>
      <c r="D95" s="180"/>
      <c r="E95" s="180"/>
      <c r="F95" s="180"/>
      <c r="G95" s="180"/>
      <c r="H95" s="180"/>
      <c r="I95" s="180"/>
    </row>
    <row r="96" spans="1:9" ht="15.75" customHeight="1">
      <c r="A96" s="12"/>
    </row>
    <row r="97" spans="1:9" ht="15.75" customHeight="1">
      <c r="A97" s="160" t="s">
        <v>9</v>
      </c>
      <c r="B97" s="160"/>
      <c r="C97" s="160"/>
      <c r="D97" s="160"/>
      <c r="E97" s="160"/>
      <c r="F97" s="160"/>
      <c r="G97" s="160"/>
      <c r="H97" s="160"/>
      <c r="I97" s="160"/>
    </row>
    <row r="98" spans="1:9" ht="15.75" customHeight="1">
      <c r="A98" s="5"/>
    </row>
    <row r="99" spans="1:9" ht="15.75" customHeight="1">
      <c r="B99" s="53" t="s">
        <v>10</v>
      </c>
      <c r="C99" s="174" t="s">
        <v>81</v>
      </c>
      <c r="D99" s="174"/>
      <c r="E99" s="174"/>
      <c r="F99" s="56"/>
      <c r="I99" s="50"/>
    </row>
    <row r="100" spans="1:9" ht="15.75" customHeight="1">
      <c r="A100" s="48"/>
      <c r="C100" s="175" t="s">
        <v>11</v>
      </c>
      <c r="D100" s="175"/>
      <c r="E100" s="175"/>
      <c r="F100" s="26"/>
      <c r="I100" s="49" t="s">
        <v>12</v>
      </c>
    </row>
    <row r="101" spans="1:9" ht="15.75" customHeight="1">
      <c r="A101" s="27"/>
      <c r="C101" s="13"/>
      <c r="D101" s="13"/>
      <c r="G101" s="13"/>
      <c r="H101" s="13"/>
    </row>
    <row r="102" spans="1:9" ht="15.75" customHeight="1">
      <c r="B102" s="53" t="s">
        <v>13</v>
      </c>
      <c r="C102" s="176"/>
      <c r="D102" s="176"/>
      <c r="E102" s="176"/>
      <c r="F102" s="57"/>
      <c r="I102" s="50"/>
    </row>
    <row r="103" spans="1:9" ht="15.75" customHeight="1">
      <c r="A103" s="48"/>
      <c r="C103" s="152" t="s">
        <v>11</v>
      </c>
      <c r="D103" s="152"/>
      <c r="E103" s="152"/>
      <c r="F103" s="48"/>
      <c r="I103" s="49" t="s">
        <v>12</v>
      </c>
    </row>
    <row r="104" spans="1:9" ht="15.75" customHeight="1">
      <c r="A104" s="5" t="s">
        <v>14</v>
      </c>
    </row>
    <row r="105" spans="1:9" ht="15" customHeight="1">
      <c r="A105" s="177" t="s">
        <v>15</v>
      </c>
      <c r="B105" s="177"/>
      <c r="C105" s="177"/>
      <c r="D105" s="177"/>
      <c r="E105" s="177"/>
      <c r="F105" s="177"/>
      <c r="G105" s="177"/>
      <c r="H105" s="177"/>
      <c r="I105" s="177"/>
    </row>
    <row r="106" spans="1:9" ht="45" customHeight="1">
      <c r="A106" s="171" t="s">
        <v>16</v>
      </c>
      <c r="B106" s="171"/>
      <c r="C106" s="171"/>
      <c r="D106" s="171"/>
      <c r="E106" s="171"/>
      <c r="F106" s="171"/>
      <c r="G106" s="171"/>
      <c r="H106" s="171"/>
      <c r="I106" s="171"/>
    </row>
    <row r="107" spans="1:9" ht="30" customHeight="1">
      <c r="A107" s="171" t="s">
        <v>17</v>
      </c>
      <c r="B107" s="171"/>
      <c r="C107" s="171"/>
      <c r="D107" s="171"/>
      <c r="E107" s="171"/>
      <c r="F107" s="171"/>
      <c r="G107" s="171"/>
      <c r="H107" s="171"/>
      <c r="I107" s="171"/>
    </row>
    <row r="108" spans="1:9" ht="30" customHeight="1">
      <c r="A108" s="171" t="s">
        <v>21</v>
      </c>
      <c r="B108" s="171"/>
      <c r="C108" s="171"/>
      <c r="D108" s="171"/>
      <c r="E108" s="171"/>
      <c r="F108" s="171"/>
      <c r="G108" s="171"/>
      <c r="H108" s="171"/>
      <c r="I108" s="171"/>
    </row>
    <row r="109" spans="1:9" ht="15" customHeight="1">
      <c r="A109" s="171" t="s">
        <v>20</v>
      </c>
      <c r="B109" s="171"/>
      <c r="C109" s="171"/>
      <c r="D109" s="171"/>
      <c r="E109" s="171"/>
      <c r="F109" s="171"/>
      <c r="G109" s="171"/>
      <c r="H109" s="171"/>
      <c r="I109" s="171"/>
    </row>
  </sheetData>
  <autoFilter ref="I14:I64"/>
  <mergeCells count="29">
    <mergeCell ref="A107:I107"/>
    <mergeCell ref="A108:I108"/>
    <mergeCell ref="A109:I109"/>
    <mergeCell ref="A54:I54"/>
    <mergeCell ref="A80:I80"/>
    <mergeCell ref="C99:E99"/>
    <mergeCell ref="C100:E100"/>
    <mergeCell ref="C102:E102"/>
    <mergeCell ref="C103:E103"/>
    <mergeCell ref="A105:I105"/>
    <mergeCell ref="A106:I106"/>
    <mergeCell ref="B90:G90"/>
    <mergeCell ref="B91:G91"/>
    <mergeCell ref="A93:I93"/>
    <mergeCell ref="A94:I94"/>
    <mergeCell ref="A95:I95"/>
    <mergeCell ref="A97:I97"/>
    <mergeCell ref="A15:I15"/>
    <mergeCell ref="A44:I44"/>
    <mergeCell ref="A28:I28"/>
    <mergeCell ref="A84:I84"/>
    <mergeCell ref="R70:U70"/>
    <mergeCell ref="A89:I89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9"/>
  <sheetViews>
    <sheetView topLeftCell="A69" workbookViewId="0">
      <selection activeCell="B96" sqref="B96: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230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4" t="s">
        <v>161</v>
      </c>
      <c r="B3" s="154"/>
      <c r="C3" s="154"/>
      <c r="D3" s="154"/>
      <c r="E3" s="154"/>
      <c r="F3" s="154"/>
      <c r="G3" s="154"/>
      <c r="H3" s="154"/>
      <c r="I3" s="154"/>
      <c r="J3" s="2"/>
      <c r="K3" s="2"/>
      <c r="L3" s="2"/>
      <c r="M3" s="2"/>
    </row>
    <row r="4" spans="1:13" ht="33.75" customHeight="1">
      <c r="A4" s="155" t="s">
        <v>112</v>
      </c>
      <c r="B4" s="155"/>
      <c r="C4" s="155"/>
      <c r="D4" s="155"/>
      <c r="E4" s="155"/>
      <c r="F4" s="155"/>
      <c r="G4" s="155"/>
      <c r="H4" s="155"/>
      <c r="I4" s="155"/>
      <c r="J4" s="3"/>
      <c r="K4" s="3"/>
      <c r="L4" s="3"/>
      <c r="M4" s="3"/>
    </row>
    <row r="5" spans="1:13" ht="15.75" customHeight="1">
      <c r="A5" s="154" t="s">
        <v>246</v>
      </c>
      <c r="B5" s="156"/>
      <c r="C5" s="156"/>
      <c r="D5" s="156"/>
      <c r="E5" s="156"/>
      <c r="F5" s="156"/>
      <c r="G5" s="156"/>
      <c r="H5" s="156"/>
      <c r="I5" s="156"/>
      <c r="J5" s="4"/>
      <c r="K5" s="4"/>
      <c r="L5" s="4"/>
    </row>
    <row r="6" spans="1:13" ht="15.75" customHeight="1">
      <c r="A6" s="3"/>
      <c r="B6" s="98"/>
      <c r="C6" s="98"/>
      <c r="D6" s="98"/>
      <c r="E6" s="98"/>
      <c r="F6" s="98"/>
      <c r="G6" s="98"/>
      <c r="H6" s="98"/>
      <c r="I6" s="32">
        <v>43404</v>
      </c>
    </row>
    <row r="7" spans="1:13" ht="15.75">
      <c r="B7" s="100"/>
      <c r="C7" s="100"/>
      <c r="D7" s="10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57" t="s">
        <v>213</v>
      </c>
      <c r="B8" s="157"/>
      <c r="C8" s="157"/>
      <c r="D8" s="157"/>
      <c r="E8" s="157"/>
      <c r="F8" s="157"/>
      <c r="G8" s="157"/>
      <c r="H8" s="157"/>
      <c r="I8" s="15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58" t="s">
        <v>166</v>
      </c>
      <c r="B10" s="158"/>
      <c r="C10" s="158"/>
      <c r="D10" s="158"/>
      <c r="E10" s="158"/>
      <c r="F10" s="158"/>
      <c r="G10" s="158"/>
      <c r="H10" s="158"/>
      <c r="I10" s="15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59" t="s">
        <v>57</v>
      </c>
      <c r="B14" s="159"/>
      <c r="C14" s="159"/>
      <c r="D14" s="159"/>
      <c r="E14" s="159"/>
      <c r="F14" s="159"/>
      <c r="G14" s="159"/>
      <c r="H14" s="159"/>
      <c r="I14" s="159"/>
    </row>
    <row r="15" spans="1:13">
      <c r="A15" s="161" t="s">
        <v>4</v>
      </c>
      <c r="B15" s="161"/>
      <c r="C15" s="161"/>
      <c r="D15" s="161"/>
      <c r="E15" s="161"/>
      <c r="F15" s="161"/>
      <c r="G15" s="161"/>
      <c r="H15" s="161"/>
      <c r="I15" s="161"/>
      <c r="J15" s="9"/>
      <c r="K15" s="9"/>
      <c r="L15" s="9"/>
      <c r="M15" s="9"/>
    </row>
    <row r="16" spans="1:13" ht="15.75" customHeight="1">
      <c r="A16" s="59">
        <v>1</v>
      </c>
      <c r="B16" s="64" t="s">
        <v>79</v>
      </c>
      <c r="C16" s="65" t="s">
        <v>83</v>
      </c>
      <c r="D16" s="64" t="s">
        <v>115</v>
      </c>
      <c r="E16" s="66">
        <v>54</v>
      </c>
      <c r="F16" s="67">
        <f>SUM(E16*156/100)</f>
        <v>84.24</v>
      </c>
      <c r="G16" s="67">
        <v>218.21</v>
      </c>
      <c r="H16" s="68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4" t="s">
        <v>113</v>
      </c>
      <c r="C17" s="65" t="s">
        <v>83</v>
      </c>
      <c r="D17" s="64" t="s">
        <v>116</v>
      </c>
      <c r="E17" s="66">
        <v>216</v>
      </c>
      <c r="F17" s="67">
        <f>SUM(E17*104/100)</f>
        <v>224.64</v>
      </c>
      <c r="G17" s="67">
        <v>218.21</v>
      </c>
      <c r="H17" s="68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4" t="s">
        <v>114</v>
      </c>
      <c r="C18" s="65" t="s">
        <v>83</v>
      </c>
      <c r="D18" s="64" t="s">
        <v>117</v>
      </c>
      <c r="E18" s="66">
        <f>SUM(E16+E17)</f>
        <v>270</v>
      </c>
      <c r="F18" s="67">
        <f>SUM(E18*24/100)</f>
        <v>64.8</v>
      </c>
      <c r="G18" s="67">
        <v>627.77</v>
      </c>
      <c r="H18" s="68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4" t="s">
        <v>84</v>
      </c>
      <c r="C19" s="65" t="s">
        <v>85</v>
      </c>
      <c r="D19" s="64" t="s">
        <v>86</v>
      </c>
      <c r="E19" s="66">
        <v>40</v>
      </c>
      <c r="F19" s="67">
        <f>SUM(E19/10)</f>
        <v>4</v>
      </c>
      <c r="G19" s="67">
        <v>211.74</v>
      </c>
      <c r="H19" s="68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9">
        <v>4</v>
      </c>
      <c r="B20" s="64" t="s">
        <v>87</v>
      </c>
      <c r="C20" s="65" t="s">
        <v>83</v>
      </c>
      <c r="D20" s="64" t="s">
        <v>40</v>
      </c>
      <c r="E20" s="66">
        <v>10.5</v>
      </c>
      <c r="F20" s="67">
        <f>SUM(E20*2/100)</f>
        <v>0.21</v>
      </c>
      <c r="G20" s="67">
        <v>271.12</v>
      </c>
      <c r="H20" s="68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9">
        <v>5</v>
      </c>
      <c r="B21" s="64" t="s">
        <v>88</v>
      </c>
      <c r="C21" s="65" t="s">
        <v>83</v>
      </c>
      <c r="D21" s="64" t="s">
        <v>40</v>
      </c>
      <c r="E21" s="66">
        <v>2.7</v>
      </c>
      <c r="F21" s="67">
        <f>SUM(E21*2/100)</f>
        <v>5.4000000000000006E-2</v>
      </c>
      <c r="G21" s="67">
        <v>268.92</v>
      </c>
      <c r="H21" s="68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4" t="s">
        <v>89</v>
      </c>
      <c r="C22" s="65" t="s">
        <v>50</v>
      </c>
      <c r="D22" s="64" t="s">
        <v>86</v>
      </c>
      <c r="E22" s="66">
        <v>357</v>
      </c>
      <c r="F22" s="67">
        <f t="shared" ref="F22:F25" si="2">SUM(E22/100)</f>
        <v>3.57</v>
      </c>
      <c r="G22" s="67">
        <v>335.05</v>
      </c>
      <c r="H22" s="68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4" t="s">
        <v>90</v>
      </c>
      <c r="C23" s="65" t="s">
        <v>50</v>
      </c>
      <c r="D23" s="64" t="s">
        <v>86</v>
      </c>
      <c r="E23" s="69">
        <v>38.64</v>
      </c>
      <c r="F23" s="67">
        <f t="shared" si="2"/>
        <v>0.38640000000000002</v>
      </c>
      <c r="G23" s="67">
        <v>55.1</v>
      </c>
      <c r="H23" s="68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4" t="s">
        <v>91</v>
      </c>
      <c r="C24" s="65" t="s">
        <v>50</v>
      </c>
      <c r="D24" s="70" t="s">
        <v>86</v>
      </c>
      <c r="E24" s="19">
        <v>15</v>
      </c>
      <c r="F24" s="71">
        <f t="shared" si="2"/>
        <v>0.15</v>
      </c>
      <c r="G24" s="67">
        <v>484.94</v>
      </c>
      <c r="H24" s="68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4" t="s">
        <v>118</v>
      </c>
      <c r="C25" s="65" t="s">
        <v>50</v>
      </c>
      <c r="D25" s="64" t="s">
        <v>86</v>
      </c>
      <c r="E25" s="72">
        <v>6.38</v>
      </c>
      <c r="F25" s="67">
        <f t="shared" si="2"/>
        <v>6.3799999999999996E-2</v>
      </c>
      <c r="G25" s="67">
        <v>648.04999999999995</v>
      </c>
      <c r="H25" s="68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4</v>
      </c>
      <c r="B26" s="64" t="s">
        <v>62</v>
      </c>
      <c r="C26" s="65" t="s">
        <v>31</v>
      </c>
      <c r="D26" s="64"/>
      <c r="E26" s="66">
        <v>0.1</v>
      </c>
      <c r="F26" s="67">
        <f>SUM(E26*365)</f>
        <v>36.5</v>
      </c>
      <c r="G26" s="67">
        <v>182.96</v>
      </c>
      <c r="H26" s="68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5" t="s">
        <v>23</v>
      </c>
      <c r="C27" s="65" t="s">
        <v>24</v>
      </c>
      <c r="D27" s="64"/>
      <c r="E27" s="66">
        <v>3216.2</v>
      </c>
      <c r="F27" s="67">
        <f>SUM(E27*12)</f>
        <v>38594.399999999994</v>
      </c>
      <c r="G27" s="67">
        <v>4.01</v>
      </c>
      <c r="H27" s="68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5" t="s">
        <v>150</v>
      </c>
      <c r="B28" s="166"/>
      <c r="C28" s="166"/>
      <c r="D28" s="166"/>
      <c r="E28" s="166"/>
      <c r="F28" s="166"/>
      <c r="G28" s="166"/>
      <c r="H28" s="166"/>
      <c r="I28" s="167"/>
      <c r="J28" s="24"/>
      <c r="K28" s="9"/>
      <c r="L28" s="9"/>
      <c r="M28" s="9"/>
    </row>
    <row r="29" spans="1:13" ht="15.75" customHeight="1">
      <c r="A29" s="104"/>
      <c r="B29" s="99" t="s">
        <v>27</v>
      </c>
      <c r="C29" s="105"/>
      <c r="D29" s="105"/>
      <c r="E29" s="105"/>
      <c r="F29" s="105"/>
      <c r="G29" s="105"/>
      <c r="H29" s="105"/>
      <c r="I29" s="105"/>
      <c r="J29" s="24"/>
      <c r="K29" s="9"/>
      <c r="L29" s="9"/>
      <c r="M29" s="9"/>
    </row>
    <row r="30" spans="1:13" ht="15.75" customHeight="1">
      <c r="A30" s="103">
        <v>6</v>
      </c>
      <c r="B30" s="64" t="s">
        <v>92</v>
      </c>
      <c r="C30" s="65" t="s">
        <v>93</v>
      </c>
      <c r="D30" s="64" t="s">
        <v>119</v>
      </c>
      <c r="E30" s="67">
        <v>191.65</v>
      </c>
      <c r="F30" s="67">
        <f>SUM(E30*52/1000)</f>
        <v>9.9658000000000015</v>
      </c>
      <c r="G30" s="67">
        <v>193.97</v>
      </c>
      <c r="H30" s="68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9">
        <v>7</v>
      </c>
      <c r="B31" s="64" t="s">
        <v>151</v>
      </c>
      <c r="C31" s="65" t="s">
        <v>93</v>
      </c>
      <c r="D31" s="64" t="s">
        <v>120</v>
      </c>
      <c r="E31" s="67">
        <v>67.650000000000006</v>
      </c>
      <c r="F31" s="67">
        <f>SUM(E31*78/1000)</f>
        <v>5.2767000000000008</v>
      </c>
      <c r="G31" s="67">
        <v>321.82</v>
      </c>
      <c r="H31" s="68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4" t="s">
        <v>26</v>
      </c>
      <c r="C32" s="65" t="s">
        <v>93</v>
      </c>
      <c r="D32" s="64" t="s">
        <v>51</v>
      </c>
      <c r="E32" s="67">
        <v>191.65</v>
      </c>
      <c r="F32" s="67">
        <f>SUM(E32/1000)</f>
        <v>0.19165000000000001</v>
      </c>
      <c r="G32" s="67">
        <v>3758.28</v>
      </c>
      <c r="H32" s="68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customHeight="1">
      <c r="A33" s="59">
        <v>8</v>
      </c>
      <c r="B33" s="64" t="s">
        <v>94</v>
      </c>
      <c r="C33" s="65" t="s">
        <v>29</v>
      </c>
      <c r="D33" s="64" t="s">
        <v>61</v>
      </c>
      <c r="E33" s="74">
        <f>1/3</f>
        <v>0.33333333333333331</v>
      </c>
      <c r="F33" s="67">
        <f>155/3</f>
        <v>51.666666666666664</v>
      </c>
      <c r="G33" s="67">
        <v>70.540000000000006</v>
      </c>
      <c r="H33" s="68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4" t="s">
        <v>63</v>
      </c>
      <c r="C34" s="65" t="s">
        <v>31</v>
      </c>
      <c r="D34" s="64" t="s">
        <v>64</v>
      </c>
      <c r="E34" s="66"/>
      <c r="F34" s="67">
        <v>3</v>
      </c>
      <c r="G34" s="67">
        <v>238.07</v>
      </c>
      <c r="H34" s="68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4" t="s">
        <v>137</v>
      </c>
      <c r="C35" s="65" t="s">
        <v>30</v>
      </c>
      <c r="D35" s="64" t="s">
        <v>64</v>
      </c>
      <c r="E35" s="66"/>
      <c r="F35" s="67">
        <v>2</v>
      </c>
      <c r="G35" s="67">
        <v>1413.96</v>
      </c>
      <c r="H35" s="68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hidden="1" customHeight="1">
      <c r="A36" s="104"/>
      <c r="B36" s="99" t="s">
        <v>5</v>
      </c>
      <c r="C36" s="105"/>
      <c r="D36" s="105"/>
      <c r="E36" s="105"/>
      <c r="F36" s="105"/>
      <c r="G36" s="105"/>
      <c r="H36" s="105"/>
      <c r="I36" s="105"/>
      <c r="J36" s="25"/>
    </row>
    <row r="37" spans="1:14" ht="15.75" hidden="1" customHeight="1">
      <c r="A37" s="103">
        <v>6</v>
      </c>
      <c r="B37" s="64" t="s">
        <v>25</v>
      </c>
      <c r="C37" s="65" t="s">
        <v>30</v>
      </c>
      <c r="D37" s="64"/>
      <c r="E37" s="66"/>
      <c r="F37" s="67">
        <v>3</v>
      </c>
      <c r="G37" s="67">
        <v>1900.37</v>
      </c>
      <c r="H37" s="68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hidden="1" customHeight="1">
      <c r="A38" s="59">
        <v>7</v>
      </c>
      <c r="B38" s="64" t="s">
        <v>82</v>
      </c>
      <c r="C38" s="65" t="s">
        <v>28</v>
      </c>
      <c r="D38" s="64" t="s">
        <v>95</v>
      </c>
      <c r="E38" s="66">
        <v>67.650000000000006</v>
      </c>
      <c r="F38" s="67">
        <f>E38*30/1000</f>
        <v>2.0295000000000001</v>
      </c>
      <c r="G38" s="67">
        <v>2616.4899999999998</v>
      </c>
      <c r="H38" s="68">
        <f>G38*F38/1000</f>
        <v>5.3101664549999992</v>
      </c>
      <c r="I38" s="14">
        <f>F38/6*G38</f>
        <v>885.02774249999993</v>
      </c>
      <c r="J38" s="25"/>
    </row>
    <row r="39" spans="1:14" ht="15.75" hidden="1" customHeight="1">
      <c r="A39" s="59">
        <v>8</v>
      </c>
      <c r="B39" s="64" t="s">
        <v>121</v>
      </c>
      <c r="C39" s="65" t="s">
        <v>28</v>
      </c>
      <c r="D39" s="64" t="s">
        <v>96</v>
      </c>
      <c r="E39" s="66">
        <v>67.650000000000006</v>
      </c>
      <c r="F39" s="67">
        <f>E39*155/1000</f>
        <v>10.485749999999999</v>
      </c>
      <c r="G39" s="67">
        <v>436.45</v>
      </c>
      <c r="H39" s="68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3">
        <v>9</v>
      </c>
      <c r="B40" s="64" t="s">
        <v>122</v>
      </c>
      <c r="C40" s="65" t="s">
        <v>123</v>
      </c>
      <c r="D40" s="64" t="s">
        <v>64</v>
      </c>
      <c r="E40" s="66"/>
      <c r="F40" s="67">
        <v>64</v>
      </c>
      <c r="G40" s="67">
        <v>226.84</v>
      </c>
      <c r="H40" s="68">
        <f>G40*F40/1000</f>
        <v>14.517760000000001</v>
      </c>
      <c r="I40" s="14">
        <f>G40*13</f>
        <v>2948.92</v>
      </c>
      <c r="J40" s="25"/>
    </row>
    <row r="41" spans="1:14" ht="47.25" hidden="1" customHeight="1">
      <c r="A41" s="59">
        <v>10</v>
      </c>
      <c r="B41" s="64" t="s">
        <v>77</v>
      </c>
      <c r="C41" s="65" t="s">
        <v>28</v>
      </c>
      <c r="D41" s="64" t="s">
        <v>124</v>
      </c>
      <c r="E41" s="67">
        <v>67.650000000000006</v>
      </c>
      <c r="F41" s="67">
        <f>SUM(E41*35/1000)</f>
        <v>2.36775</v>
      </c>
      <c r="G41" s="67">
        <v>7221.21</v>
      </c>
      <c r="H41" s="68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11</v>
      </c>
      <c r="B42" s="64" t="s">
        <v>97</v>
      </c>
      <c r="C42" s="65" t="s">
        <v>93</v>
      </c>
      <c r="D42" s="64" t="s">
        <v>125</v>
      </c>
      <c r="E42" s="67">
        <v>67.650000000000006</v>
      </c>
      <c r="F42" s="67">
        <f>SUM(E42*20/1000)</f>
        <v>1.353</v>
      </c>
      <c r="G42" s="67">
        <v>533.45000000000005</v>
      </c>
      <c r="H42" s="68">
        <f t="shared" si="6"/>
        <v>0.72175785000000003</v>
      </c>
      <c r="I42" s="14">
        <f>F42/6*G42</f>
        <v>120.29297500000001</v>
      </c>
      <c r="J42" s="25"/>
    </row>
    <row r="43" spans="1:14" ht="15.75" hidden="1" customHeight="1">
      <c r="A43" s="103">
        <v>12</v>
      </c>
      <c r="B43" s="64" t="s">
        <v>65</v>
      </c>
      <c r="C43" s="65" t="s">
        <v>31</v>
      </c>
      <c r="D43" s="64"/>
      <c r="E43" s="66"/>
      <c r="F43" s="67">
        <v>0.8</v>
      </c>
      <c r="G43" s="67">
        <v>992.97</v>
      </c>
      <c r="H43" s="68">
        <f t="shared" si="6"/>
        <v>0.79437600000000008</v>
      </c>
      <c r="I43" s="14">
        <f>F43/6*G43</f>
        <v>132.39600000000002</v>
      </c>
      <c r="J43" s="25"/>
    </row>
    <row r="44" spans="1:14" ht="24.75" customHeight="1">
      <c r="A44" s="162" t="s">
        <v>141</v>
      </c>
      <c r="B44" s="163"/>
      <c r="C44" s="163"/>
      <c r="D44" s="163"/>
      <c r="E44" s="163"/>
      <c r="F44" s="163"/>
      <c r="G44" s="163"/>
      <c r="H44" s="163"/>
      <c r="I44" s="164"/>
      <c r="J44" s="25"/>
      <c r="L44" s="20"/>
      <c r="M44" s="21"/>
      <c r="N44" s="22"/>
    </row>
    <row r="45" spans="1:14" ht="24" hidden="1" customHeight="1">
      <c r="A45" s="59">
        <v>11</v>
      </c>
      <c r="B45" s="64" t="s">
        <v>98</v>
      </c>
      <c r="C45" s="65" t="s">
        <v>93</v>
      </c>
      <c r="D45" s="64" t="s">
        <v>40</v>
      </c>
      <c r="E45" s="66">
        <v>1114.75</v>
      </c>
      <c r="F45" s="67">
        <f>SUM(E45*2/1000)</f>
        <v>2.2294999999999998</v>
      </c>
      <c r="G45" s="14">
        <v>1283.46</v>
      </c>
      <c r="H45" s="68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24" hidden="1" customHeight="1">
      <c r="A46" s="59">
        <v>12</v>
      </c>
      <c r="B46" s="64" t="s">
        <v>34</v>
      </c>
      <c r="C46" s="65" t="s">
        <v>93</v>
      </c>
      <c r="D46" s="64" t="s">
        <v>40</v>
      </c>
      <c r="E46" s="66">
        <v>1563.3</v>
      </c>
      <c r="F46" s="67">
        <f>SUM(E46*2/1000)</f>
        <v>3.1265999999999998</v>
      </c>
      <c r="G46" s="14">
        <v>1711.28</v>
      </c>
      <c r="H46" s="68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24" hidden="1" customHeight="1">
      <c r="A47" s="59">
        <v>13</v>
      </c>
      <c r="B47" s="64" t="s">
        <v>35</v>
      </c>
      <c r="C47" s="65" t="s">
        <v>93</v>
      </c>
      <c r="D47" s="64" t="s">
        <v>40</v>
      </c>
      <c r="E47" s="66">
        <v>1619.6</v>
      </c>
      <c r="F47" s="67">
        <f>SUM(E47*2/1000)</f>
        <v>3.2391999999999999</v>
      </c>
      <c r="G47" s="14">
        <v>1179.73</v>
      </c>
      <c r="H47" s="68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22.5" hidden="1" customHeight="1">
      <c r="A48" s="59">
        <v>14</v>
      </c>
      <c r="B48" s="64" t="s">
        <v>32</v>
      </c>
      <c r="C48" s="65" t="s">
        <v>33</v>
      </c>
      <c r="D48" s="64" t="s">
        <v>40</v>
      </c>
      <c r="E48" s="66">
        <v>85.84</v>
      </c>
      <c r="F48" s="67">
        <f>SUM(E48*2/100)</f>
        <v>1.7168000000000001</v>
      </c>
      <c r="G48" s="14">
        <v>90.61</v>
      </c>
      <c r="H48" s="68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24.75" hidden="1" customHeight="1">
      <c r="A49" s="59">
        <v>15</v>
      </c>
      <c r="B49" s="64" t="s">
        <v>54</v>
      </c>
      <c r="C49" s="65" t="s">
        <v>93</v>
      </c>
      <c r="D49" s="64" t="s">
        <v>152</v>
      </c>
      <c r="E49" s="66">
        <v>3216.2</v>
      </c>
      <c r="F49" s="67">
        <f>SUM(E49*5/1000)</f>
        <v>16.081</v>
      </c>
      <c r="G49" s="14">
        <v>1711.28</v>
      </c>
      <c r="H49" s="68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3" customHeight="1">
      <c r="A50" s="59">
        <v>16</v>
      </c>
      <c r="B50" s="64" t="s">
        <v>99</v>
      </c>
      <c r="C50" s="65" t="s">
        <v>93</v>
      </c>
      <c r="D50" s="64" t="s">
        <v>40</v>
      </c>
      <c r="E50" s="66">
        <v>3216.2</v>
      </c>
      <c r="F50" s="67">
        <f>SUM(E50*2/1000)</f>
        <v>6.4323999999999995</v>
      </c>
      <c r="G50" s="14">
        <v>1510.06</v>
      </c>
      <c r="H50" s="68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3.75" customHeight="1">
      <c r="A51" s="59">
        <v>17</v>
      </c>
      <c r="B51" s="64" t="s">
        <v>100</v>
      </c>
      <c r="C51" s="65" t="s">
        <v>36</v>
      </c>
      <c r="D51" s="64" t="s">
        <v>40</v>
      </c>
      <c r="E51" s="66">
        <v>16</v>
      </c>
      <c r="F51" s="67">
        <f>SUM(E51*2/100)</f>
        <v>0.32</v>
      </c>
      <c r="G51" s="14">
        <v>3850.4</v>
      </c>
      <c r="H51" s="68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29.25" customHeight="1">
      <c r="A52" s="59">
        <v>18</v>
      </c>
      <c r="B52" s="64" t="s">
        <v>37</v>
      </c>
      <c r="C52" s="65" t="s">
        <v>38</v>
      </c>
      <c r="D52" s="64" t="s">
        <v>40</v>
      </c>
      <c r="E52" s="66">
        <v>1</v>
      </c>
      <c r="F52" s="67">
        <v>0.02</v>
      </c>
      <c r="G52" s="14">
        <v>7033.13</v>
      </c>
      <c r="H52" s="68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24" hidden="1" customHeight="1">
      <c r="A53" s="59">
        <v>19</v>
      </c>
      <c r="B53" s="64" t="s">
        <v>39</v>
      </c>
      <c r="C53" s="65" t="s">
        <v>101</v>
      </c>
      <c r="D53" s="64" t="s">
        <v>66</v>
      </c>
      <c r="E53" s="66">
        <v>128</v>
      </c>
      <c r="F53" s="67">
        <f>SUM(E53)*3</f>
        <v>384</v>
      </c>
      <c r="G53" s="14">
        <v>81.73</v>
      </c>
      <c r="H53" s="68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2" t="s">
        <v>80</v>
      </c>
      <c r="B54" s="172"/>
      <c r="C54" s="172"/>
      <c r="D54" s="172"/>
      <c r="E54" s="172"/>
      <c r="F54" s="172"/>
      <c r="G54" s="172"/>
      <c r="H54" s="172"/>
      <c r="I54" s="173"/>
      <c r="J54" s="25"/>
      <c r="L54" s="20"/>
      <c r="M54" s="21"/>
      <c r="N54" s="22"/>
    </row>
    <row r="55" spans="1:14" ht="15.75" hidden="1" customHeight="1">
      <c r="A55" s="59"/>
      <c r="B55" s="88" t="s">
        <v>41</v>
      </c>
      <c r="C55" s="65"/>
      <c r="D55" s="64"/>
      <c r="E55" s="66"/>
      <c r="F55" s="67"/>
      <c r="G55" s="67"/>
      <c r="H55" s="68"/>
      <c r="I55" s="14"/>
      <c r="J55" s="25"/>
      <c r="L55" s="20"/>
      <c r="M55" s="21"/>
      <c r="N55" s="22"/>
    </row>
    <row r="56" spans="1:14" ht="31.5" hidden="1" customHeight="1">
      <c r="A56" s="59">
        <v>13</v>
      </c>
      <c r="B56" s="64" t="s">
        <v>126</v>
      </c>
      <c r="C56" s="65" t="s">
        <v>83</v>
      </c>
      <c r="D56" s="64" t="s">
        <v>127</v>
      </c>
      <c r="E56" s="66">
        <v>123.31</v>
      </c>
      <c r="F56" s="67">
        <f>SUM(E56*6/100)</f>
        <v>7.3986000000000001</v>
      </c>
      <c r="G56" s="14">
        <v>2306.62</v>
      </c>
      <c r="H56" s="68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77" t="s">
        <v>128</v>
      </c>
      <c r="C57" s="76" t="s">
        <v>129</v>
      </c>
      <c r="D57" s="77" t="s">
        <v>64</v>
      </c>
      <c r="E57" s="78"/>
      <c r="F57" s="79">
        <v>3</v>
      </c>
      <c r="G57" s="14">
        <v>1501</v>
      </c>
      <c r="H57" s="68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89" t="s">
        <v>42</v>
      </c>
      <c r="C58" s="76"/>
      <c r="D58" s="77"/>
      <c r="E58" s="78"/>
      <c r="F58" s="79"/>
      <c r="G58" s="14"/>
      <c r="H58" s="80"/>
      <c r="I58" s="14"/>
      <c r="J58" s="25"/>
      <c r="L58" s="20"/>
      <c r="M58" s="21"/>
      <c r="N58" s="22"/>
    </row>
    <row r="59" spans="1:14" ht="15.75" hidden="1" customHeight="1">
      <c r="A59" s="60"/>
      <c r="B59" s="77" t="s">
        <v>139</v>
      </c>
      <c r="C59" s="76" t="s">
        <v>50</v>
      </c>
      <c r="D59" s="77" t="s">
        <v>51</v>
      </c>
      <c r="E59" s="78">
        <v>451</v>
      </c>
      <c r="F59" s="79">
        <v>8.9</v>
      </c>
      <c r="G59" s="14">
        <v>987.51</v>
      </c>
      <c r="H59" s="80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89" t="s">
        <v>43</v>
      </c>
      <c r="C60" s="76"/>
      <c r="D60" s="77"/>
      <c r="E60" s="108"/>
      <c r="F60" s="67"/>
      <c r="G60" s="111"/>
      <c r="H60" s="79" t="s">
        <v>138</v>
      </c>
      <c r="I60" s="14"/>
      <c r="J60" s="25"/>
      <c r="L60" s="20"/>
      <c r="M60" s="21"/>
      <c r="N60" s="22"/>
    </row>
    <row r="61" spans="1:14" ht="15.75" customHeight="1">
      <c r="A61" s="17">
        <v>9</v>
      </c>
      <c r="B61" s="15" t="s">
        <v>44</v>
      </c>
      <c r="C61" s="17" t="s">
        <v>101</v>
      </c>
      <c r="D61" s="15" t="s">
        <v>64</v>
      </c>
      <c r="E61" s="109">
        <v>10</v>
      </c>
      <c r="F61" s="67">
        <f>E61</f>
        <v>10</v>
      </c>
      <c r="G61" s="112">
        <v>276.74</v>
      </c>
      <c r="H61" s="63">
        <f t="shared" ref="H61:H69" si="10">SUM(F61*G61/1000)</f>
        <v>2.7674000000000003</v>
      </c>
      <c r="I61" s="14">
        <f>G61*7</f>
        <v>1937.18</v>
      </c>
      <c r="J61" s="25"/>
      <c r="L61" s="20"/>
    </row>
    <row r="62" spans="1:14" ht="15.75" hidden="1" customHeight="1">
      <c r="A62" s="17"/>
      <c r="B62" s="15" t="s">
        <v>45</v>
      </c>
      <c r="C62" s="17" t="s">
        <v>101</v>
      </c>
      <c r="D62" s="15" t="s">
        <v>64</v>
      </c>
      <c r="E62" s="109">
        <v>10</v>
      </c>
      <c r="F62" s="67">
        <f>E62</f>
        <v>10</v>
      </c>
      <c r="G62" s="112">
        <v>94.89</v>
      </c>
      <c r="H62" s="63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46</v>
      </c>
      <c r="C63" s="17" t="s">
        <v>102</v>
      </c>
      <c r="D63" s="15" t="s">
        <v>51</v>
      </c>
      <c r="E63" s="110">
        <v>13447</v>
      </c>
      <c r="F63" s="67">
        <f>SUM(E63/100)</f>
        <v>134.47</v>
      </c>
      <c r="G63" s="112">
        <v>263.99</v>
      </c>
      <c r="H63" s="63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47</v>
      </c>
      <c r="C64" s="17" t="s">
        <v>103</v>
      </c>
      <c r="D64" s="15"/>
      <c r="E64" s="110">
        <v>13447</v>
      </c>
      <c r="F64" s="67">
        <f>SUM(E64/1000)</f>
        <v>13.446999999999999</v>
      </c>
      <c r="G64" s="112">
        <v>205.57</v>
      </c>
      <c r="H64" s="63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48</v>
      </c>
      <c r="C65" s="17" t="s">
        <v>72</v>
      </c>
      <c r="D65" s="15" t="s">
        <v>51</v>
      </c>
      <c r="E65" s="110">
        <v>2200</v>
      </c>
      <c r="F65" s="67">
        <f>SUM(E65/100)</f>
        <v>22</v>
      </c>
      <c r="G65" s="112">
        <v>2581.5300000000002</v>
      </c>
      <c r="H65" s="63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1" t="s">
        <v>104</v>
      </c>
      <c r="C66" s="17" t="s">
        <v>31</v>
      </c>
      <c r="D66" s="15"/>
      <c r="E66" s="110">
        <v>12.1</v>
      </c>
      <c r="F66" s="67">
        <f>SUM(E66)</f>
        <v>12.1</v>
      </c>
      <c r="G66" s="112">
        <v>47.45</v>
      </c>
      <c r="H66" s="63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1" t="s">
        <v>105</v>
      </c>
      <c r="C67" s="17" t="s">
        <v>31</v>
      </c>
      <c r="D67" s="15"/>
      <c r="E67" s="110">
        <v>12.1</v>
      </c>
      <c r="F67" s="67">
        <f>SUM(E67)</f>
        <v>12.1</v>
      </c>
      <c r="G67" s="112">
        <v>44.27</v>
      </c>
      <c r="H67" s="63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>
        <v>21</v>
      </c>
      <c r="B68" s="15" t="s">
        <v>55</v>
      </c>
      <c r="C68" s="17" t="s">
        <v>56</v>
      </c>
      <c r="D68" s="15" t="s">
        <v>51</v>
      </c>
      <c r="E68" s="109">
        <v>4</v>
      </c>
      <c r="F68" s="67">
        <v>4</v>
      </c>
      <c r="G68" s="112">
        <v>62.07</v>
      </c>
      <c r="H68" s="63">
        <f t="shared" si="10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10</v>
      </c>
      <c r="B69" s="15" t="s">
        <v>130</v>
      </c>
      <c r="C69" s="31" t="s">
        <v>131</v>
      </c>
      <c r="D69" s="15"/>
      <c r="E69" s="109">
        <v>3216.2</v>
      </c>
      <c r="F69" s="113">
        <v>38594.400000000001</v>
      </c>
      <c r="G69" s="112">
        <v>2.16</v>
      </c>
      <c r="H69" s="63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6"/>
      <c r="B70" s="99" t="s">
        <v>67</v>
      </c>
      <c r="C70" s="17"/>
      <c r="D70" s="15"/>
      <c r="E70" s="19"/>
      <c r="F70" s="14"/>
      <c r="G70" s="14"/>
      <c r="H70" s="63" t="s">
        <v>138</v>
      </c>
      <c r="I70" s="14"/>
      <c r="J70" s="6"/>
      <c r="K70" s="6"/>
      <c r="L70" s="6"/>
      <c r="M70" s="6"/>
      <c r="N70" s="6"/>
      <c r="O70" s="6"/>
      <c r="P70" s="6"/>
      <c r="Q70" s="6"/>
      <c r="R70" s="152"/>
      <c r="S70" s="152"/>
      <c r="T70" s="152"/>
      <c r="U70" s="152"/>
    </row>
    <row r="71" spans="1:22" ht="15.75" hidden="1" customHeight="1">
      <c r="A71" s="17"/>
      <c r="B71" s="15" t="s">
        <v>132</v>
      </c>
      <c r="C71" s="17" t="s">
        <v>133</v>
      </c>
      <c r="D71" s="15" t="s">
        <v>64</v>
      </c>
      <c r="E71" s="19">
        <v>2</v>
      </c>
      <c r="F71" s="14">
        <f>E71</f>
        <v>2</v>
      </c>
      <c r="G71" s="14">
        <v>976.4</v>
      </c>
      <c r="H71" s="63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108</v>
      </c>
      <c r="C72" s="17" t="s">
        <v>134</v>
      </c>
      <c r="D72" s="15" t="s">
        <v>64</v>
      </c>
      <c r="E72" s="19">
        <v>1</v>
      </c>
      <c r="F72" s="14">
        <v>1</v>
      </c>
      <c r="G72" s="14">
        <v>735</v>
      </c>
      <c r="H72" s="63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68</v>
      </c>
      <c r="C73" s="17" t="s">
        <v>70</v>
      </c>
      <c r="D73" s="15" t="s">
        <v>64</v>
      </c>
      <c r="E73" s="19">
        <v>4</v>
      </c>
      <c r="F73" s="14">
        <f>E73/10</f>
        <v>0.4</v>
      </c>
      <c r="G73" s="14">
        <v>624.16999999999996</v>
      </c>
      <c r="H73" s="63">
        <f t="shared" si="12"/>
        <v>0.249668</v>
      </c>
      <c r="I73" s="14">
        <v>0</v>
      </c>
    </row>
    <row r="74" spans="1:22" ht="15.75" hidden="1" customHeight="1">
      <c r="A74" s="17"/>
      <c r="B74" s="15" t="s">
        <v>69</v>
      </c>
      <c r="C74" s="17" t="s">
        <v>29</v>
      </c>
      <c r="D74" s="15" t="s">
        <v>64</v>
      </c>
      <c r="E74" s="19">
        <v>1</v>
      </c>
      <c r="F74" s="55">
        <v>1</v>
      </c>
      <c r="G74" s="14">
        <v>1061.4100000000001</v>
      </c>
      <c r="H74" s="63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135</v>
      </c>
      <c r="C75" s="17" t="s">
        <v>133</v>
      </c>
      <c r="D75" s="15" t="s">
        <v>64</v>
      </c>
      <c r="E75" s="19">
        <v>1</v>
      </c>
      <c r="F75" s="14">
        <f>E75</f>
        <v>1</v>
      </c>
      <c r="G75" s="14">
        <v>976.1</v>
      </c>
      <c r="H75" s="63">
        <f t="shared" si="12"/>
        <v>0.97609999999999997</v>
      </c>
      <c r="I75" s="14">
        <v>0</v>
      </c>
    </row>
    <row r="76" spans="1:22" ht="15.75" hidden="1" customHeight="1">
      <c r="A76" s="106"/>
      <c r="B76" s="107" t="s">
        <v>71</v>
      </c>
      <c r="C76" s="17"/>
      <c r="D76" s="15"/>
      <c r="E76" s="19"/>
      <c r="F76" s="14"/>
      <c r="G76" s="14" t="s">
        <v>138</v>
      </c>
      <c r="H76" s="63" t="s">
        <v>138</v>
      </c>
      <c r="I76" s="14"/>
    </row>
    <row r="77" spans="1:22" ht="15.75" hidden="1" customHeight="1">
      <c r="A77" s="17"/>
      <c r="B77" s="43" t="s">
        <v>109</v>
      </c>
      <c r="C77" s="17" t="s">
        <v>72</v>
      </c>
      <c r="D77" s="15"/>
      <c r="E77" s="19"/>
      <c r="F77" s="14">
        <v>0.1</v>
      </c>
      <c r="G77" s="14">
        <v>3433.68</v>
      </c>
      <c r="H77" s="63">
        <f t="shared" ref="H77" si="13">SUM(F77*G77/1000)</f>
        <v>0.34336800000000001</v>
      </c>
      <c r="I77" s="14">
        <v>0</v>
      </c>
    </row>
    <row r="78" spans="1:22" ht="15.75" hidden="1" customHeight="1">
      <c r="A78" s="106"/>
      <c r="B78" s="96" t="s">
        <v>106</v>
      </c>
      <c r="C78" s="83"/>
      <c r="D78" s="33"/>
      <c r="E78" s="34"/>
      <c r="F78" s="73"/>
      <c r="G78" s="73"/>
      <c r="H78" s="84">
        <f>SUM(H56:H77)</f>
        <v>219.17093482199999</v>
      </c>
      <c r="I78" s="73"/>
    </row>
    <row r="79" spans="1:22" ht="15.75" hidden="1" customHeight="1">
      <c r="A79" s="17"/>
      <c r="B79" s="64" t="s">
        <v>107</v>
      </c>
      <c r="C79" s="17"/>
      <c r="D79" s="15"/>
      <c r="E79" s="85"/>
      <c r="F79" s="14">
        <v>1</v>
      </c>
      <c r="G79" s="14">
        <v>14133</v>
      </c>
      <c r="H79" s="63">
        <f>G79*F79/1000</f>
        <v>14.132999999999999</v>
      </c>
      <c r="I79" s="14">
        <v>0</v>
      </c>
    </row>
    <row r="80" spans="1:22" ht="15.75" customHeight="1">
      <c r="A80" s="162" t="s">
        <v>148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17">
        <v>11</v>
      </c>
      <c r="B81" s="64" t="s">
        <v>111</v>
      </c>
      <c r="C81" s="17" t="s">
        <v>52</v>
      </c>
      <c r="D81" s="86" t="s">
        <v>53</v>
      </c>
      <c r="E81" s="14">
        <v>3216.2</v>
      </c>
      <c r="F81" s="14">
        <f>SUM(E81*12)</f>
        <v>38594.399999999994</v>
      </c>
      <c r="G81" s="14">
        <v>2.95</v>
      </c>
      <c r="H81" s="63">
        <f>SUM(F81*G81/1000)</f>
        <v>113.85347999999999</v>
      </c>
      <c r="I81" s="14">
        <f>F81/12*G81</f>
        <v>9487.7899999999991</v>
      </c>
    </row>
    <row r="82" spans="1:9" ht="31.5" customHeight="1">
      <c r="A82" s="87">
        <v>12</v>
      </c>
      <c r="B82" s="15" t="s">
        <v>73</v>
      </c>
      <c r="C82" s="17"/>
      <c r="D82" s="86" t="s">
        <v>53</v>
      </c>
      <c r="E82" s="66">
        <v>3216.2</v>
      </c>
      <c r="F82" s="14">
        <f>E82*12</f>
        <v>38594.399999999994</v>
      </c>
      <c r="G82" s="14">
        <v>3.05</v>
      </c>
      <c r="H82" s="63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75</v>
      </c>
      <c r="C83" s="83"/>
      <c r="D83" s="82"/>
      <c r="E83" s="73"/>
      <c r="F83" s="73"/>
      <c r="G83" s="73"/>
      <c r="H83" s="84">
        <f>H82</f>
        <v>117.71291999999997</v>
      </c>
      <c r="I83" s="73">
        <f>I82+I81+I69+I61+I52+I51+I50+I33+I31+I30+I27+I26+I18+I17+I16</f>
        <v>57397.201086444424</v>
      </c>
    </row>
    <row r="84" spans="1:9" ht="15.75" customHeight="1">
      <c r="A84" s="168" t="s">
        <v>58</v>
      </c>
      <c r="B84" s="169"/>
      <c r="C84" s="169"/>
      <c r="D84" s="169"/>
      <c r="E84" s="169"/>
      <c r="F84" s="169"/>
      <c r="G84" s="169"/>
      <c r="H84" s="169"/>
      <c r="I84" s="170"/>
    </row>
    <row r="85" spans="1:9" ht="17.25" customHeight="1">
      <c r="A85" s="116">
        <v>13</v>
      </c>
      <c r="B85" s="133" t="s">
        <v>167</v>
      </c>
      <c r="C85" s="134" t="s">
        <v>168</v>
      </c>
      <c r="D85" s="43"/>
      <c r="E85" s="14"/>
      <c r="F85" s="14">
        <v>2</v>
      </c>
      <c r="G85" s="141">
        <v>1.2</v>
      </c>
      <c r="H85" s="63">
        <f t="shared" ref="H85" si="14">G85*F85/1000</f>
        <v>2.3999999999999998E-3</v>
      </c>
      <c r="I85" s="115">
        <f>G85*100</f>
        <v>120</v>
      </c>
    </row>
    <row r="86" spans="1:9" ht="29.25" customHeight="1">
      <c r="A86" s="116">
        <v>14</v>
      </c>
      <c r="B86" s="123" t="s">
        <v>247</v>
      </c>
      <c r="C86" s="137" t="s">
        <v>257</v>
      </c>
      <c r="D86" s="129"/>
      <c r="E86" s="18"/>
      <c r="F86" s="130">
        <f>2/10</f>
        <v>0.2</v>
      </c>
      <c r="G86" s="150">
        <v>205.57</v>
      </c>
      <c r="H86" s="131">
        <f t="shared" ref="H86" si="15">SUM(F86*G86/1000)</f>
        <v>4.1114000000000005E-2</v>
      </c>
      <c r="I86" s="115">
        <f>G86*0.0064</f>
        <v>1.3156479999999999</v>
      </c>
    </row>
    <row r="87" spans="1:9" ht="15.75" customHeight="1">
      <c r="A87" s="31"/>
      <c r="B87" s="151" t="s">
        <v>248</v>
      </c>
      <c r="C87" s="124" t="s">
        <v>31</v>
      </c>
      <c r="D87" s="129"/>
      <c r="E87" s="18"/>
      <c r="F87" s="130"/>
      <c r="G87" s="126">
        <v>47.45</v>
      </c>
      <c r="H87" s="141"/>
      <c r="I87" s="115">
        <f>G87*6.4</f>
        <v>303.68</v>
      </c>
    </row>
    <row r="88" spans="1:9" ht="33" customHeight="1">
      <c r="A88" s="116"/>
      <c r="B88" s="123" t="s">
        <v>249</v>
      </c>
      <c r="C88" s="124" t="s">
        <v>158</v>
      </c>
      <c r="D88" s="129"/>
      <c r="E88" s="18"/>
      <c r="F88" s="130"/>
      <c r="G88" s="126">
        <v>1272</v>
      </c>
      <c r="H88" s="141"/>
      <c r="I88" s="115">
        <f>G88*1</f>
        <v>1272</v>
      </c>
    </row>
    <row r="89" spans="1:9" ht="15.75" customHeight="1">
      <c r="A89" s="116"/>
      <c r="B89" s="123" t="s">
        <v>204</v>
      </c>
      <c r="C89" s="124" t="s">
        <v>101</v>
      </c>
      <c r="D89" s="129"/>
      <c r="E89" s="18"/>
      <c r="F89" s="130"/>
      <c r="G89" s="126">
        <v>151.31</v>
      </c>
      <c r="H89" s="141"/>
      <c r="I89" s="115">
        <f>G89*1</f>
        <v>151.31</v>
      </c>
    </row>
    <row r="90" spans="1:9" ht="15.75" customHeight="1">
      <c r="A90" s="116"/>
      <c r="B90" s="123" t="s">
        <v>205</v>
      </c>
      <c r="C90" s="124" t="s">
        <v>101</v>
      </c>
      <c r="D90" s="129"/>
      <c r="E90" s="18"/>
      <c r="F90" s="130"/>
      <c r="G90" s="126">
        <v>169.24</v>
      </c>
      <c r="H90" s="141"/>
      <c r="I90" s="115">
        <f>G90*1</f>
        <v>169.24</v>
      </c>
    </row>
    <row r="91" spans="1:9" ht="15.75" customHeight="1">
      <c r="A91" s="116"/>
      <c r="B91" s="123" t="s">
        <v>250</v>
      </c>
      <c r="C91" s="124" t="s">
        <v>101</v>
      </c>
      <c r="D91" s="129"/>
      <c r="E91" s="18"/>
      <c r="F91" s="130"/>
      <c r="G91" s="126">
        <v>12.8</v>
      </c>
      <c r="H91" s="141"/>
      <c r="I91" s="115">
        <f>G91*1</f>
        <v>12.8</v>
      </c>
    </row>
    <row r="92" spans="1:9" ht="15.75" customHeight="1">
      <c r="A92" s="116"/>
      <c r="B92" s="123" t="s">
        <v>251</v>
      </c>
      <c r="C92" s="124" t="s">
        <v>101</v>
      </c>
      <c r="D92" s="129"/>
      <c r="E92" s="18"/>
      <c r="F92" s="130"/>
      <c r="G92" s="126">
        <v>95.25</v>
      </c>
      <c r="H92" s="141"/>
      <c r="I92" s="115">
        <f>G92*1</f>
        <v>95.25</v>
      </c>
    </row>
    <row r="93" spans="1:9" ht="15.75" customHeight="1">
      <c r="A93" s="116"/>
      <c r="B93" s="123" t="s">
        <v>252</v>
      </c>
      <c r="C93" s="124" t="s">
        <v>253</v>
      </c>
      <c r="D93" s="129"/>
      <c r="E93" s="18"/>
      <c r="F93" s="130"/>
      <c r="G93" s="126">
        <v>613.44000000000005</v>
      </c>
      <c r="H93" s="141"/>
      <c r="I93" s="115">
        <f>G93*2</f>
        <v>1226.8800000000001</v>
      </c>
    </row>
    <row r="94" spans="1:9" ht="15.75" customHeight="1">
      <c r="A94" s="116"/>
      <c r="B94" s="123" t="s">
        <v>206</v>
      </c>
      <c r="C94" s="124" t="s">
        <v>214</v>
      </c>
      <c r="D94" s="129"/>
      <c r="E94" s="18"/>
      <c r="F94" s="130"/>
      <c r="G94" s="126">
        <v>24829.08</v>
      </c>
      <c r="H94" s="141"/>
      <c r="I94" s="115">
        <f>G94*0.02</f>
        <v>496.58160000000004</v>
      </c>
    </row>
    <row r="95" spans="1:9" ht="15.75" customHeight="1">
      <c r="A95" s="116"/>
      <c r="B95" s="123" t="s">
        <v>76</v>
      </c>
      <c r="C95" s="124" t="s">
        <v>101</v>
      </c>
      <c r="D95" s="129"/>
      <c r="E95" s="18"/>
      <c r="F95" s="130"/>
      <c r="G95" s="126">
        <v>197.48</v>
      </c>
      <c r="H95" s="141"/>
      <c r="I95" s="115">
        <f>G95*2</f>
        <v>394.96</v>
      </c>
    </row>
    <row r="96" spans="1:9" ht="15.75" customHeight="1">
      <c r="A96" s="31"/>
      <c r="B96" s="41" t="s">
        <v>49</v>
      </c>
      <c r="C96" s="37"/>
      <c r="D96" s="44"/>
      <c r="E96" s="37">
        <v>1</v>
      </c>
      <c r="F96" s="37"/>
      <c r="G96" s="37"/>
      <c r="H96" s="37"/>
      <c r="I96" s="34">
        <f>SUM(I85:I95)</f>
        <v>4244.0172480000001</v>
      </c>
    </row>
    <row r="97" spans="1:9" ht="15.75" customHeight="1">
      <c r="A97" s="31"/>
      <c r="B97" s="43" t="s">
        <v>74</v>
      </c>
      <c r="C97" s="16"/>
      <c r="D97" s="16"/>
      <c r="E97" s="38"/>
      <c r="F97" s="38"/>
      <c r="G97" s="39"/>
      <c r="H97" s="39"/>
      <c r="I97" s="18">
        <v>0</v>
      </c>
    </row>
    <row r="98" spans="1:9" ht="15.75" customHeight="1">
      <c r="A98" s="45"/>
      <c r="B98" s="42" t="s">
        <v>153</v>
      </c>
      <c r="C98" s="35"/>
      <c r="D98" s="35"/>
      <c r="E98" s="35"/>
      <c r="F98" s="35"/>
      <c r="G98" s="35"/>
      <c r="H98" s="35"/>
      <c r="I98" s="40">
        <f>I83+I96</f>
        <v>61641.21833444442</v>
      </c>
    </row>
    <row r="99" spans="1:9" ht="15.75" customHeight="1">
      <c r="A99" s="153" t="s">
        <v>254</v>
      </c>
      <c r="B99" s="153"/>
      <c r="C99" s="153"/>
      <c r="D99" s="153"/>
      <c r="E99" s="153"/>
      <c r="F99" s="153"/>
      <c r="G99" s="153"/>
      <c r="H99" s="153"/>
      <c r="I99" s="153"/>
    </row>
    <row r="100" spans="1:9" ht="15.75" customHeight="1">
      <c r="A100" s="54"/>
      <c r="B100" s="178" t="s">
        <v>255</v>
      </c>
      <c r="C100" s="178"/>
      <c r="D100" s="178"/>
      <c r="E100" s="178"/>
      <c r="F100" s="178"/>
      <c r="G100" s="178"/>
      <c r="H100" s="58"/>
      <c r="I100" s="4"/>
    </row>
    <row r="101" spans="1:9" ht="15.75" customHeight="1">
      <c r="A101" s="97"/>
      <c r="B101" s="175" t="s">
        <v>6</v>
      </c>
      <c r="C101" s="175"/>
      <c r="D101" s="175"/>
      <c r="E101" s="175"/>
      <c r="F101" s="175"/>
      <c r="G101" s="175"/>
      <c r="H101" s="26"/>
      <c r="I101" s="6"/>
    </row>
    <row r="102" spans="1:9" ht="15.75" customHeight="1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15.75" customHeight="1">
      <c r="A103" s="179" t="s">
        <v>7</v>
      </c>
      <c r="B103" s="179"/>
      <c r="C103" s="179"/>
      <c r="D103" s="179"/>
      <c r="E103" s="179"/>
      <c r="F103" s="179"/>
      <c r="G103" s="179"/>
      <c r="H103" s="179"/>
      <c r="I103" s="179"/>
    </row>
    <row r="104" spans="1:9" ht="15.75" customHeight="1">
      <c r="A104" s="179" t="s">
        <v>8</v>
      </c>
      <c r="B104" s="179"/>
      <c r="C104" s="179"/>
      <c r="D104" s="179"/>
      <c r="E104" s="179"/>
      <c r="F104" s="179"/>
      <c r="G104" s="179"/>
      <c r="H104" s="179"/>
      <c r="I104" s="179"/>
    </row>
    <row r="105" spans="1:9" ht="15.75" customHeight="1">
      <c r="A105" s="180" t="s">
        <v>59</v>
      </c>
      <c r="B105" s="180"/>
      <c r="C105" s="180"/>
      <c r="D105" s="180"/>
      <c r="E105" s="180"/>
      <c r="F105" s="180"/>
      <c r="G105" s="180"/>
      <c r="H105" s="180"/>
      <c r="I105" s="180"/>
    </row>
    <row r="106" spans="1:9" ht="15.75" customHeight="1">
      <c r="A106" s="12"/>
    </row>
    <row r="107" spans="1:9" ht="15.75" customHeight="1">
      <c r="A107" s="160" t="s">
        <v>9</v>
      </c>
      <c r="B107" s="160"/>
      <c r="C107" s="160"/>
      <c r="D107" s="160"/>
      <c r="E107" s="160"/>
      <c r="F107" s="160"/>
      <c r="G107" s="160"/>
      <c r="H107" s="160"/>
      <c r="I107" s="160"/>
    </row>
    <row r="108" spans="1:9" ht="15.75" customHeight="1">
      <c r="A108" s="5"/>
    </row>
    <row r="109" spans="1:9" ht="15.75" customHeight="1">
      <c r="B109" s="100" t="s">
        <v>10</v>
      </c>
      <c r="C109" s="174" t="s">
        <v>81</v>
      </c>
      <c r="D109" s="174"/>
      <c r="E109" s="174"/>
      <c r="F109" s="56"/>
      <c r="I109" s="102"/>
    </row>
    <row r="110" spans="1:9" ht="15.75" customHeight="1">
      <c r="A110" s="97"/>
      <c r="C110" s="175" t="s">
        <v>11</v>
      </c>
      <c r="D110" s="175"/>
      <c r="E110" s="175"/>
      <c r="F110" s="26"/>
      <c r="I110" s="101" t="s">
        <v>12</v>
      </c>
    </row>
    <row r="111" spans="1:9" ht="15.75" customHeight="1">
      <c r="A111" s="27"/>
      <c r="C111" s="13"/>
      <c r="D111" s="13"/>
      <c r="G111" s="13"/>
      <c r="H111" s="13"/>
    </row>
    <row r="112" spans="1:9" ht="15.75" customHeight="1">
      <c r="B112" s="100" t="s">
        <v>13</v>
      </c>
      <c r="C112" s="176"/>
      <c r="D112" s="176"/>
      <c r="E112" s="176"/>
      <c r="F112" s="57"/>
      <c r="I112" s="102"/>
    </row>
    <row r="113" spans="1:9" ht="15.75" customHeight="1">
      <c r="A113" s="97"/>
      <c r="C113" s="152" t="s">
        <v>11</v>
      </c>
      <c r="D113" s="152"/>
      <c r="E113" s="152"/>
      <c r="F113" s="97"/>
      <c r="I113" s="101" t="s">
        <v>12</v>
      </c>
    </row>
    <row r="114" spans="1:9" ht="15.75" customHeight="1">
      <c r="A114" s="5" t="s">
        <v>14</v>
      </c>
    </row>
    <row r="115" spans="1:9" ht="15" customHeight="1">
      <c r="A115" s="177" t="s">
        <v>15</v>
      </c>
      <c r="B115" s="177"/>
      <c r="C115" s="177"/>
      <c r="D115" s="177"/>
      <c r="E115" s="177"/>
      <c r="F115" s="177"/>
      <c r="G115" s="177"/>
      <c r="H115" s="177"/>
      <c r="I115" s="177"/>
    </row>
    <row r="116" spans="1:9" ht="45" customHeight="1">
      <c r="A116" s="171" t="s">
        <v>16</v>
      </c>
      <c r="B116" s="171"/>
      <c r="C116" s="171"/>
      <c r="D116" s="171"/>
      <c r="E116" s="171"/>
      <c r="F116" s="171"/>
      <c r="G116" s="171"/>
      <c r="H116" s="171"/>
      <c r="I116" s="171"/>
    </row>
    <row r="117" spans="1:9" ht="30" customHeight="1">
      <c r="A117" s="171" t="s">
        <v>17</v>
      </c>
      <c r="B117" s="171"/>
      <c r="C117" s="171"/>
      <c r="D117" s="171"/>
      <c r="E117" s="171"/>
      <c r="F117" s="171"/>
      <c r="G117" s="171"/>
      <c r="H117" s="171"/>
      <c r="I117" s="171"/>
    </row>
    <row r="118" spans="1:9" ht="30" customHeight="1">
      <c r="A118" s="171" t="s">
        <v>21</v>
      </c>
      <c r="B118" s="171"/>
      <c r="C118" s="171"/>
      <c r="D118" s="171"/>
      <c r="E118" s="171"/>
      <c r="F118" s="171"/>
      <c r="G118" s="171"/>
      <c r="H118" s="171"/>
      <c r="I118" s="171"/>
    </row>
    <row r="119" spans="1:9" ht="15" customHeight="1">
      <c r="A119" s="171" t="s">
        <v>20</v>
      </c>
      <c r="B119" s="171"/>
      <c r="C119" s="171"/>
      <c r="D119" s="171"/>
      <c r="E119" s="171"/>
      <c r="F119" s="171"/>
      <c r="G119" s="171"/>
      <c r="H119" s="171"/>
      <c r="I119" s="171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13:E113"/>
    <mergeCell ref="A84:I84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0:I80"/>
    <mergeCell ref="A115:I115"/>
    <mergeCell ref="A116:I116"/>
    <mergeCell ref="A117:I117"/>
    <mergeCell ref="A118:I118"/>
    <mergeCell ref="A119:I11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7"/>
  <sheetViews>
    <sheetView topLeftCell="A80" workbookViewId="0">
      <selection activeCell="B85" sqref="B85:I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230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4" t="s">
        <v>163</v>
      </c>
      <c r="B3" s="154"/>
      <c r="C3" s="154"/>
      <c r="D3" s="154"/>
      <c r="E3" s="154"/>
      <c r="F3" s="154"/>
      <c r="G3" s="154"/>
      <c r="H3" s="154"/>
      <c r="I3" s="154"/>
      <c r="J3" s="2"/>
      <c r="K3" s="2"/>
      <c r="L3" s="2"/>
      <c r="M3" s="2"/>
    </row>
    <row r="4" spans="1:13" ht="33.75" customHeight="1">
      <c r="A4" s="155" t="s">
        <v>112</v>
      </c>
      <c r="B4" s="155"/>
      <c r="C4" s="155"/>
      <c r="D4" s="155"/>
      <c r="E4" s="155"/>
      <c r="F4" s="155"/>
      <c r="G4" s="155"/>
      <c r="H4" s="155"/>
      <c r="I4" s="155"/>
      <c r="J4" s="3"/>
      <c r="K4" s="3"/>
      <c r="L4" s="3"/>
      <c r="M4" s="3"/>
    </row>
    <row r="5" spans="1:13" ht="15.75" customHeight="1">
      <c r="A5" s="154" t="s">
        <v>256</v>
      </c>
      <c r="B5" s="156"/>
      <c r="C5" s="156"/>
      <c r="D5" s="156"/>
      <c r="E5" s="156"/>
      <c r="F5" s="156"/>
      <c r="G5" s="156"/>
      <c r="H5" s="156"/>
      <c r="I5" s="156"/>
      <c r="J5" s="4"/>
      <c r="K5" s="4"/>
      <c r="L5" s="4"/>
    </row>
    <row r="6" spans="1:13" ht="15.75" customHeight="1">
      <c r="A6" s="3"/>
      <c r="B6" s="121"/>
      <c r="C6" s="121"/>
      <c r="D6" s="121"/>
      <c r="E6" s="121"/>
      <c r="F6" s="121"/>
      <c r="G6" s="121"/>
      <c r="H6" s="121"/>
      <c r="I6" s="32">
        <v>43434</v>
      </c>
    </row>
    <row r="7" spans="1:13" ht="15.75">
      <c r="B7" s="120"/>
      <c r="C7" s="120"/>
      <c r="D7" s="12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57" t="s">
        <v>213</v>
      </c>
      <c r="B8" s="157"/>
      <c r="C8" s="157"/>
      <c r="D8" s="157"/>
      <c r="E8" s="157"/>
      <c r="F8" s="157"/>
      <c r="G8" s="157"/>
      <c r="H8" s="157"/>
      <c r="I8" s="15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58" t="s">
        <v>166</v>
      </c>
      <c r="B10" s="158"/>
      <c r="C10" s="158"/>
      <c r="D10" s="158"/>
      <c r="E10" s="158"/>
      <c r="F10" s="158"/>
      <c r="G10" s="158"/>
      <c r="H10" s="158"/>
      <c r="I10" s="15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59" t="s">
        <v>57</v>
      </c>
      <c r="B14" s="159"/>
      <c r="C14" s="159"/>
      <c r="D14" s="159"/>
      <c r="E14" s="159"/>
      <c r="F14" s="159"/>
      <c r="G14" s="159"/>
      <c r="H14" s="159"/>
      <c r="I14" s="159"/>
    </row>
    <row r="15" spans="1:13">
      <c r="A15" s="161" t="s">
        <v>4</v>
      </c>
      <c r="B15" s="161"/>
      <c r="C15" s="161"/>
      <c r="D15" s="161"/>
      <c r="E15" s="161"/>
      <c r="F15" s="161"/>
      <c r="G15" s="161"/>
      <c r="H15" s="161"/>
      <c r="I15" s="161"/>
      <c r="J15" s="9"/>
      <c r="K15" s="9"/>
      <c r="L15" s="9"/>
      <c r="M15" s="9"/>
    </row>
    <row r="16" spans="1:13" ht="15.75" customHeight="1">
      <c r="A16" s="59">
        <v>1</v>
      </c>
      <c r="B16" s="64" t="s">
        <v>79</v>
      </c>
      <c r="C16" s="65" t="s">
        <v>83</v>
      </c>
      <c r="D16" s="64" t="s">
        <v>115</v>
      </c>
      <c r="E16" s="66">
        <v>54</v>
      </c>
      <c r="F16" s="67">
        <f>SUM(E16*156/100)</f>
        <v>84.24</v>
      </c>
      <c r="G16" s="67">
        <v>218.21</v>
      </c>
      <c r="H16" s="68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4" t="s">
        <v>113</v>
      </c>
      <c r="C17" s="65" t="s">
        <v>83</v>
      </c>
      <c r="D17" s="64" t="s">
        <v>116</v>
      </c>
      <c r="E17" s="66">
        <v>216</v>
      </c>
      <c r="F17" s="67">
        <f>SUM(E17*104/100)</f>
        <v>224.64</v>
      </c>
      <c r="G17" s="67">
        <v>218.21</v>
      </c>
      <c r="H17" s="68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4" t="s">
        <v>114</v>
      </c>
      <c r="C18" s="65" t="s">
        <v>83</v>
      </c>
      <c r="D18" s="64" t="s">
        <v>117</v>
      </c>
      <c r="E18" s="66">
        <f>SUM(E16+E17)</f>
        <v>270</v>
      </c>
      <c r="F18" s="67">
        <f>SUM(E18*24/100)</f>
        <v>64.8</v>
      </c>
      <c r="G18" s="67">
        <v>627.77</v>
      </c>
      <c r="H18" s="68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4" t="s">
        <v>84</v>
      </c>
      <c r="C19" s="65" t="s">
        <v>85</v>
      </c>
      <c r="D19" s="64" t="s">
        <v>86</v>
      </c>
      <c r="E19" s="66">
        <v>40</v>
      </c>
      <c r="F19" s="67">
        <f>SUM(E19/10)</f>
        <v>4</v>
      </c>
      <c r="G19" s="67">
        <v>211.74</v>
      </c>
      <c r="H19" s="68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9">
        <v>4</v>
      </c>
      <c r="B20" s="64" t="s">
        <v>87</v>
      </c>
      <c r="C20" s="65" t="s">
        <v>83</v>
      </c>
      <c r="D20" s="64" t="s">
        <v>40</v>
      </c>
      <c r="E20" s="66">
        <v>10.5</v>
      </c>
      <c r="F20" s="67">
        <f>SUM(E20*2/100)</f>
        <v>0.21</v>
      </c>
      <c r="G20" s="67">
        <v>271.12</v>
      </c>
      <c r="H20" s="68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9">
        <v>5</v>
      </c>
      <c r="B21" s="64" t="s">
        <v>88</v>
      </c>
      <c r="C21" s="65" t="s">
        <v>83</v>
      </c>
      <c r="D21" s="64" t="s">
        <v>40</v>
      </c>
      <c r="E21" s="66">
        <v>2.7</v>
      </c>
      <c r="F21" s="67">
        <f>SUM(E21*2/100)</f>
        <v>5.4000000000000006E-2</v>
      </c>
      <c r="G21" s="67">
        <v>268.92</v>
      </c>
      <c r="H21" s="68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4" t="s">
        <v>89</v>
      </c>
      <c r="C22" s="65" t="s">
        <v>50</v>
      </c>
      <c r="D22" s="64" t="s">
        <v>86</v>
      </c>
      <c r="E22" s="66">
        <v>357</v>
      </c>
      <c r="F22" s="67">
        <f t="shared" ref="F22:F25" si="2">SUM(E22/100)</f>
        <v>3.57</v>
      </c>
      <c r="G22" s="67">
        <v>335.05</v>
      </c>
      <c r="H22" s="68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4" t="s">
        <v>90</v>
      </c>
      <c r="C23" s="65" t="s">
        <v>50</v>
      </c>
      <c r="D23" s="64" t="s">
        <v>86</v>
      </c>
      <c r="E23" s="69">
        <v>38.64</v>
      </c>
      <c r="F23" s="67">
        <f t="shared" si="2"/>
        <v>0.38640000000000002</v>
      </c>
      <c r="G23" s="67">
        <v>55.1</v>
      </c>
      <c r="H23" s="68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4" t="s">
        <v>91</v>
      </c>
      <c r="C24" s="65" t="s">
        <v>50</v>
      </c>
      <c r="D24" s="70" t="s">
        <v>86</v>
      </c>
      <c r="E24" s="19">
        <v>15</v>
      </c>
      <c r="F24" s="71">
        <f t="shared" si="2"/>
        <v>0.15</v>
      </c>
      <c r="G24" s="67">
        <v>484.94</v>
      </c>
      <c r="H24" s="68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4" t="s">
        <v>118</v>
      </c>
      <c r="C25" s="65" t="s">
        <v>50</v>
      </c>
      <c r="D25" s="64" t="s">
        <v>86</v>
      </c>
      <c r="E25" s="72">
        <v>6.38</v>
      </c>
      <c r="F25" s="67">
        <f t="shared" si="2"/>
        <v>6.3799999999999996E-2</v>
      </c>
      <c r="G25" s="67">
        <v>648.04999999999995</v>
      </c>
      <c r="H25" s="68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4</v>
      </c>
      <c r="B26" s="64" t="s">
        <v>62</v>
      </c>
      <c r="C26" s="65" t="s">
        <v>31</v>
      </c>
      <c r="D26" s="64"/>
      <c r="E26" s="66">
        <v>0.1</v>
      </c>
      <c r="F26" s="67">
        <f>SUM(E26*365)</f>
        <v>36.5</v>
      </c>
      <c r="G26" s="67">
        <v>182.96</v>
      </c>
      <c r="H26" s="68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hidden="1" customHeight="1">
      <c r="A27" s="59">
        <v>5</v>
      </c>
      <c r="B27" s="75" t="s">
        <v>23</v>
      </c>
      <c r="C27" s="65" t="s">
        <v>24</v>
      </c>
      <c r="D27" s="64"/>
      <c r="E27" s="66">
        <v>3216.2</v>
      </c>
      <c r="F27" s="67">
        <f>SUM(E27*12)</f>
        <v>38594.399999999994</v>
      </c>
      <c r="G27" s="67">
        <v>4.01</v>
      </c>
      <c r="H27" s="68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5" t="s">
        <v>150</v>
      </c>
      <c r="B28" s="166"/>
      <c r="C28" s="166"/>
      <c r="D28" s="166"/>
      <c r="E28" s="166"/>
      <c r="F28" s="166"/>
      <c r="G28" s="166"/>
      <c r="H28" s="166"/>
      <c r="I28" s="167"/>
      <c r="J28" s="24"/>
      <c r="K28" s="9"/>
      <c r="L28" s="9"/>
      <c r="M28" s="9"/>
    </row>
    <row r="29" spans="1:13" ht="15.75" hidden="1" customHeight="1">
      <c r="A29" s="104"/>
      <c r="B29" s="122" t="s">
        <v>27</v>
      </c>
      <c r="C29" s="105"/>
      <c r="D29" s="105"/>
      <c r="E29" s="105"/>
      <c r="F29" s="105"/>
      <c r="G29" s="105"/>
      <c r="H29" s="105"/>
      <c r="I29" s="105"/>
      <c r="J29" s="24"/>
      <c r="K29" s="9"/>
      <c r="L29" s="9"/>
      <c r="M29" s="9"/>
    </row>
    <row r="30" spans="1:13" ht="15.75" hidden="1" customHeight="1">
      <c r="A30" s="103">
        <v>6</v>
      </c>
      <c r="B30" s="64" t="s">
        <v>92</v>
      </c>
      <c r="C30" s="65" t="s">
        <v>93</v>
      </c>
      <c r="D30" s="64" t="s">
        <v>119</v>
      </c>
      <c r="E30" s="67">
        <v>191.65</v>
      </c>
      <c r="F30" s="67">
        <f>SUM(E30*52/1000)</f>
        <v>9.9658000000000015</v>
      </c>
      <c r="G30" s="67">
        <v>193.97</v>
      </c>
      <c r="H30" s="68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hidden="1" customHeight="1">
      <c r="A31" s="59">
        <v>7</v>
      </c>
      <c r="B31" s="64" t="s">
        <v>151</v>
      </c>
      <c r="C31" s="65" t="s">
        <v>93</v>
      </c>
      <c r="D31" s="64" t="s">
        <v>120</v>
      </c>
      <c r="E31" s="67">
        <v>67.650000000000006</v>
      </c>
      <c r="F31" s="67">
        <f>SUM(E31*78/1000)</f>
        <v>5.2767000000000008</v>
      </c>
      <c r="G31" s="67">
        <v>321.82</v>
      </c>
      <c r="H31" s="68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4" t="s">
        <v>26</v>
      </c>
      <c r="C32" s="65" t="s">
        <v>93</v>
      </c>
      <c r="D32" s="64" t="s">
        <v>51</v>
      </c>
      <c r="E32" s="67">
        <v>191.65</v>
      </c>
      <c r="F32" s="67">
        <f>SUM(E32/1000)</f>
        <v>0.19165000000000001</v>
      </c>
      <c r="G32" s="67">
        <v>3758.28</v>
      </c>
      <c r="H32" s="68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hidden="1" customHeight="1">
      <c r="A33" s="59">
        <v>8</v>
      </c>
      <c r="B33" s="64" t="s">
        <v>94</v>
      </c>
      <c r="C33" s="65" t="s">
        <v>29</v>
      </c>
      <c r="D33" s="64" t="s">
        <v>61</v>
      </c>
      <c r="E33" s="74">
        <f>1/3</f>
        <v>0.33333333333333331</v>
      </c>
      <c r="F33" s="67">
        <f>155/3</f>
        <v>51.666666666666664</v>
      </c>
      <c r="G33" s="67">
        <v>70.540000000000006</v>
      </c>
      <c r="H33" s="68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4" t="s">
        <v>63</v>
      </c>
      <c r="C34" s="65" t="s">
        <v>31</v>
      </c>
      <c r="D34" s="64" t="s">
        <v>64</v>
      </c>
      <c r="E34" s="66"/>
      <c r="F34" s="67">
        <v>3</v>
      </c>
      <c r="G34" s="67">
        <v>238.07</v>
      </c>
      <c r="H34" s="68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4" t="s">
        <v>137</v>
      </c>
      <c r="C35" s="65" t="s">
        <v>30</v>
      </c>
      <c r="D35" s="64" t="s">
        <v>64</v>
      </c>
      <c r="E35" s="66"/>
      <c r="F35" s="67">
        <v>2</v>
      </c>
      <c r="G35" s="67">
        <v>1413.96</v>
      </c>
      <c r="H35" s="68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4"/>
      <c r="B36" s="122" t="s">
        <v>5</v>
      </c>
      <c r="C36" s="105"/>
      <c r="D36" s="105"/>
      <c r="E36" s="105"/>
      <c r="F36" s="105"/>
      <c r="G36" s="105"/>
      <c r="H36" s="105"/>
      <c r="I36" s="105"/>
      <c r="J36" s="25"/>
    </row>
    <row r="37" spans="1:14" ht="15.75" customHeight="1">
      <c r="A37" s="103">
        <v>5</v>
      </c>
      <c r="B37" s="64" t="s">
        <v>25</v>
      </c>
      <c r="C37" s="65" t="s">
        <v>30</v>
      </c>
      <c r="D37" s="64"/>
      <c r="E37" s="66"/>
      <c r="F37" s="67">
        <v>3</v>
      </c>
      <c r="G37" s="67">
        <v>1900.37</v>
      </c>
      <c r="H37" s="68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9">
        <v>6</v>
      </c>
      <c r="B38" s="64" t="s">
        <v>82</v>
      </c>
      <c r="C38" s="65" t="s">
        <v>28</v>
      </c>
      <c r="D38" s="64" t="s">
        <v>95</v>
      </c>
      <c r="E38" s="66">
        <v>67.650000000000006</v>
      </c>
      <c r="F38" s="67">
        <f>E38*30/1000</f>
        <v>2.0295000000000001</v>
      </c>
      <c r="G38" s="67">
        <v>2616.4899999999998</v>
      </c>
      <c r="H38" s="68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9">
        <v>7</v>
      </c>
      <c r="B39" s="64" t="s">
        <v>121</v>
      </c>
      <c r="C39" s="65" t="s">
        <v>28</v>
      </c>
      <c r="D39" s="64" t="s">
        <v>96</v>
      </c>
      <c r="E39" s="66">
        <v>67.650000000000006</v>
      </c>
      <c r="F39" s="67">
        <f>E39*155/1000</f>
        <v>10.485749999999999</v>
      </c>
      <c r="G39" s="67">
        <v>436.45</v>
      </c>
      <c r="H39" s="68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3">
        <v>9</v>
      </c>
      <c r="B40" s="64" t="s">
        <v>122</v>
      </c>
      <c r="C40" s="65" t="s">
        <v>123</v>
      </c>
      <c r="D40" s="64" t="s">
        <v>64</v>
      </c>
      <c r="E40" s="66"/>
      <c r="F40" s="67">
        <v>64</v>
      </c>
      <c r="G40" s="67">
        <v>226.84</v>
      </c>
      <c r="H40" s="68">
        <f>G40*F40/1000</f>
        <v>14.517760000000001</v>
      </c>
      <c r="I40" s="14">
        <f>G40*13</f>
        <v>2948.92</v>
      </c>
      <c r="J40" s="25"/>
    </row>
    <row r="41" spans="1:14" ht="47.25" customHeight="1">
      <c r="A41" s="59">
        <v>8</v>
      </c>
      <c r="B41" s="64" t="s">
        <v>77</v>
      </c>
      <c r="C41" s="65" t="s">
        <v>28</v>
      </c>
      <c r="D41" s="64" t="s">
        <v>124</v>
      </c>
      <c r="E41" s="67">
        <v>67.650000000000006</v>
      </c>
      <c r="F41" s="67">
        <f>SUM(E41*35/1000)</f>
        <v>2.36775</v>
      </c>
      <c r="G41" s="67">
        <v>7221.21</v>
      </c>
      <c r="H41" s="68">
        <f t="shared" si="6"/>
        <v>17.098019977500002</v>
      </c>
      <c r="I41" s="14">
        <f>F41/6*G41</f>
        <v>2849.6699962500002</v>
      </c>
      <c r="J41" s="25"/>
    </row>
    <row r="42" spans="1:14" ht="15.75" customHeight="1">
      <c r="A42" s="59">
        <v>9</v>
      </c>
      <c r="B42" s="64" t="s">
        <v>97</v>
      </c>
      <c r="C42" s="65" t="s">
        <v>93</v>
      </c>
      <c r="D42" s="64" t="s">
        <v>125</v>
      </c>
      <c r="E42" s="67">
        <v>67.650000000000006</v>
      </c>
      <c r="F42" s="67">
        <f>SUM(E42*20/1000)</f>
        <v>1.353</v>
      </c>
      <c r="G42" s="67">
        <v>533.45000000000005</v>
      </c>
      <c r="H42" s="68">
        <f t="shared" si="6"/>
        <v>0.72175785000000003</v>
      </c>
      <c r="I42" s="14">
        <f>F42/7.5*G42</f>
        <v>96.234380000000016</v>
      </c>
      <c r="J42" s="25"/>
    </row>
    <row r="43" spans="1:14" ht="15.75" customHeight="1">
      <c r="A43" s="103">
        <v>10</v>
      </c>
      <c r="B43" s="64" t="s">
        <v>65</v>
      </c>
      <c r="C43" s="65" t="s">
        <v>31</v>
      </c>
      <c r="D43" s="64"/>
      <c r="E43" s="66"/>
      <c r="F43" s="67">
        <v>0.8</v>
      </c>
      <c r="G43" s="67">
        <v>992.97</v>
      </c>
      <c r="H43" s="68">
        <f t="shared" si="6"/>
        <v>0.79437600000000008</v>
      </c>
      <c r="I43" s="14">
        <f>F43/7.5*G43</f>
        <v>105.91680000000001</v>
      </c>
      <c r="J43" s="25"/>
    </row>
    <row r="44" spans="1:14" ht="15.75" hidden="1" customHeight="1">
      <c r="A44" s="162" t="s">
        <v>141</v>
      </c>
      <c r="B44" s="163"/>
      <c r="C44" s="163"/>
      <c r="D44" s="163"/>
      <c r="E44" s="163"/>
      <c r="F44" s="163"/>
      <c r="G44" s="163"/>
      <c r="H44" s="163"/>
      <c r="I44" s="164"/>
      <c r="J44" s="25"/>
      <c r="L44" s="20"/>
      <c r="M44" s="21"/>
      <c r="N44" s="22"/>
    </row>
    <row r="45" spans="1:14" ht="15.75" hidden="1" customHeight="1">
      <c r="A45" s="59">
        <v>11</v>
      </c>
      <c r="B45" s="64" t="s">
        <v>98</v>
      </c>
      <c r="C45" s="65" t="s">
        <v>93</v>
      </c>
      <c r="D45" s="64" t="s">
        <v>40</v>
      </c>
      <c r="E45" s="66">
        <v>1114.75</v>
      </c>
      <c r="F45" s="67">
        <f>SUM(E45*2/1000)</f>
        <v>2.2294999999999998</v>
      </c>
      <c r="G45" s="14">
        <v>1283.46</v>
      </c>
      <c r="H45" s="68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9">
        <v>12</v>
      </c>
      <c r="B46" s="64" t="s">
        <v>34</v>
      </c>
      <c r="C46" s="65" t="s">
        <v>93</v>
      </c>
      <c r="D46" s="64" t="s">
        <v>40</v>
      </c>
      <c r="E46" s="66">
        <v>1563.3</v>
      </c>
      <c r="F46" s="67">
        <f>SUM(E46*2/1000)</f>
        <v>3.1265999999999998</v>
      </c>
      <c r="G46" s="14">
        <v>1711.28</v>
      </c>
      <c r="H46" s="68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hidden="1" customHeight="1">
      <c r="A47" s="59">
        <v>13</v>
      </c>
      <c r="B47" s="64" t="s">
        <v>35</v>
      </c>
      <c r="C47" s="65" t="s">
        <v>93</v>
      </c>
      <c r="D47" s="64" t="s">
        <v>40</v>
      </c>
      <c r="E47" s="66">
        <v>1619.6</v>
      </c>
      <c r="F47" s="67">
        <f>SUM(E47*2/1000)</f>
        <v>3.2391999999999999</v>
      </c>
      <c r="G47" s="14">
        <v>1179.73</v>
      </c>
      <c r="H47" s="68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hidden="1" customHeight="1">
      <c r="A48" s="59">
        <v>14</v>
      </c>
      <c r="B48" s="64" t="s">
        <v>32</v>
      </c>
      <c r="C48" s="65" t="s">
        <v>33</v>
      </c>
      <c r="D48" s="64" t="s">
        <v>40</v>
      </c>
      <c r="E48" s="66">
        <v>85.84</v>
      </c>
      <c r="F48" s="67">
        <f>SUM(E48*2/100)</f>
        <v>1.7168000000000001</v>
      </c>
      <c r="G48" s="14">
        <v>90.61</v>
      </c>
      <c r="H48" s="68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hidden="1" customHeight="1">
      <c r="A49" s="59">
        <v>15</v>
      </c>
      <c r="B49" s="64" t="s">
        <v>54</v>
      </c>
      <c r="C49" s="65" t="s">
        <v>93</v>
      </c>
      <c r="D49" s="64" t="s">
        <v>152</v>
      </c>
      <c r="E49" s="66">
        <v>3216.2</v>
      </c>
      <c r="F49" s="67">
        <f>SUM(E49*5/1000)</f>
        <v>16.081</v>
      </c>
      <c r="G49" s="14">
        <v>1711.28</v>
      </c>
      <c r="H49" s="68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16</v>
      </c>
      <c r="B50" s="64" t="s">
        <v>99</v>
      </c>
      <c r="C50" s="65" t="s">
        <v>93</v>
      </c>
      <c r="D50" s="64" t="s">
        <v>40</v>
      </c>
      <c r="E50" s="66">
        <v>3216.2</v>
      </c>
      <c r="F50" s="67">
        <f>SUM(E50*2/1000)</f>
        <v>6.4323999999999995</v>
      </c>
      <c r="G50" s="14">
        <v>1510.06</v>
      </c>
      <c r="H50" s="68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17</v>
      </c>
      <c r="B51" s="64" t="s">
        <v>100</v>
      </c>
      <c r="C51" s="65" t="s">
        <v>36</v>
      </c>
      <c r="D51" s="64" t="s">
        <v>40</v>
      </c>
      <c r="E51" s="66">
        <v>16</v>
      </c>
      <c r="F51" s="67">
        <f>SUM(E51*2/100)</f>
        <v>0.32</v>
      </c>
      <c r="G51" s="14">
        <v>3850.4</v>
      </c>
      <c r="H51" s="68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18</v>
      </c>
      <c r="B52" s="64" t="s">
        <v>37</v>
      </c>
      <c r="C52" s="65" t="s">
        <v>38</v>
      </c>
      <c r="D52" s="64" t="s">
        <v>40</v>
      </c>
      <c r="E52" s="66">
        <v>1</v>
      </c>
      <c r="F52" s="67">
        <v>0.02</v>
      </c>
      <c r="G52" s="14">
        <v>7033.13</v>
      </c>
      <c r="H52" s="68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hidden="1" customHeight="1">
      <c r="A53" s="59">
        <v>19</v>
      </c>
      <c r="B53" s="64" t="s">
        <v>39</v>
      </c>
      <c r="C53" s="65" t="s">
        <v>101</v>
      </c>
      <c r="D53" s="64" t="s">
        <v>66</v>
      </c>
      <c r="E53" s="66">
        <v>128</v>
      </c>
      <c r="F53" s="67">
        <f>SUM(E53)*3</f>
        <v>384</v>
      </c>
      <c r="G53" s="14">
        <v>81.73</v>
      </c>
      <c r="H53" s="68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2" t="s">
        <v>80</v>
      </c>
      <c r="B54" s="172"/>
      <c r="C54" s="172"/>
      <c r="D54" s="172"/>
      <c r="E54" s="172"/>
      <c r="F54" s="172"/>
      <c r="G54" s="172"/>
      <c r="H54" s="172"/>
      <c r="I54" s="173"/>
      <c r="J54" s="25"/>
      <c r="L54" s="20"/>
      <c r="M54" s="21"/>
      <c r="N54" s="22"/>
    </row>
    <row r="55" spans="1:14" ht="15.75" hidden="1" customHeight="1">
      <c r="A55" s="59"/>
      <c r="B55" s="88" t="s">
        <v>41</v>
      </c>
      <c r="C55" s="65"/>
      <c r="D55" s="64"/>
      <c r="E55" s="66"/>
      <c r="F55" s="67"/>
      <c r="G55" s="67"/>
      <c r="H55" s="68"/>
      <c r="I55" s="14"/>
      <c r="J55" s="25"/>
      <c r="L55" s="20"/>
      <c r="M55" s="21"/>
      <c r="N55" s="22"/>
    </row>
    <row r="56" spans="1:14" ht="31.5" hidden="1" customHeight="1">
      <c r="A56" s="59">
        <v>12</v>
      </c>
      <c r="B56" s="64" t="s">
        <v>126</v>
      </c>
      <c r="C56" s="65" t="s">
        <v>83</v>
      </c>
      <c r="D56" s="64" t="s">
        <v>127</v>
      </c>
      <c r="E56" s="66">
        <v>123.31</v>
      </c>
      <c r="F56" s="67">
        <f>SUM(E56*6/100)</f>
        <v>7.3986000000000001</v>
      </c>
      <c r="G56" s="14">
        <v>2306.62</v>
      </c>
      <c r="H56" s="68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77" t="s">
        <v>128</v>
      </c>
      <c r="C57" s="76" t="s">
        <v>129</v>
      </c>
      <c r="D57" s="77" t="s">
        <v>64</v>
      </c>
      <c r="E57" s="78"/>
      <c r="F57" s="79">
        <v>3</v>
      </c>
      <c r="G57" s="14">
        <v>1501</v>
      </c>
      <c r="H57" s="68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89" t="s">
        <v>42</v>
      </c>
      <c r="C58" s="76"/>
      <c r="D58" s="77"/>
      <c r="E58" s="78"/>
      <c r="F58" s="79"/>
      <c r="G58" s="14"/>
      <c r="H58" s="80"/>
      <c r="I58" s="14"/>
      <c r="J58" s="25"/>
      <c r="L58" s="20"/>
      <c r="M58" s="21"/>
      <c r="N58" s="22"/>
    </row>
    <row r="59" spans="1:14" ht="15.75" hidden="1" customHeight="1">
      <c r="A59" s="60"/>
      <c r="B59" s="77" t="s">
        <v>139</v>
      </c>
      <c r="C59" s="76" t="s">
        <v>50</v>
      </c>
      <c r="D59" s="77" t="s">
        <v>51</v>
      </c>
      <c r="E59" s="78">
        <v>451</v>
      </c>
      <c r="F59" s="79">
        <v>8.9</v>
      </c>
      <c r="G59" s="14">
        <v>987.51</v>
      </c>
      <c r="H59" s="80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89" t="s">
        <v>43</v>
      </c>
      <c r="C60" s="76"/>
      <c r="D60" s="77"/>
      <c r="E60" s="108"/>
      <c r="F60" s="67"/>
      <c r="G60" s="111"/>
      <c r="H60" s="79" t="s">
        <v>138</v>
      </c>
      <c r="I60" s="14"/>
      <c r="J60" s="25"/>
      <c r="L60" s="20"/>
      <c r="M60" s="21"/>
      <c r="N60" s="22"/>
    </row>
    <row r="61" spans="1:14" ht="15.75" hidden="1" customHeight="1">
      <c r="A61" s="17">
        <v>9</v>
      </c>
      <c r="B61" s="15" t="s">
        <v>44</v>
      </c>
      <c r="C61" s="17" t="s">
        <v>101</v>
      </c>
      <c r="D61" s="15" t="s">
        <v>64</v>
      </c>
      <c r="E61" s="109">
        <v>10</v>
      </c>
      <c r="F61" s="67">
        <f>E61</f>
        <v>10</v>
      </c>
      <c r="G61" s="112">
        <v>276.74</v>
      </c>
      <c r="H61" s="63">
        <f t="shared" ref="H61:H69" si="10">SUM(F61*G61/1000)</f>
        <v>2.7674000000000003</v>
      </c>
      <c r="I61" s="14">
        <f>G61*11</f>
        <v>3044.1400000000003</v>
      </c>
      <c r="J61" s="25"/>
      <c r="L61" s="20"/>
    </row>
    <row r="62" spans="1:14" ht="15.75" hidden="1" customHeight="1">
      <c r="A62" s="17"/>
      <c r="B62" s="15" t="s">
        <v>45</v>
      </c>
      <c r="C62" s="17" t="s">
        <v>101</v>
      </c>
      <c r="D62" s="15" t="s">
        <v>64</v>
      </c>
      <c r="E62" s="109">
        <v>10</v>
      </c>
      <c r="F62" s="67">
        <f>E62</f>
        <v>10</v>
      </c>
      <c r="G62" s="112">
        <v>94.89</v>
      </c>
      <c r="H62" s="63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46</v>
      </c>
      <c r="C63" s="17" t="s">
        <v>102</v>
      </c>
      <c r="D63" s="15" t="s">
        <v>51</v>
      </c>
      <c r="E63" s="110">
        <v>13447</v>
      </c>
      <c r="F63" s="67">
        <f>SUM(E63/100)</f>
        <v>134.47</v>
      </c>
      <c r="G63" s="112">
        <v>263.99</v>
      </c>
      <c r="H63" s="63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47</v>
      </c>
      <c r="C64" s="17" t="s">
        <v>103</v>
      </c>
      <c r="D64" s="15"/>
      <c r="E64" s="110">
        <v>13447</v>
      </c>
      <c r="F64" s="67">
        <f>SUM(E64/1000)</f>
        <v>13.446999999999999</v>
      </c>
      <c r="G64" s="112">
        <v>205.57</v>
      </c>
      <c r="H64" s="63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48</v>
      </c>
      <c r="C65" s="17" t="s">
        <v>72</v>
      </c>
      <c r="D65" s="15" t="s">
        <v>51</v>
      </c>
      <c r="E65" s="110">
        <v>2200</v>
      </c>
      <c r="F65" s="67">
        <f>SUM(E65/100)</f>
        <v>22</v>
      </c>
      <c r="G65" s="112">
        <v>2581.5300000000002</v>
      </c>
      <c r="H65" s="63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1" t="s">
        <v>104</v>
      </c>
      <c r="C66" s="17" t="s">
        <v>31</v>
      </c>
      <c r="D66" s="15"/>
      <c r="E66" s="110">
        <v>12.1</v>
      </c>
      <c r="F66" s="67">
        <f>SUM(E66)</f>
        <v>12.1</v>
      </c>
      <c r="G66" s="112">
        <v>47.45</v>
      </c>
      <c r="H66" s="63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1" t="s">
        <v>105</v>
      </c>
      <c r="C67" s="17" t="s">
        <v>31</v>
      </c>
      <c r="D67" s="15"/>
      <c r="E67" s="110">
        <v>12.1</v>
      </c>
      <c r="F67" s="67">
        <f>SUM(E67)</f>
        <v>12.1</v>
      </c>
      <c r="G67" s="112">
        <v>44.27</v>
      </c>
      <c r="H67" s="63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>
        <v>21</v>
      </c>
      <c r="B68" s="15" t="s">
        <v>55</v>
      </c>
      <c r="C68" s="17" t="s">
        <v>56</v>
      </c>
      <c r="D68" s="15" t="s">
        <v>51</v>
      </c>
      <c r="E68" s="109">
        <v>4</v>
      </c>
      <c r="F68" s="67">
        <v>4</v>
      </c>
      <c r="G68" s="112">
        <v>62.07</v>
      </c>
      <c r="H68" s="63">
        <f t="shared" si="10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11</v>
      </c>
      <c r="B69" s="15" t="s">
        <v>130</v>
      </c>
      <c r="C69" s="31" t="s">
        <v>131</v>
      </c>
      <c r="D69" s="15"/>
      <c r="E69" s="109">
        <v>3216.2</v>
      </c>
      <c r="F69" s="113">
        <v>38594.400000000001</v>
      </c>
      <c r="G69" s="112">
        <v>2.16</v>
      </c>
      <c r="H69" s="63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6"/>
      <c r="B70" s="122" t="s">
        <v>67</v>
      </c>
      <c r="C70" s="17"/>
      <c r="D70" s="15"/>
      <c r="E70" s="19"/>
      <c r="F70" s="14"/>
      <c r="G70" s="14"/>
      <c r="H70" s="63" t="s">
        <v>138</v>
      </c>
      <c r="I70" s="14"/>
      <c r="J70" s="6"/>
      <c r="K70" s="6"/>
      <c r="L70" s="6"/>
      <c r="M70" s="6"/>
      <c r="N70" s="6"/>
      <c r="O70" s="6"/>
      <c r="P70" s="6"/>
      <c r="Q70" s="6"/>
      <c r="R70" s="152"/>
      <c r="S70" s="152"/>
      <c r="T70" s="152"/>
      <c r="U70" s="152"/>
    </row>
    <row r="71" spans="1:22" ht="15.75" hidden="1" customHeight="1">
      <c r="A71" s="17"/>
      <c r="B71" s="15" t="s">
        <v>132</v>
      </c>
      <c r="C71" s="17" t="s">
        <v>133</v>
      </c>
      <c r="D71" s="15" t="s">
        <v>64</v>
      </c>
      <c r="E71" s="19">
        <v>2</v>
      </c>
      <c r="F71" s="14">
        <f>E71</f>
        <v>2</v>
      </c>
      <c r="G71" s="14">
        <v>976.4</v>
      </c>
      <c r="H71" s="63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108</v>
      </c>
      <c r="C72" s="17" t="s">
        <v>134</v>
      </c>
      <c r="D72" s="15" t="s">
        <v>64</v>
      </c>
      <c r="E72" s="19">
        <v>1</v>
      </c>
      <c r="F72" s="14">
        <v>1</v>
      </c>
      <c r="G72" s="14">
        <v>735</v>
      </c>
      <c r="H72" s="63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68</v>
      </c>
      <c r="C73" s="17" t="s">
        <v>70</v>
      </c>
      <c r="D73" s="15" t="s">
        <v>64</v>
      </c>
      <c r="E73" s="19">
        <v>4</v>
      </c>
      <c r="F73" s="14">
        <f>E73/10</f>
        <v>0.4</v>
      </c>
      <c r="G73" s="14">
        <v>624.16999999999996</v>
      </c>
      <c r="H73" s="63">
        <f t="shared" si="12"/>
        <v>0.249668</v>
      </c>
      <c r="I73" s="14">
        <v>0</v>
      </c>
    </row>
    <row r="74" spans="1:22" ht="15.75" hidden="1" customHeight="1">
      <c r="A74" s="17"/>
      <c r="B74" s="15" t="s">
        <v>69</v>
      </c>
      <c r="C74" s="17" t="s">
        <v>29</v>
      </c>
      <c r="D74" s="15" t="s">
        <v>64</v>
      </c>
      <c r="E74" s="19">
        <v>1</v>
      </c>
      <c r="F74" s="55">
        <v>1</v>
      </c>
      <c r="G74" s="14">
        <v>1061.4100000000001</v>
      </c>
      <c r="H74" s="63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135</v>
      </c>
      <c r="C75" s="17" t="s">
        <v>133</v>
      </c>
      <c r="D75" s="15" t="s">
        <v>64</v>
      </c>
      <c r="E75" s="19">
        <v>1</v>
      </c>
      <c r="F75" s="14">
        <f>E75</f>
        <v>1</v>
      </c>
      <c r="G75" s="14">
        <v>976.1</v>
      </c>
      <c r="H75" s="63">
        <f t="shared" si="12"/>
        <v>0.97609999999999997</v>
      </c>
      <c r="I75" s="14">
        <v>0</v>
      </c>
    </row>
    <row r="76" spans="1:22" ht="15.75" hidden="1" customHeight="1">
      <c r="A76" s="106"/>
      <c r="B76" s="107" t="s">
        <v>71</v>
      </c>
      <c r="C76" s="17"/>
      <c r="D76" s="15"/>
      <c r="E76" s="19"/>
      <c r="F76" s="14"/>
      <c r="G76" s="14" t="s">
        <v>138</v>
      </c>
      <c r="H76" s="63" t="s">
        <v>138</v>
      </c>
      <c r="I76" s="14"/>
    </row>
    <row r="77" spans="1:22" ht="15.75" hidden="1" customHeight="1">
      <c r="A77" s="17"/>
      <c r="B77" s="43" t="s">
        <v>109</v>
      </c>
      <c r="C77" s="17" t="s">
        <v>72</v>
      </c>
      <c r="D77" s="15"/>
      <c r="E77" s="19"/>
      <c r="F77" s="14">
        <v>0.1</v>
      </c>
      <c r="G77" s="14">
        <v>3433.68</v>
      </c>
      <c r="H77" s="63">
        <f t="shared" ref="H77" si="13">SUM(F77*G77/1000)</f>
        <v>0.34336800000000001</v>
      </c>
      <c r="I77" s="14">
        <v>0</v>
      </c>
    </row>
    <row r="78" spans="1:22" ht="15.75" hidden="1" customHeight="1">
      <c r="A78" s="106"/>
      <c r="B78" s="96" t="s">
        <v>106</v>
      </c>
      <c r="C78" s="83"/>
      <c r="D78" s="33"/>
      <c r="E78" s="34"/>
      <c r="F78" s="73"/>
      <c r="G78" s="73"/>
      <c r="H78" s="84">
        <f>SUM(H56:H77)</f>
        <v>219.17093482199999</v>
      </c>
      <c r="I78" s="73"/>
    </row>
    <row r="79" spans="1:22" ht="15.75" hidden="1" customHeight="1">
      <c r="A79" s="17">
        <v>14</v>
      </c>
      <c r="B79" s="64" t="s">
        <v>107</v>
      </c>
      <c r="C79" s="17"/>
      <c r="D79" s="15"/>
      <c r="E79" s="85"/>
      <c r="F79" s="14">
        <v>1</v>
      </c>
      <c r="G79" s="14">
        <v>14133</v>
      </c>
      <c r="H79" s="63">
        <f>G79*F79/1000</f>
        <v>14.132999999999999</v>
      </c>
      <c r="I79" s="14">
        <f>G79</f>
        <v>14133</v>
      </c>
    </row>
    <row r="80" spans="1:22" ht="15.75" customHeight="1">
      <c r="A80" s="162" t="s">
        <v>148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17">
        <v>12</v>
      </c>
      <c r="B81" s="64" t="s">
        <v>111</v>
      </c>
      <c r="C81" s="17" t="s">
        <v>52</v>
      </c>
      <c r="D81" s="86" t="s">
        <v>53</v>
      </c>
      <c r="E81" s="14">
        <v>3216.2</v>
      </c>
      <c r="F81" s="14">
        <f>SUM(E81*12)</f>
        <v>38594.399999999994</v>
      </c>
      <c r="G81" s="14">
        <v>2.95</v>
      </c>
      <c r="H81" s="63">
        <f>SUM(F81*G81/1000)</f>
        <v>113.85347999999999</v>
      </c>
      <c r="I81" s="14">
        <f>F81/12*G81</f>
        <v>9487.7899999999991</v>
      </c>
    </row>
    <row r="82" spans="1:9" ht="31.5" customHeight="1">
      <c r="A82" s="87">
        <v>13</v>
      </c>
      <c r="B82" s="15" t="s">
        <v>73</v>
      </c>
      <c r="C82" s="17"/>
      <c r="D82" s="86" t="s">
        <v>53</v>
      </c>
      <c r="E82" s="66">
        <v>3216.2</v>
      </c>
      <c r="F82" s="14">
        <f>E82*12</f>
        <v>38594.399999999994</v>
      </c>
      <c r="G82" s="14">
        <v>3.05</v>
      </c>
      <c r="H82" s="63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75</v>
      </c>
      <c r="C83" s="83"/>
      <c r="D83" s="82"/>
      <c r="E83" s="73"/>
      <c r="F83" s="73"/>
      <c r="G83" s="73"/>
      <c r="H83" s="84">
        <f>H82</f>
        <v>117.71291999999997</v>
      </c>
      <c r="I83" s="73">
        <f>I82+I81+I69+I43+I42+I41+I39+I38+I37+I26+I18+I17+I16</f>
        <v>41457.163583333328</v>
      </c>
    </row>
    <row r="84" spans="1:9" ht="15.75" customHeight="1">
      <c r="A84" s="168" t="s">
        <v>58</v>
      </c>
      <c r="B84" s="169"/>
      <c r="C84" s="169"/>
      <c r="D84" s="169"/>
      <c r="E84" s="169"/>
      <c r="F84" s="169"/>
      <c r="G84" s="169"/>
      <c r="H84" s="169"/>
      <c r="I84" s="170"/>
    </row>
    <row r="85" spans="1:9" ht="18" customHeight="1">
      <c r="A85" s="116">
        <v>14</v>
      </c>
      <c r="B85" s="133" t="s">
        <v>167</v>
      </c>
      <c r="C85" s="134" t="s">
        <v>168</v>
      </c>
      <c r="D85" s="43"/>
      <c r="E85" s="14"/>
      <c r="F85" s="14">
        <v>2</v>
      </c>
      <c r="G85" s="141">
        <v>1.2</v>
      </c>
      <c r="H85" s="63">
        <f t="shared" ref="H85" si="14">G85*F85/1000</f>
        <v>2.3999999999999998E-3</v>
      </c>
      <c r="I85" s="115">
        <f>G85*100</f>
        <v>120</v>
      </c>
    </row>
    <row r="86" spans="1:9" ht="31.5" customHeight="1">
      <c r="A86" s="116">
        <v>15</v>
      </c>
      <c r="B86" s="123" t="s">
        <v>258</v>
      </c>
      <c r="C86" s="124" t="s">
        <v>28</v>
      </c>
      <c r="D86" s="128"/>
      <c r="E86" s="126"/>
      <c r="F86" s="126">
        <v>3</v>
      </c>
      <c r="G86" s="126">
        <v>18798.34</v>
      </c>
      <c r="H86" s="127">
        <f>G86*F86/1000</f>
        <v>56.395020000000002</v>
      </c>
      <c r="I86" s="115">
        <f>G86*0.00599</f>
        <v>112.6020566</v>
      </c>
    </row>
    <row r="87" spans="1:9" ht="28.5" customHeight="1">
      <c r="A87" s="116">
        <v>16</v>
      </c>
      <c r="B87" s="123" t="s">
        <v>252</v>
      </c>
      <c r="C87" s="124" t="s">
        <v>253</v>
      </c>
      <c r="D87" s="128"/>
      <c r="E87" s="126"/>
      <c r="F87" s="126"/>
      <c r="G87" s="126">
        <v>613.44000000000005</v>
      </c>
      <c r="H87" s="127"/>
      <c r="I87" s="115">
        <f>G87*1</f>
        <v>613.44000000000005</v>
      </c>
    </row>
    <row r="88" spans="1:9" ht="32.25" customHeight="1">
      <c r="A88" s="116">
        <v>17</v>
      </c>
      <c r="B88" s="123" t="s">
        <v>259</v>
      </c>
      <c r="C88" s="124" t="s">
        <v>101</v>
      </c>
      <c r="D88" s="128"/>
      <c r="E88" s="126"/>
      <c r="F88" s="126"/>
      <c r="G88" s="126">
        <v>2012.33</v>
      </c>
      <c r="H88" s="127"/>
      <c r="I88" s="115">
        <f>G88*2</f>
        <v>4024.66</v>
      </c>
    </row>
    <row r="89" spans="1:9" ht="29.25" customHeight="1">
      <c r="A89" s="116">
        <v>18</v>
      </c>
      <c r="B89" s="123" t="s">
        <v>206</v>
      </c>
      <c r="C89" s="124" t="s">
        <v>214</v>
      </c>
      <c r="D89" s="128"/>
      <c r="E89" s="126"/>
      <c r="F89" s="126"/>
      <c r="G89" s="126">
        <v>24829.08</v>
      </c>
      <c r="H89" s="127"/>
      <c r="I89" s="115">
        <f>G89*0.02</f>
        <v>496.58160000000004</v>
      </c>
    </row>
    <row r="90" spans="1:9" ht="30" customHeight="1">
      <c r="A90" s="116">
        <v>19</v>
      </c>
      <c r="B90" s="123" t="s">
        <v>232</v>
      </c>
      <c r="C90" s="124" t="s">
        <v>162</v>
      </c>
      <c r="D90" s="128"/>
      <c r="E90" s="126"/>
      <c r="F90" s="126"/>
      <c r="G90" s="126">
        <v>10226.44</v>
      </c>
      <c r="H90" s="127"/>
      <c r="I90" s="115">
        <f>G90*0.1</f>
        <v>1022.6440000000001</v>
      </c>
    </row>
    <row r="91" spans="1:9" ht="15.75" customHeight="1">
      <c r="A91" s="116">
        <v>20</v>
      </c>
      <c r="B91" s="123" t="s">
        <v>76</v>
      </c>
      <c r="C91" s="124" t="s">
        <v>101</v>
      </c>
      <c r="D91" s="128"/>
      <c r="E91" s="126"/>
      <c r="F91" s="126"/>
      <c r="G91" s="126">
        <v>197.48</v>
      </c>
      <c r="H91" s="127"/>
      <c r="I91" s="115">
        <f>G91*2</f>
        <v>394.96</v>
      </c>
    </row>
    <row r="92" spans="1:9" ht="32.25" customHeight="1">
      <c r="A92" s="116">
        <v>21</v>
      </c>
      <c r="B92" s="123" t="s">
        <v>237</v>
      </c>
      <c r="C92" s="124" t="s">
        <v>238</v>
      </c>
      <c r="D92" s="128"/>
      <c r="E92" s="126"/>
      <c r="F92" s="126"/>
      <c r="G92" s="139">
        <v>56.34</v>
      </c>
      <c r="H92" s="127"/>
      <c r="I92" s="115">
        <f>G92*1</f>
        <v>56.34</v>
      </c>
    </row>
    <row r="93" spans="1:9" ht="32.25" customHeight="1">
      <c r="A93" s="116">
        <v>22</v>
      </c>
      <c r="B93" s="123" t="s">
        <v>260</v>
      </c>
      <c r="C93" s="124" t="s">
        <v>28</v>
      </c>
      <c r="D93" s="128"/>
      <c r="E93" s="126"/>
      <c r="F93" s="126"/>
      <c r="G93" s="126">
        <v>1655.27</v>
      </c>
      <c r="H93" s="127"/>
      <c r="I93" s="115">
        <f>G93*0.804</f>
        <v>1330.83708</v>
      </c>
    </row>
    <row r="94" spans="1:9" ht="15.75" customHeight="1">
      <c r="A94" s="116"/>
      <c r="B94" s="41" t="s">
        <v>49</v>
      </c>
      <c r="C94" s="37"/>
      <c r="D94" s="44"/>
      <c r="E94" s="37">
        <v>1</v>
      </c>
      <c r="F94" s="37"/>
      <c r="G94" s="37"/>
      <c r="H94" s="37"/>
      <c r="I94" s="34">
        <f>SUM(I85:I93)</f>
        <v>8172.0647366000012</v>
      </c>
    </row>
    <row r="95" spans="1:9" ht="15.75" customHeight="1">
      <c r="A95" s="31"/>
      <c r="B95" s="43" t="s">
        <v>74</v>
      </c>
      <c r="C95" s="16"/>
      <c r="D95" s="16"/>
      <c r="E95" s="38"/>
      <c r="F95" s="38"/>
      <c r="G95" s="39"/>
      <c r="H95" s="39"/>
      <c r="I95" s="18">
        <v>0</v>
      </c>
    </row>
    <row r="96" spans="1:9" ht="15.75" customHeight="1">
      <c r="A96" s="45"/>
      <c r="B96" s="42" t="s">
        <v>153</v>
      </c>
      <c r="C96" s="35"/>
      <c r="D96" s="35"/>
      <c r="E96" s="35"/>
      <c r="F96" s="35"/>
      <c r="G96" s="35"/>
      <c r="H96" s="35"/>
      <c r="I96" s="40">
        <f>I94+I83</f>
        <v>49629.228319933332</v>
      </c>
    </row>
    <row r="97" spans="1:9" ht="15.75" customHeight="1">
      <c r="A97" s="153" t="s">
        <v>261</v>
      </c>
      <c r="B97" s="153"/>
      <c r="C97" s="153"/>
      <c r="D97" s="153"/>
      <c r="E97" s="153"/>
      <c r="F97" s="153"/>
      <c r="G97" s="153"/>
      <c r="H97" s="153"/>
      <c r="I97" s="153"/>
    </row>
    <row r="98" spans="1:9" ht="15.75" customHeight="1">
      <c r="A98" s="54"/>
      <c r="B98" s="178" t="s">
        <v>262</v>
      </c>
      <c r="C98" s="178"/>
      <c r="D98" s="178"/>
      <c r="E98" s="178"/>
      <c r="F98" s="178"/>
      <c r="G98" s="178"/>
      <c r="H98" s="58"/>
      <c r="I98" s="4"/>
    </row>
    <row r="99" spans="1:9" ht="15.75" customHeight="1">
      <c r="A99" s="119"/>
      <c r="B99" s="175" t="s">
        <v>6</v>
      </c>
      <c r="C99" s="175"/>
      <c r="D99" s="175"/>
      <c r="E99" s="175"/>
      <c r="F99" s="175"/>
      <c r="G99" s="175"/>
      <c r="H99" s="26"/>
      <c r="I99" s="6"/>
    </row>
    <row r="100" spans="1:9" ht="15.75" customHeight="1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5.75" customHeight="1">
      <c r="A101" s="179" t="s">
        <v>7</v>
      </c>
      <c r="B101" s="179"/>
      <c r="C101" s="179"/>
      <c r="D101" s="179"/>
      <c r="E101" s="179"/>
      <c r="F101" s="179"/>
      <c r="G101" s="179"/>
      <c r="H101" s="179"/>
      <c r="I101" s="179"/>
    </row>
    <row r="102" spans="1:9" ht="15.75" customHeight="1">
      <c r="A102" s="179" t="s">
        <v>8</v>
      </c>
      <c r="B102" s="179"/>
      <c r="C102" s="179"/>
      <c r="D102" s="179"/>
      <c r="E102" s="179"/>
      <c r="F102" s="179"/>
      <c r="G102" s="179"/>
      <c r="H102" s="179"/>
      <c r="I102" s="179"/>
    </row>
    <row r="103" spans="1:9" ht="15.75" customHeight="1">
      <c r="A103" s="180" t="s">
        <v>59</v>
      </c>
      <c r="B103" s="180"/>
      <c r="C103" s="180"/>
      <c r="D103" s="180"/>
      <c r="E103" s="180"/>
      <c r="F103" s="180"/>
      <c r="G103" s="180"/>
      <c r="H103" s="180"/>
      <c r="I103" s="180"/>
    </row>
    <row r="104" spans="1:9" ht="15.75" customHeight="1">
      <c r="A104" s="12"/>
    </row>
    <row r="105" spans="1:9" ht="15.75" customHeight="1">
      <c r="A105" s="160" t="s">
        <v>9</v>
      </c>
      <c r="B105" s="160"/>
      <c r="C105" s="160"/>
      <c r="D105" s="160"/>
      <c r="E105" s="160"/>
      <c r="F105" s="160"/>
      <c r="G105" s="160"/>
      <c r="H105" s="160"/>
      <c r="I105" s="160"/>
    </row>
    <row r="106" spans="1:9" ht="15.75" customHeight="1">
      <c r="A106" s="5"/>
    </row>
    <row r="107" spans="1:9" ht="15.75" customHeight="1">
      <c r="B107" s="120" t="s">
        <v>10</v>
      </c>
      <c r="C107" s="174" t="s">
        <v>81</v>
      </c>
      <c r="D107" s="174"/>
      <c r="E107" s="174"/>
      <c r="F107" s="56"/>
      <c r="I107" s="118"/>
    </row>
    <row r="108" spans="1:9" ht="15.75" customHeight="1">
      <c r="A108" s="119"/>
      <c r="C108" s="175" t="s">
        <v>11</v>
      </c>
      <c r="D108" s="175"/>
      <c r="E108" s="175"/>
      <c r="F108" s="26"/>
      <c r="I108" s="117" t="s">
        <v>12</v>
      </c>
    </row>
    <row r="109" spans="1:9" ht="15.75" customHeight="1">
      <c r="A109" s="27"/>
      <c r="C109" s="13"/>
      <c r="D109" s="13"/>
      <c r="G109" s="13"/>
      <c r="H109" s="13"/>
    </row>
    <row r="110" spans="1:9" ht="15.75" customHeight="1">
      <c r="B110" s="120" t="s">
        <v>13</v>
      </c>
      <c r="C110" s="176"/>
      <c r="D110" s="176"/>
      <c r="E110" s="176"/>
      <c r="F110" s="57"/>
      <c r="I110" s="118"/>
    </row>
    <row r="111" spans="1:9" ht="15.75" customHeight="1">
      <c r="A111" s="119"/>
      <c r="C111" s="152" t="s">
        <v>11</v>
      </c>
      <c r="D111" s="152"/>
      <c r="E111" s="152"/>
      <c r="F111" s="119"/>
      <c r="I111" s="117" t="s">
        <v>12</v>
      </c>
    </row>
    <row r="112" spans="1:9" ht="15.75" customHeight="1">
      <c r="A112" s="5" t="s">
        <v>14</v>
      </c>
    </row>
    <row r="113" spans="1:9" ht="15" customHeight="1">
      <c r="A113" s="177" t="s">
        <v>15</v>
      </c>
      <c r="B113" s="177"/>
      <c r="C113" s="177"/>
      <c r="D113" s="177"/>
      <c r="E113" s="177"/>
      <c r="F113" s="177"/>
      <c r="G113" s="177"/>
      <c r="H113" s="177"/>
      <c r="I113" s="177"/>
    </row>
    <row r="114" spans="1:9" ht="45" customHeight="1">
      <c r="A114" s="171" t="s">
        <v>16</v>
      </c>
      <c r="B114" s="171"/>
      <c r="C114" s="171"/>
      <c r="D114" s="171"/>
      <c r="E114" s="171"/>
      <c r="F114" s="171"/>
      <c r="G114" s="171"/>
      <c r="H114" s="171"/>
      <c r="I114" s="171"/>
    </row>
    <row r="115" spans="1:9" ht="30" customHeight="1">
      <c r="A115" s="171" t="s">
        <v>17</v>
      </c>
      <c r="B115" s="171"/>
      <c r="C115" s="171"/>
      <c r="D115" s="171"/>
      <c r="E115" s="171"/>
      <c r="F115" s="171"/>
      <c r="G115" s="171"/>
      <c r="H115" s="171"/>
      <c r="I115" s="171"/>
    </row>
    <row r="116" spans="1:9" ht="30" customHeight="1">
      <c r="A116" s="171" t="s">
        <v>21</v>
      </c>
      <c r="B116" s="171"/>
      <c r="C116" s="171"/>
      <c r="D116" s="171"/>
      <c r="E116" s="171"/>
      <c r="F116" s="171"/>
      <c r="G116" s="171"/>
      <c r="H116" s="171"/>
      <c r="I116" s="171"/>
    </row>
    <row r="117" spans="1:9" ht="15" customHeight="1">
      <c r="A117" s="171" t="s">
        <v>20</v>
      </c>
      <c r="B117" s="171"/>
      <c r="C117" s="171"/>
      <c r="D117" s="171"/>
      <c r="E117" s="171"/>
      <c r="F117" s="171"/>
      <c r="G117" s="171"/>
      <c r="H117" s="171"/>
      <c r="I117" s="171"/>
    </row>
  </sheetData>
  <autoFilter ref="I14:I64"/>
  <mergeCells count="29">
    <mergeCell ref="A113:I113"/>
    <mergeCell ref="A114:I114"/>
    <mergeCell ref="A115:I115"/>
    <mergeCell ref="A116:I116"/>
    <mergeCell ref="A117:I117"/>
    <mergeCell ref="R70:U70"/>
    <mergeCell ref="C111:E111"/>
    <mergeCell ref="A84:I84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3"/>
  <sheetViews>
    <sheetView tabSelected="1" workbookViewId="0">
      <selection activeCell="N83" sqref="N8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230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4" t="s">
        <v>164</v>
      </c>
      <c r="B3" s="154"/>
      <c r="C3" s="154"/>
      <c r="D3" s="154"/>
      <c r="E3" s="154"/>
      <c r="F3" s="154"/>
      <c r="G3" s="154"/>
      <c r="H3" s="154"/>
      <c r="I3" s="154"/>
      <c r="J3" s="2"/>
      <c r="K3" s="2"/>
      <c r="L3" s="2"/>
      <c r="M3" s="2"/>
    </row>
    <row r="4" spans="1:13" ht="33.75" customHeight="1">
      <c r="A4" s="155" t="s">
        <v>112</v>
      </c>
      <c r="B4" s="155"/>
      <c r="C4" s="155"/>
      <c r="D4" s="155"/>
      <c r="E4" s="155"/>
      <c r="F4" s="155"/>
      <c r="G4" s="155"/>
      <c r="H4" s="155"/>
      <c r="I4" s="155"/>
      <c r="J4" s="3"/>
      <c r="K4" s="3"/>
      <c r="L4" s="3"/>
      <c r="M4" s="3"/>
    </row>
    <row r="5" spans="1:13" ht="15.75" customHeight="1">
      <c r="A5" s="154" t="s">
        <v>263</v>
      </c>
      <c r="B5" s="156"/>
      <c r="C5" s="156"/>
      <c r="D5" s="156"/>
      <c r="E5" s="156"/>
      <c r="F5" s="156"/>
      <c r="G5" s="156"/>
      <c r="H5" s="156"/>
      <c r="I5" s="156"/>
      <c r="J5" s="4"/>
      <c r="K5" s="4"/>
      <c r="L5" s="4"/>
    </row>
    <row r="6" spans="1:13" ht="15.75" customHeight="1">
      <c r="A6" s="3"/>
      <c r="B6" s="121"/>
      <c r="C6" s="121"/>
      <c r="D6" s="121"/>
      <c r="E6" s="121"/>
      <c r="F6" s="121"/>
      <c r="G6" s="121"/>
      <c r="H6" s="121"/>
      <c r="I6" s="32">
        <v>43465</v>
      </c>
    </row>
    <row r="7" spans="1:13" ht="15.75">
      <c r="B7" s="120"/>
      <c r="C7" s="120"/>
      <c r="D7" s="12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57" t="s">
        <v>213</v>
      </c>
      <c r="B8" s="157"/>
      <c r="C8" s="157"/>
      <c r="D8" s="157"/>
      <c r="E8" s="157"/>
      <c r="F8" s="157"/>
      <c r="G8" s="157"/>
      <c r="H8" s="157"/>
      <c r="I8" s="15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58" t="s">
        <v>166</v>
      </c>
      <c r="B10" s="158"/>
      <c r="C10" s="158"/>
      <c r="D10" s="158"/>
      <c r="E10" s="158"/>
      <c r="F10" s="158"/>
      <c r="G10" s="158"/>
      <c r="H10" s="158"/>
      <c r="I10" s="15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59" t="s">
        <v>57</v>
      </c>
      <c r="B14" s="159"/>
      <c r="C14" s="159"/>
      <c r="D14" s="159"/>
      <c r="E14" s="159"/>
      <c r="F14" s="159"/>
      <c r="G14" s="159"/>
      <c r="H14" s="159"/>
      <c r="I14" s="159"/>
    </row>
    <row r="15" spans="1:13">
      <c r="A15" s="161" t="s">
        <v>4</v>
      </c>
      <c r="B15" s="161"/>
      <c r="C15" s="161"/>
      <c r="D15" s="161"/>
      <c r="E15" s="161"/>
      <c r="F15" s="161"/>
      <c r="G15" s="161"/>
      <c r="H15" s="161"/>
      <c r="I15" s="161"/>
      <c r="J15" s="9"/>
      <c r="K15" s="9"/>
      <c r="L15" s="9"/>
      <c r="M15" s="9"/>
    </row>
    <row r="16" spans="1:13" ht="15.75" customHeight="1">
      <c r="A16" s="59">
        <v>1</v>
      </c>
      <c r="B16" s="64" t="s">
        <v>79</v>
      </c>
      <c r="C16" s="65" t="s">
        <v>83</v>
      </c>
      <c r="D16" s="64" t="s">
        <v>115</v>
      </c>
      <c r="E16" s="66">
        <v>54</v>
      </c>
      <c r="F16" s="67">
        <f>SUM(E16*156/100)</f>
        <v>84.24</v>
      </c>
      <c r="G16" s="67">
        <v>218.21</v>
      </c>
      <c r="H16" s="68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4" t="s">
        <v>113</v>
      </c>
      <c r="C17" s="65" t="s">
        <v>83</v>
      </c>
      <c r="D17" s="64" t="s">
        <v>116</v>
      </c>
      <c r="E17" s="66">
        <v>216</v>
      </c>
      <c r="F17" s="67">
        <f>SUM(E17*104/100)</f>
        <v>224.64</v>
      </c>
      <c r="G17" s="67">
        <v>218.21</v>
      </c>
      <c r="H17" s="68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4" t="s">
        <v>114</v>
      </c>
      <c r="C18" s="65" t="s">
        <v>83</v>
      </c>
      <c r="D18" s="64" t="s">
        <v>117</v>
      </c>
      <c r="E18" s="66">
        <f>SUM(E16+E17)</f>
        <v>270</v>
      </c>
      <c r="F18" s="67">
        <f>SUM(E18*24/100)</f>
        <v>64.8</v>
      </c>
      <c r="G18" s="67">
        <v>627.77</v>
      </c>
      <c r="H18" s="68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4" t="s">
        <v>84</v>
      </c>
      <c r="C19" s="65" t="s">
        <v>85</v>
      </c>
      <c r="D19" s="64" t="s">
        <v>86</v>
      </c>
      <c r="E19" s="66">
        <v>40</v>
      </c>
      <c r="F19" s="67">
        <f>SUM(E19/10)</f>
        <v>4</v>
      </c>
      <c r="G19" s="67">
        <v>211.74</v>
      </c>
      <c r="H19" s="68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9">
        <v>4</v>
      </c>
      <c r="B20" s="64" t="s">
        <v>87</v>
      </c>
      <c r="C20" s="65" t="s">
        <v>83</v>
      </c>
      <c r="D20" s="64" t="s">
        <v>40</v>
      </c>
      <c r="E20" s="66">
        <v>10.5</v>
      </c>
      <c r="F20" s="67">
        <f>SUM(E20*2/100)</f>
        <v>0.21</v>
      </c>
      <c r="G20" s="67">
        <v>271.12</v>
      </c>
      <c r="H20" s="68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9">
        <v>5</v>
      </c>
      <c r="B21" s="64" t="s">
        <v>88</v>
      </c>
      <c r="C21" s="65" t="s">
        <v>83</v>
      </c>
      <c r="D21" s="64" t="s">
        <v>40</v>
      </c>
      <c r="E21" s="66">
        <v>2.7</v>
      </c>
      <c r="F21" s="67">
        <f>SUM(E21*2/100)</f>
        <v>5.4000000000000006E-2</v>
      </c>
      <c r="G21" s="67">
        <v>268.92</v>
      </c>
      <c r="H21" s="68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4" t="s">
        <v>89</v>
      </c>
      <c r="C22" s="65" t="s">
        <v>50</v>
      </c>
      <c r="D22" s="64" t="s">
        <v>86</v>
      </c>
      <c r="E22" s="66">
        <v>357</v>
      </c>
      <c r="F22" s="67">
        <f t="shared" ref="F22:F25" si="2">SUM(E22/100)</f>
        <v>3.57</v>
      </c>
      <c r="G22" s="67">
        <v>335.05</v>
      </c>
      <c r="H22" s="68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4" t="s">
        <v>90</v>
      </c>
      <c r="C23" s="65" t="s">
        <v>50</v>
      </c>
      <c r="D23" s="64" t="s">
        <v>86</v>
      </c>
      <c r="E23" s="69">
        <v>38.64</v>
      </c>
      <c r="F23" s="67">
        <f t="shared" si="2"/>
        <v>0.38640000000000002</v>
      </c>
      <c r="G23" s="67">
        <v>55.1</v>
      </c>
      <c r="H23" s="68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4" t="s">
        <v>91</v>
      </c>
      <c r="C24" s="65" t="s">
        <v>50</v>
      </c>
      <c r="D24" s="70" t="s">
        <v>86</v>
      </c>
      <c r="E24" s="19">
        <v>15</v>
      </c>
      <c r="F24" s="71">
        <f t="shared" si="2"/>
        <v>0.15</v>
      </c>
      <c r="G24" s="67">
        <v>484.94</v>
      </c>
      <c r="H24" s="68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4" t="s">
        <v>118</v>
      </c>
      <c r="C25" s="65" t="s">
        <v>50</v>
      </c>
      <c r="D25" s="64" t="s">
        <v>86</v>
      </c>
      <c r="E25" s="72">
        <v>6.38</v>
      </c>
      <c r="F25" s="67">
        <f t="shared" si="2"/>
        <v>6.3799999999999996E-2</v>
      </c>
      <c r="G25" s="67">
        <v>648.04999999999995</v>
      </c>
      <c r="H25" s="68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4</v>
      </c>
      <c r="B26" s="64" t="s">
        <v>62</v>
      </c>
      <c r="C26" s="65" t="s">
        <v>31</v>
      </c>
      <c r="D26" s="64"/>
      <c r="E26" s="66">
        <v>0.1</v>
      </c>
      <c r="F26" s="67">
        <f>SUM(E26*365)</f>
        <v>36.5</v>
      </c>
      <c r="G26" s="67">
        <v>182.96</v>
      </c>
      <c r="H26" s="68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hidden="1" customHeight="1">
      <c r="A27" s="59">
        <v>5</v>
      </c>
      <c r="B27" s="75" t="s">
        <v>23</v>
      </c>
      <c r="C27" s="65" t="s">
        <v>24</v>
      </c>
      <c r="D27" s="64"/>
      <c r="E27" s="66">
        <v>3216.2</v>
      </c>
      <c r="F27" s="67">
        <f>SUM(E27*12)</f>
        <v>38594.399999999994</v>
      </c>
      <c r="G27" s="67">
        <v>4.01</v>
      </c>
      <c r="H27" s="68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5" t="s">
        <v>150</v>
      </c>
      <c r="B28" s="166"/>
      <c r="C28" s="166"/>
      <c r="D28" s="166"/>
      <c r="E28" s="166"/>
      <c r="F28" s="166"/>
      <c r="G28" s="166"/>
      <c r="H28" s="166"/>
      <c r="I28" s="167"/>
      <c r="J28" s="24"/>
      <c r="K28" s="9"/>
      <c r="L28" s="9"/>
      <c r="M28" s="9"/>
    </row>
    <row r="29" spans="1:13" ht="15.75" hidden="1" customHeight="1">
      <c r="A29" s="104"/>
      <c r="B29" s="122" t="s">
        <v>27</v>
      </c>
      <c r="C29" s="105"/>
      <c r="D29" s="105"/>
      <c r="E29" s="105"/>
      <c r="F29" s="105"/>
      <c r="G29" s="105"/>
      <c r="H29" s="105"/>
      <c r="I29" s="105"/>
      <c r="J29" s="24"/>
      <c r="K29" s="9"/>
      <c r="L29" s="9"/>
      <c r="M29" s="9"/>
    </row>
    <row r="30" spans="1:13" ht="15.75" hidden="1" customHeight="1">
      <c r="A30" s="103">
        <v>6</v>
      </c>
      <c r="B30" s="64" t="s">
        <v>92</v>
      </c>
      <c r="C30" s="65" t="s">
        <v>93</v>
      </c>
      <c r="D30" s="64" t="s">
        <v>119</v>
      </c>
      <c r="E30" s="67">
        <v>191.65</v>
      </c>
      <c r="F30" s="67">
        <f>SUM(E30*52/1000)</f>
        <v>9.9658000000000015</v>
      </c>
      <c r="G30" s="67">
        <v>193.97</v>
      </c>
      <c r="H30" s="68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hidden="1" customHeight="1">
      <c r="A31" s="59">
        <v>7</v>
      </c>
      <c r="B31" s="64" t="s">
        <v>151</v>
      </c>
      <c r="C31" s="65" t="s">
        <v>93</v>
      </c>
      <c r="D31" s="64" t="s">
        <v>120</v>
      </c>
      <c r="E31" s="67">
        <v>67.650000000000006</v>
      </c>
      <c r="F31" s="67">
        <f>SUM(E31*78/1000)</f>
        <v>5.2767000000000008</v>
      </c>
      <c r="G31" s="67">
        <v>321.82</v>
      </c>
      <c r="H31" s="68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4" t="s">
        <v>26</v>
      </c>
      <c r="C32" s="65" t="s">
        <v>93</v>
      </c>
      <c r="D32" s="64" t="s">
        <v>51</v>
      </c>
      <c r="E32" s="67">
        <v>191.65</v>
      </c>
      <c r="F32" s="67">
        <f>SUM(E32/1000)</f>
        <v>0.19165000000000001</v>
      </c>
      <c r="G32" s="67">
        <v>3758.28</v>
      </c>
      <c r="H32" s="68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hidden="1" customHeight="1">
      <c r="A33" s="59">
        <v>8</v>
      </c>
      <c r="B33" s="64" t="s">
        <v>94</v>
      </c>
      <c r="C33" s="65" t="s">
        <v>29</v>
      </c>
      <c r="D33" s="64" t="s">
        <v>61</v>
      </c>
      <c r="E33" s="74">
        <f>1/3</f>
        <v>0.33333333333333331</v>
      </c>
      <c r="F33" s="67">
        <f>155/3</f>
        <v>51.666666666666664</v>
      </c>
      <c r="G33" s="67">
        <v>70.540000000000006</v>
      </c>
      <c r="H33" s="68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4" t="s">
        <v>63</v>
      </c>
      <c r="C34" s="65" t="s">
        <v>31</v>
      </c>
      <c r="D34" s="64" t="s">
        <v>64</v>
      </c>
      <c r="E34" s="66"/>
      <c r="F34" s="67">
        <v>3</v>
      </c>
      <c r="G34" s="67">
        <v>238.07</v>
      </c>
      <c r="H34" s="68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4" t="s">
        <v>137</v>
      </c>
      <c r="C35" s="65" t="s">
        <v>30</v>
      </c>
      <c r="D35" s="64" t="s">
        <v>64</v>
      </c>
      <c r="E35" s="66"/>
      <c r="F35" s="67">
        <v>2</v>
      </c>
      <c r="G35" s="67">
        <v>1413.96</v>
      </c>
      <c r="H35" s="68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4"/>
      <c r="B36" s="122" t="s">
        <v>5</v>
      </c>
      <c r="C36" s="105"/>
      <c r="D36" s="105"/>
      <c r="E36" s="105"/>
      <c r="F36" s="105"/>
      <c r="G36" s="105"/>
      <c r="H36" s="105"/>
      <c r="I36" s="105"/>
      <c r="J36" s="25"/>
    </row>
    <row r="37" spans="1:14" ht="15.75" customHeight="1">
      <c r="A37" s="103">
        <v>5</v>
      </c>
      <c r="B37" s="64" t="s">
        <v>25</v>
      </c>
      <c r="C37" s="65" t="s">
        <v>30</v>
      </c>
      <c r="D37" s="64"/>
      <c r="E37" s="66"/>
      <c r="F37" s="67">
        <v>3</v>
      </c>
      <c r="G37" s="67">
        <v>1900.37</v>
      </c>
      <c r="H37" s="68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9">
        <v>6</v>
      </c>
      <c r="B38" s="64" t="s">
        <v>82</v>
      </c>
      <c r="C38" s="65" t="s">
        <v>28</v>
      </c>
      <c r="D38" s="64" t="s">
        <v>95</v>
      </c>
      <c r="E38" s="66">
        <v>67.650000000000006</v>
      </c>
      <c r="F38" s="67">
        <f>E38*30/1000</f>
        <v>2.0295000000000001</v>
      </c>
      <c r="G38" s="67">
        <v>2616.4899999999998</v>
      </c>
      <c r="H38" s="68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9">
        <v>7</v>
      </c>
      <c r="B39" s="64" t="s">
        <v>121</v>
      </c>
      <c r="C39" s="65" t="s">
        <v>28</v>
      </c>
      <c r="D39" s="64" t="s">
        <v>96</v>
      </c>
      <c r="E39" s="66">
        <v>67.650000000000006</v>
      </c>
      <c r="F39" s="67">
        <f>E39*155/1000</f>
        <v>10.485749999999999</v>
      </c>
      <c r="G39" s="67">
        <v>436.45</v>
      </c>
      <c r="H39" s="68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3">
        <v>9</v>
      </c>
      <c r="B40" s="64" t="s">
        <v>122</v>
      </c>
      <c r="C40" s="65" t="s">
        <v>123</v>
      </c>
      <c r="D40" s="64" t="s">
        <v>64</v>
      </c>
      <c r="E40" s="66"/>
      <c r="F40" s="67">
        <v>64</v>
      </c>
      <c r="G40" s="67">
        <v>226.84</v>
      </c>
      <c r="H40" s="68">
        <f>G40*F40/1000</f>
        <v>14.517760000000001</v>
      </c>
      <c r="I40" s="14">
        <f>G40*13</f>
        <v>2948.92</v>
      </c>
      <c r="J40" s="25"/>
    </row>
    <row r="41" spans="1:14" ht="47.25" customHeight="1">
      <c r="A41" s="59">
        <v>8</v>
      </c>
      <c r="B41" s="64" t="s">
        <v>77</v>
      </c>
      <c r="C41" s="65" t="s">
        <v>28</v>
      </c>
      <c r="D41" s="64" t="s">
        <v>124</v>
      </c>
      <c r="E41" s="67">
        <v>67.650000000000006</v>
      </c>
      <c r="F41" s="67">
        <f>SUM(E41*35/1000)</f>
        <v>2.36775</v>
      </c>
      <c r="G41" s="67">
        <v>7221.21</v>
      </c>
      <c r="H41" s="68">
        <f t="shared" si="6"/>
        <v>17.098019977500002</v>
      </c>
      <c r="I41" s="14">
        <f>F41/6*G41</f>
        <v>2849.6699962500002</v>
      </c>
      <c r="J41" s="25"/>
    </row>
    <row r="42" spans="1:14" ht="15.75" customHeight="1">
      <c r="A42" s="59">
        <v>9</v>
      </c>
      <c r="B42" s="64" t="s">
        <v>97</v>
      </c>
      <c r="C42" s="65" t="s">
        <v>93</v>
      </c>
      <c r="D42" s="64" t="s">
        <v>125</v>
      </c>
      <c r="E42" s="67">
        <v>67.650000000000006</v>
      </c>
      <c r="F42" s="67">
        <f>SUM(E42*20/1000)</f>
        <v>1.353</v>
      </c>
      <c r="G42" s="67">
        <v>533.45000000000005</v>
      </c>
      <c r="H42" s="68">
        <f t="shared" si="6"/>
        <v>0.72175785000000003</v>
      </c>
      <c r="I42" s="14">
        <f>F42/7.5*1.5*G42</f>
        <v>144.35157000000001</v>
      </c>
      <c r="J42" s="25"/>
    </row>
    <row r="43" spans="1:14" ht="15.75" customHeight="1">
      <c r="A43" s="103">
        <v>10</v>
      </c>
      <c r="B43" s="64" t="s">
        <v>65</v>
      </c>
      <c r="C43" s="65" t="s">
        <v>31</v>
      </c>
      <c r="D43" s="64"/>
      <c r="E43" s="66"/>
      <c r="F43" s="67">
        <v>0.8</v>
      </c>
      <c r="G43" s="67">
        <v>992.97</v>
      </c>
      <c r="H43" s="68">
        <f t="shared" si="6"/>
        <v>0.79437600000000008</v>
      </c>
      <c r="I43" s="14">
        <f>F43/7.5*1.5*G43</f>
        <v>158.87520000000001</v>
      </c>
      <c r="J43" s="25"/>
    </row>
    <row r="44" spans="1:14" ht="15.75" customHeight="1">
      <c r="A44" s="162" t="s">
        <v>141</v>
      </c>
      <c r="B44" s="163"/>
      <c r="C44" s="163"/>
      <c r="D44" s="163"/>
      <c r="E44" s="163"/>
      <c r="F44" s="163"/>
      <c r="G44" s="163"/>
      <c r="H44" s="163"/>
      <c r="I44" s="164"/>
      <c r="J44" s="25"/>
      <c r="L44" s="20"/>
      <c r="M44" s="21"/>
      <c r="N44" s="22"/>
    </row>
    <row r="45" spans="1:14" ht="15.75" hidden="1" customHeight="1">
      <c r="A45" s="59">
        <v>11</v>
      </c>
      <c r="B45" s="64" t="s">
        <v>98</v>
      </c>
      <c r="C45" s="65" t="s">
        <v>93</v>
      </c>
      <c r="D45" s="64" t="s">
        <v>40</v>
      </c>
      <c r="E45" s="66">
        <v>1114.75</v>
      </c>
      <c r="F45" s="67">
        <f>SUM(E45*2/1000)</f>
        <v>2.2294999999999998</v>
      </c>
      <c r="G45" s="14">
        <v>1283.46</v>
      </c>
      <c r="H45" s="68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9">
        <v>12</v>
      </c>
      <c r="B46" s="64" t="s">
        <v>34</v>
      </c>
      <c r="C46" s="65" t="s">
        <v>93</v>
      </c>
      <c r="D46" s="64" t="s">
        <v>40</v>
      </c>
      <c r="E46" s="66">
        <v>1563.3</v>
      </c>
      <c r="F46" s="67">
        <f>SUM(E46*2/1000)</f>
        <v>3.1265999999999998</v>
      </c>
      <c r="G46" s="14">
        <v>1711.28</v>
      </c>
      <c r="H46" s="68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hidden="1" customHeight="1">
      <c r="A47" s="59">
        <v>13</v>
      </c>
      <c r="B47" s="64" t="s">
        <v>35</v>
      </c>
      <c r="C47" s="65" t="s">
        <v>93</v>
      </c>
      <c r="D47" s="64" t="s">
        <v>40</v>
      </c>
      <c r="E47" s="66">
        <v>1619.6</v>
      </c>
      <c r="F47" s="67">
        <f>SUM(E47*2/1000)</f>
        <v>3.2391999999999999</v>
      </c>
      <c r="G47" s="14">
        <v>1179.73</v>
      </c>
      <c r="H47" s="68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hidden="1" customHeight="1">
      <c r="A48" s="59">
        <v>14</v>
      </c>
      <c r="B48" s="64" t="s">
        <v>32</v>
      </c>
      <c r="C48" s="65" t="s">
        <v>33</v>
      </c>
      <c r="D48" s="64" t="s">
        <v>40</v>
      </c>
      <c r="E48" s="66">
        <v>85.84</v>
      </c>
      <c r="F48" s="67">
        <f>SUM(E48*2/100)</f>
        <v>1.7168000000000001</v>
      </c>
      <c r="G48" s="14">
        <v>90.61</v>
      </c>
      <c r="H48" s="68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customHeight="1">
      <c r="A49" s="59">
        <v>11</v>
      </c>
      <c r="B49" s="64" t="s">
        <v>54</v>
      </c>
      <c r="C49" s="65" t="s">
        <v>93</v>
      </c>
      <c r="D49" s="64" t="s">
        <v>152</v>
      </c>
      <c r="E49" s="66">
        <v>3216.2</v>
      </c>
      <c r="F49" s="67">
        <f>SUM(E49*5/1000)</f>
        <v>16.081</v>
      </c>
      <c r="G49" s="14">
        <v>1711.28</v>
      </c>
      <c r="H49" s="68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16</v>
      </c>
      <c r="B50" s="64" t="s">
        <v>99</v>
      </c>
      <c r="C50" s="65" t="s">
        <v>93</v>
      </c>
      <c r="D50" s="64" t="s">
        <v>40</v>
      </c>
      <c r="E50" s="66">
        <v>3216.2</v>
      </c>
      <c r="F50" s="67">
        <f>SUM(E50*2/1000)</f>
        <v>6.4323999999999995</v>
      </c>
      <c r="G50" s="14">
        <v>1510.06</v>
      </c>
      <c r="H50" s="68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17</v>
      </c>
      <c r="B51" s="64" t="s">
        <v>100</v>
      </c>
      <c r="C51" s="65" t="s">
        <v>36</v>
      </c>
      <c r="D51" s="64" t="s">
        <v>40</v>
      </c>
      <c r="E51" s="66">
        <v>16</v>
      </c>
      <c r="F51" s="67">
        <f>SUM(E51*2/100)</f>
        <v>0.32</v>
      </c>
      <c r="G51" s="14">
        <v>3850.4</v>
      </c>
      <c r="H51" s="68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18</v>
      </c>
      <c r="B52" s="64" t="s">
        <v>37</v>
      </c>
      <c r="C52" s="65" t="s">
        <v>38</v>
      </c>
      <c r="D52" s="64" t="s">
        <v>40</v>
      </c>
      <c r="E52" s="66">
        <v>1</v>
      </c>
      <c r="F52" s="67">
        <v>0.02</v>
      </c>
      <c r="G52" s="14">
        <v>7033.13</v>
      </c>
      <c r="H52" s="68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hidden="1" customHeight="1">
      <c r="A53" s="59">
        <v>19</v>
      </c>
      <c r="B53" s="64" t="s">
        <v>39</v>
      </c>
      <c r="C53" s="65" t="s">
        <v>101</v>
      </c>
      <c r="D53" s="64" t="s">
        <v>66</v>
      </c>
      <c r="E53" s="66">
        <v>128</v>
      </c>
      <c r="F53" s="67">
        <f>SUM(E53)*3</f>
        <v>384</v>
      </c>
      <c r="G53" s="14">
        <v>81.73</v>
      </c>
      <c r="H53" s="68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2" t="s">
        <v>140</v>
      </c>
      <c r="B54" s="172"/>
      <c r="C54" s="172"/>
      <c r="D54" s="172"/>
      <c r="E54" s="172"/>
      <c r="F54" s="172"/>
      <c r="G54" s="172"/>
      <c r="H54" s="172"/>
      <c r="I54" s="173"/>
      <c r="J54" s="25"/>
      <c r="L54" s="20"/>
      <c r="M54" s="21"/>
      <c r="N54" s="22"/>
    </row>
    <row r="55" spans="1:14" ht="15.75" hidden="1" customHeight="1">
      <c r="A55" s="59"/>
      <c r="B55" s="88" t="s">
        <v>41</v>
      </c>
      <c r="C55" s="65"/>
      <c r="D55" s="64"/>
      <c r="E55" s="66"/>
      <c r="F55" s="67"/>
      <c r="G55" s="67"/>
      <c r="H55" s="68"/>
      <c r="I55" s="14"/>
      <c r="J55" s="25"/>
      <c r="L55" s="20"/>
      <c r="M55" s="21"/>
      <c r="N55" s="22"/>
    </row>
    <row r="56" spans="1:14" ht="31.5" hidden="1" customHeight="1">
      <c r="A56" s="59">
        <v>13</v>
      </c>
      <c r="B56" s="64" t="s">
        <v>126</v>
      </c>
      <c r="C56" s="65" t="s">
        <v>83</v>
      </c>
      <c r="D56" s="64" t="s">
        <v>127</v>
      </c>
      <c r="E56" s="66">
        <v>123.31</v>
      </c>
      <c r="F56" s="67">
        <f>SUM(E56*6/100)</f>
        <v>7.3986000000000001</v>
      </c>
      <c r="G56" s="14">
        <v>2306.62</v>
      </c>
      <c r="H56" s="68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77" t="s">
        <v>128</v>
      </c>
      <c r="C57" s="76" t="s">
        <v>129</v>
      </c>
      <c r="D57" s="77" t="s">
        <v>64</v>
      </c>
      <c r="E57" s="78"/>
      <c r="F57" s="79">
        <v>3</v>
      </c>
      <c r="G57" s="14">
        <v>1501</v>
      </c>
      <c r="H57" s="68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89" t="s">
        <v>42</v>
      </c>
      <c r="C58" s="76"/>
      <c r="D58" s="77"/>
      <c r="E58" s="78"/>
      <c r="F58" s="79"/>
      <c r="G58" s="14"/>
      <c r="H58" s="80"/>
      <c r="I58" s="14"/>
      <c r="J58" s="25"/>
      <c r="L58" s="20"/>
      <c r="M58" s="21"/>
      <c r="N58" s="22"/>
    </row>
    <row r="59" spans="1:14" ht="15.75" hidden="1" customHeight="1">
      <c r="A59" s="60"/>
      <c r="B59" s="77" t="s">
        <v>139</v>
      </c>
      <c r="C59" s="76" t="s">
        <v>50</v>
      </c>
      <c r="D59" s="77" t="s">
        <v>51</v>
      </c>
      <c r="E59" s="78">
        <v>451</v>
      </c>
      <c r="F59" s="79">
        <v>8.9</v>
      </c>
      <c r="G59" s="14">
        <v>987.51</v>
      </c>
      <c r="H59" s="80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89" t="s">
        <v>43</v>
      </c>
      <c r="C60" s="76"/>
      <c r="D60" s="77"/>
      <c r="E60" s="108"/>
      <c r="F60" s="67"/>
      <c r="G60" s="111"/>
      <c r="H60" s="79" t="s">
        <v>138</v>
      </c>
      <c r="I60" s="14"/>
      <c r="J60" s="25"/>
      <c r="L60" s="20"/>
      <c r="M60" s="21"/>
      <c r="N60" s="22"/>
    </row>
    <row r="61" spans="1:14" ht="15.75" hidden="1" customHeight="1">
      <c r="A61" s="17">
        <v>9</v>
      </c>
      <c r="B61" s="15" t="s">
        <v>44</v>
      </c>
      <c r="C61" s="17" t="s">
        <v>101</v>
      </c>
      <c r="D61" s="15" t="s">
        <v>64</v>
      </c>
      <c r="E61" s="109">
        <v>10</v>
      </c>
      <c r="F61" s="67">
        <f>E61</f>
        <v>10</v>
      </c>
      <c r="G61" s="112">
        <v>276.74</v>
      </c>
      <c r="H61" s="63">
        <f t="shared" ref="H61:H69" si="10">SUM(F61*G61/1000)</f>
        <v>2.7674000000000003</v>
      </c>
      <c r="I61" s="14">
        <f>G61*11</f>
        <v>3044.1400000000003</v>
      </c>
      <c r="J61" s="25"/>
      <c r="L61" s="20"/>
    </row>
    <row r="62" spans="1:14" ht="15.75" hidden="1" customHeight="1">
      <c r="A62" s="17"/>
      <c r="B62" s="15" t="s">
        <v>45</v>
      </c>
      <c r="C62" s="17" t="s">
        <v>101</v>
      </c>
      <c r="D62" s="15" t="s">
        <v>64</v>
      </c>
      <c r="E62" s="109">
        <v>10</v>
      </c>
      <c r="F62" s="67">
        <f>E62</f>
        <v>10</v>
      </c>
      <c r="G62" s="112">
        <v>94.89</v>
      </c>
      <c r="H62" s="63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46</v>
      </c>
      <c r="C63" s="17" t="s">
        <v>102</v>
      </c>
      <c r="D63" s="15" t="s">
        <v>51</v>
      </c>
      <c r="E63" s="110">
        <v>13447</v>
      </c>
      <c r="F63" s="67">
        <f>SUM(E63/100)</f>
        <v>134.47</v>
      </c>
      <c r="G63" s="112">
        <v>263.99</v>
      </c>
      <c r="H63" s="63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47</v>
      </c>
      <c r="C64" s="17" t="s">
        <v>103</v>
      </c>
      <c r="D64" s="15"/>
      <c r="E64" s="110">
        <v>13447</v>
      </c>
      <c r="F64" s="67">
        <f>SUM(E64/1000)</f>
        <v>13.446999999999999</v>
      </c>
      <c r="G64" s="112">
        <v>205.57</v>
      </c>
      <c r="H64" s="63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48</v>
      </c>
      <c r="C65" s="17" t="s">
        <v>72</v>
      </c>
      <c r="D65" s="15" t="s">
        <v>51</v>
      </c>
      <c r="E65" s="110">
        <v>2200</v>
      </c>
      <c r="F65" s="67">
        <f>SUM(E65/100)</f>
        <v>22</v>
      </c>
      <c r="G65" s="112">
        <v>2581.5300000000002</v>
      </c>
      <c r="H65" s="63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1" t="s">
        <v>104</v>
      </c>
      <c r="C66" s="17" t="s">
        <v>31</v>
      </c>
      <c r="D66" s="15"/>
      <c r="E66" s="110">
        <v>12.1</v>
      </c>
      <c r="F66" s="67">
        <f>SUM(E66)</f>
        <v>12.1</v>
      </c>
      <c r="G66" s="112">
        <v>47.45</v>
      </c>
      <c r="H66" s="63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1" t="s">
        <v>105</v>
      </c>
      <c r="C67" s="17" t="s">
        <v>31</v>
      </c>
      <c r="D67" s="15"/>
      <c r="E67" s="110">
        <v>12.1</v>
      </c>
      <c r="F67" s="67">
        <f>SUM(E67)</f>
        <v>12.1</v>
      </c>
      <c r="G67" s="112">
        <v>44.27</v>
      </c>
      <c r="H67" s="63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>
        <v>21</v>
      </c>
      <c r="B68" s="15" t="s">
        <v>55</v>
      </c>
      <c r="C68" s="17" t="s">
        <v>56</v>
      </c>
      <c r="D68" s="15" t="s">
        <v>51</v>
      </c>
      <c r="E68" s="109">
        <v>4</v>
      </c>
      <c r="F68" s="67">
        <v>4</v>
      </c>
      <c r="G68" s="112">
        <v>62.07</v>
      </c>
      <c r="H68" s="63">
        <f t="shared" si="10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12</v>
      </c>
      <c r="B69" s="15" t="s">
        <v>130</v>
      </c>
      <c r="C69" s="31" t="s">
        <v>131</v>
      </c>
      <c r="D69" s="15"/>
      <c r="E69" s="109">
        <v>3216.2</v>
      </c>
      <c r="F69" s="113">
        <v>38594.400000000001</v>
      </c>
      <c r="G69" s="112">
        <v>2.16</v>
      </c>
      <c r="H69" s="63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6"/>
      <c r="B70" s="122" t="s">
        <v>67</v>
      </c>
      <c r="C70" s="17"/>
      <c r="D70" s="15"/>
      <c r="E70" s="19"/>
      <c r="F70" s="14"/>
      <c r="G70" s="14"/>
      <c r="H70" s="63" t="s">
        <v>138</v>
      </c>
      <c r="I70" s="14"/>
      <c r="J70" s="6"/>
      <c r="K70" s="6"/>
      <c r="L70" s="6"/>
      <c r="M70" s="6"/>
      <c r="N70" s="6"/>
      <c r="O70" s="6"/>
      <c r="P70" s="6"/>
      <c r="Q70" s="6"/>
      <c r="R70" s="152"/>
      <c r="S70" s="152"/>
      <c r="T70" s="152"/>
      <c r="U70" s="152"/>
    </row>
    <row r="71" spans="1:22" ht="15.75" hidden="1" customHeight="1">
      <c r="A71" s="17"/>
      <c r="B71" s="15" t="s">
        <v>132</v>
      </c>
      <c r="C71" s="17" t="s">
        <v>133</v>
      </c>
      <c r="D71" s="15" t="s">
        <v>64</v>
      </c>
      <c r="E71" s="19">
        <v>2</v>
      </c>
      <c r="F71" s="14">
        <f>E71</f>
        <v>2</v>
      </c>
      <c r="G71" s="14">
        <v>976.4</v>
      </c>
      <c r="H71" s="63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108</v>
      </c>
      <c r="C72" s="17" t="s">
        <v>134</v>
      </c>
      <c r="D72" s="15" t="s">
        <v>64</v>
      </c>
      <c r="E72" s="19">
        <v>1</v>
      </c>
      <c r="F72" s="14">
        <v>1</v>
      </c>
      <c r="G72" s="14">
        <v>735</v>
      </c>
      <c r="H72" s="63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68</v>
      </c>
      <c r="C73" s="17" t="s">
        <v>70</v>
      </c>
      <c r="D73" s="15" t="s">
        <v>64</v>
      </c>
      <c r="E73" s="19">
        <v>4</v>
      </c>
      <c r="F73" s="14">
        <f>E73/10</f>
        <v>0.4</v>
      </c>
      <c r="G73" s="14">
        <v>624.16999999999996</v>
      </c>
      <c r="H73" s="63">
        <f t="shared" si="12"/>
        <v>0.249668</v>
      </c>
      <c r="I73" s="14">
        <v>0</v>
      </c>
    </row>
    <row r="74" spans="1:22" ht="15.75" hidden="1" customHeight="1">
      <c r="A74" s="17"/>
      <c r="B74" s="15" t="s">
        <v>69</v>
      </c>
      <c r="C74" s="17" t="s">
        <v>29</v>
      </c>
      <c r="D74" s="15" t="s">
        <v>64</v>
      </c>
      <c r="E74" s="19">
        <v>1</v>
      </c>
      <c r="F74" s="55">
        <v>1</v>
      </c>
      <c r="G74" s="14">
        <v>1061.4100000000001</v>
      </c>
      <c r="H74" s="63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135</v>
      </c>
      <c r="C75" s="17" t="s">
        <v>133</v>
      </c>
      <c r="D75" s="15" t="s">
        <v>64</v>
      </c>
      <c r="E75" s="19">
        <v>1</v>
      </c>
      <c r="F75" s="14">
        <f>E75</f>
        <v>1</v>
      </c>
      <c r="G75" s="14">
        <v>976.1</v>
      </c>
      <c r="H75" s="63">
        <f t="shared" si="12"/>
        <v>0.97609999999999997</v>
      </c>
      <c r="I75" s="14">
        <v>0</v>
      </c>
    </row>
    <row r="76" spans="1:22" ht="15.75" hidden="1" customHeight="1">
      <c r="A76" s="106"/>
      <c r="B76" s="107" t="s">
        <v>71</v>
      </c>
      <c r="C76" s="17"/>
      <c r="D76" s="15"/>
      <c r="E76" s="19"/>
      <c r="F76" s="14"/>
      <c r="G76" s="14" t="s">
        <v>138</v>
      </c>
      <c r="H76" s="63" t="s">
        <v>138</v>
      </c>
      <c r="I76" s="14"/>
    </row>
    <row r="77" spans="1:22" ht="15.75" hidden="1" customHeight="1">
      <c r="A77" s="17"/>
      <c r="B77" s="43" t="s">
        <v>109</v>
      </c>
      <c r="C77" s="17" t="s">
        <v>72</v>
      </c>
      <c r="D77" s="15"/>
      <c r="E77" s="19"/>
      <c r="F77" s="14">
        <v>0.1</v>
      </c>
      <c r="G77" s="14">
        <v>3433.68</v>
      </c>
      <c r="H77" s="63">
        <f t="shared" ref="H77" si="13">SUM(F77*G77/1000)</f>
        <v>0.34336800000000001</v>
      </c>
      <c r="I77" s="14">
        <v>0</v>
      </c>
    </row>
    <row r="78" spans="1:22" ht="15.75" hidden="1" customHeight="1">
      <c r="A78" s="106"/>
      <c r="B78" s="96" t="s">
        <v>106</v>
      </c>
      <c r="C78" s="83"/>
      <c r="D78" s="33"/>
      <c r="E78" s="34"/>
      <c r="F78" s="73"/>
      <c r="G78" s="73"/>
      <c r="H78" s="84">
        <f>SUM(H56:H77)</f>
        <v>219.17093482199999</v>
      </c>
      <c r="I78" s="73"/>
    </row>
    <row r="79" spans="1:22" ht="15.75" hidden="1" customHeight="1">
      <c r="A79" s="17">
        <v>14</v>
      </c>
      <c r="B79" s="64" t="s">
        <v>107</v>
      </c>
      <c r="C79" s="17"/>
      <c r="D79" s="15"/>
      <c r="E79" s="85"/>
      <c r="F79" s="14">
        <v>1</v>
      </c>
      <c r="G79" s="14">
        <v>14133</v>
      </c>
      <c r="H79" s="63">
        <f>G79*F79/1000</f>
        <v>14.132999999999999</v>
      </c>
      <c r="I79" s="14">
        <f>G79</f>
        <v>14133</v>
      </c>
    </row>
    <row r="80" spans="1:22" ht="15.75" customHeight="1">
      <c r="A80" s="162" t="s">
        <v>142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17">
        <v>13</v>
      </c>
      <c r="B81" s="64" t="s">
        <v>111</v>
      </c>
      <c r="C81" s="17" t="s">
        <v>52</v>
      </c>
      <c r="D81" s="86" t="s">
        <v>53</v>
      </c>
      <c r="E81" s="14">
        <v>3216.2</v>
      </c>
      <c r="F81" s="14">
        <f>SUM(E81*12)</f>
        <v>38594.399999999994</v>
      </c>
      <c r="G81" s="14">
        <v>2.95</v>
      </c>
      <c r="H81" s="63">
        <f>SUM(F81*G81/1000)</f>
        <v>113.85347999999999</v>
      </c>
      <c r="I81" s="14">
        <f>F81/12*G81</f>
        <v>9487.7899999999991</v>
      </c>
    </row>
    <row r="82" spans="1:9" ht="31.5" customHeight="1">
      <c r="A82" s="87">
        <v>14</v>
      </c>
      <c r="B82" s="15" t="s">
        <v>73</v>
      </c>
      <c r="C82" s="17"/>
      <c r="D82" s="86" t="s">
        <v>53</v>
      </c>
      <c r="E82" s="66">
        <v>3216.2</v>
      </c>
      <c r="F82" s="14">
        <f>E82*12</f>
        <v>38594.399999999994</v>
      </c>
      <c r="G82" s="14">
        <v>3.05</v>
      </c>
      <c r="H82" s="63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75</v>
      </c>
      <c r="C83" s="83"/>
      <c r="D83" s="82"/>
      <c r="E83" s="73"/>
      <c r="F83" s="73"/>
      <c r="G83" s="73"/>
      <c r="H83" s="84">
        <f>H82</f>
        <v>117.71291999999997</v>
      </c>
      <c r="I83" s="73">
        <f>I82+I81+I69+I49+I43+I42+I41+I39+I38+I37+I26+I18+I17+I16</f>
        <v>47062.057909333322</v>
      </c>
    </row>
    <row r="84" spans="1:9" ht="15.75" customHeight="1">
      <c r="A84" s="168" t="s">
        <v>58</v>
      </c>
      <c r="B84" s="169"/>
      <c r="C84" s="169"/>
      <c r="D84" s="169"/>
      <c r="E84" s="169"/>
      <c r="F84" s="169"/>
      <c r="G84" s="169"/>
      <c r="H84" s="169"/>
      <c r="I84" s="170"/>
    </row>
    <row r="85" spans="1:9" ht="31.5" customHeight="1">
      <c r="A85" s="31">
        <v>15</v>
      </c>
      <c r="B85" s="123" t="s">
        <v>258</v>
      </c>
      <c r="C85" s="124" t="s">
        <v>28</v>
      </c>
      <c r="D85" s="181"/>
      <c r="E85" s="181"/>
      <c r="F85" s="181"/>
      <c r="G85" s="126">
        <v>18798.34</v>
      </c>
      <c r="H85" s="181"/>
      <c r="I85" s="182">
        <f>G85*10*0.599/1000</f>
        <v>112.6020566</v>
      </c>
    </row>
    <row r="86" spans="1:9" ht="15.75" customHeight="1">
      <c r="A86" s="31">
        <v>16</v>
      </c>
      <c r="B86" s="133" t="s">
        <v>167</v>
      </c>
      <c r="C86" s="134" t="s">
        <v>168</v>
      </c>
      <c r="D86" s="43"/>
      <c r="E86" s="14"/>
      <c r="F86" s="14">
        <v>2</v>
      </c>
      <c r="G86" s="141">
        <v>1.2</v>
      </c>
      <c r="H86" s="63">
        <f t="shared" ref="H86" si="14">G86*F86/1000</f>
        <v>2.3999999999999998E-3</v>
      </c>
      <c r="I86" s="115">
        <f>G86*100</f>
        <v>120</v>
      </c>
    </row>
    <row r="87" spans="1:9" ht="15.75" customHeight="1">
      <c r="A87" s="31">
        <v>17</v>
      </c>
      <c r="B87" s="123" t="s">
        <v>170</v>
      </c>
      <c r="C87" s="124" t="s">
        <v>171</v>
      </c>
      <c r="D87" s="181"/>
      <c r="E87" s="181"/>
      <c r="F87" s="181"/>
      <c r="G87" s="126">
        <v>134.12</v>
      </c>
      <c r="H87" s="181"/>
      <c r="I87" s="37">
        <f>G87*1</f>
        <v>134.12</v>
      </c>
    </row>
    <row r="88" spans="1:9" ht="32.25" customHeight="1">
      <c r="A88" s="31">
        <v>18</v>
      </c>
      <c r="B88" s="123" t="s">
        <v>259</v>
      </c>
      <c r="C88" s="124" t="s">
        <v>101</v>
      </c>
      <c r="D88" s="181"/>
      <c r="E88" s="181"/>
      <c r="F88" s="181"/>
      <c r="G88" s="126">
        <v>2012.33</v>
      </c>
      <c r="H88" s="181"/>
      <c r="I88" s="31">
        <f>G88*1</f>
        <v>2012.33</v>
      </c>
    </row>
    <row r="89" spans="1:9" ht="33.75" customHeight="1">
      <c r="A89" s="31">
        <v>19</v>
      </c>
      <c r="B89" s="123" t="s">
        <v>206</v>
      </c>
      <c r="C89" s="124" t="s">
        <v>214</v>
      </c>
      <c r="D89" s="181"/>
      <c r="E89" s="181"/>
      <c r="F89" s="181"/>
      <c r="G89" s="126">
        <v>24829.08</v>
      </c>
      <c r="H89" s="181"/>
      <c r="I89" s="182">
        <f>G89*0.01</f>
        <v>248.29080000000002</v>
      </c>
    </row>
    <row r="90" spans="1:9" ht="15.75" customHeight="1">
      <c r="A90" s="31"/>
      <c r="B90" s="41" t="s">
        <v>49</v>
      </c>
      <c r="C90" s="37"/>
      <c r="D90" s="44"/>
      <c r="E90" s="37">
        <v>1</v>
      </c>
      <c r="F90" s="37"/>
      <c r="G90" s="37"/>
      <c r="H90" s="37"/>
      <c r="I90" s="34">
        <f>SUM(I85:I89)</f>
        <v>2627.3428566000002</v>
      </c>
    </row>
    <row r="91" spans="1:9" ht="15.75" customHeight="1">
      <c r="A91" s="31"/>
      <c r="B91" s="43" t="s">
        <v>74</v>
      </c>
      <c r="C91" s="16"/>
      <c r="D91" s="16"/>
      <c r="E91" s="38"/>
      <c r="F91" s="38"/>
      <c r="G91" s="39"/>
      <c r="H91" s="39"/>
      <c r="I91" s="18">
        <v>0</v>
      </c>
    </row>
    <row r="92" spans="1:9" ht="15.75" customHeight="1">
      <c r="A92" s="45"/>
      <c r="B92" s="42" t="s">
        <v>153</v>
      </c>
      <c r="C92" s="35"/>
      <c r="D92" s="35"/>
      <c r="E92" s="35"/>
      <c r="F92" s="35"/>
      <c r="G92" s="35"/>
      <c r="H92" s="35"/>
      <c r="I92" s="40">
        <f>I83+I90</f>
        <v>49689.400765933322</v>
      </c>
    </row>
    <row r="93" spans="1:9" ht="15.75" customHeight="1">
      <c r="A93" s="153" t="s">
        <v>264</v>
      </c>
      <c r="B93" s="153"/>
      <c r="C93" s="153"/>
      <c r="D93" s="153"/>
      <c r="E93" s="153"/>
      <c r="F93" s="153"/>
      <c r="G93" s="153"/>
      <c r="H93" s="153"/>
      <c r="I93" s="153"/>
    </row>
    <row r="94" spans="1:9" ht="15.75" customHeight="1">
      <c r="A94" s="54"/>
      <c r="B94" s="178" t="s">
        <v>265</v>
      </c>
      <c r="C94" s="178"/>
      <c r="D94" s="178"/>
      <c r="E94" s="178"/>
      <c r="F94" s="178"/>
      <c r="G94" s="178"/>
      <c r="H94" s="58"/>
      <c r="I94" s="4"/>
    </row>
    <row r="95" spans="1:9" ht="15.75" customHeight="1">
      <c r="A95" s="119"/>
      <c r="B95" s="175" t="s">
        <v>6</v>
      </c>
      <c r="C95" s="175"/>
      <c r="D95" s="175"/>
      <c r="E95" s="175"/>
      <c r="F95" s="175"/>
      <c r="G95" s="175"/>
      <c r="H95" s="26"/>
      <c r="I95" s="6"/>
    </row>
    <row r="96" spans="1:9" ht="15.75" customHeight="1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5.75" customHeight="1">
      <c r="A97" s="179" t="s">
        <v>7</v>
      </c>
      <c r="B97" s="179"/>
      <c r="C97" s="179"/>
      <c r="D97" s="179"/>
      <c r="E97" s="179"/>
      <c r="F97" s="179"/>
      <c r="G97" s="179"/>
      <c r="H97" s="179"/>
      <c r="I97" s="179"/>
    </row>
    <row r="98" spans="1:9" ht="15.75" customHeight="1">
      <c r="A98" s="179" t="s">
        <v>8</v>
      </c>
      <c r="B98" s="179"/>
      <c r="C98" s="179"/>
      <c r="D98" s="179"/>
      <c r="E98" s="179"/>
      <c r="F98" s="179"/>
      <c r="G98" s="179"/>
      <c r="H98" s="179"/>
      <c r="I98" s="179"/>
    </row>
    <row r="99" spans="1:9" ht="15.75" customHeight="1">
      <c r="A99" s="180" t="s">
        <v>59</v>
      </c>
      <c r="B99" s="180"/>
      <c r="C99" s="180"/>
      <c r="D99" s="180"/>
      <c r="E99" s="180"/>
      <c r="F99" s="180"/>
      <c r="G99" s="180"/>
      <c r="H99" s="180"/>
      <c r="I99" s="180"/>
    </row>
    <row r="100" spans="1:9" ht="15.75" customHeight="1">
      <c r="A100" s="12"/>
    </row>
    <row r="101" spans="1:9" ht="15.75" customHeight="1">
      <c r="A101" s="160" t="s">
        <v>9</v>
      </c>
      <c r="B101" s="160"/>
      <c r="C101" s="160"/>
      <c r="D101" s="160"/>
      <c r="E101" s="160"/>
      <c r="F101" s="160"/>
      <c r="G101" s="160"/>
      <c r="H101" s="160"/>
      <c r="I101" s="160"/>
    </row>
    <row r="102" spans="1:9" ht="15.75" customHeight="1">
      <c r="A102" s="5"/>
    </row>
    <row r="103" spans="1:9" ht="15.75" customHeight="1">
      <c r="B103" s="120" t="s">
        <v>10</v>
      </c>
      <c r="C103" s="174" t="s">
        <v>81</v>
      </c>
      <c r="D103" s="174"/>
      <c r="E103" s="174"/>
      <c r="F103" s="56"/>
      <c r="I103" s="118"/>
    </row>
    <row r="104" spans="1:9" ht="15.75" customHeight="1">
      <c r="A104" s="119"/>
      <c r="C104" s="175" t="s">
        <v>11</v>
      </c>
      <c r="D104" s="175"/>
      <c r="E104" s="175"/>
      <c r="F104" s="26"/>
      <c r="I104" s="117" t="s">
        <v>12</v>
      </c>
    </row>
    <row r="105" spans="1:9" ht="15.75" customHeight="1">
      <c r="A105" s="27"/>
      <c r="C105" s="13"/>
      <c r="D105" s="13"/>
      <c r="G105" s="13"/>
      <c r="H105" s="13"/>
    </row>
    <row r="106" spans="1:9" ht="15.75" customHeight="1">
      <c r="B106" s="120" t="s">
        <v>13</v>
      </c>
      <c r="C106" s="176"/>
      <c r="D106" s="176"/>
      <c r="E106" s="176"/>
      <c r="F106" s="57"/>
      <c r="I106" s="118"/>
    </row>
    <row r="107" spans="1:9" ht="15.75" customHeight="1">
      <c r="A107" s="119"/>
      <c r="C107" s="152" t="s">
        <v>11</v>
      </c>
      <c r="D107" s="152"/>
      <c r="E107" s="152"/>
      <c r="F107" s="119"/>
      <c r="I107" s="117" t="s">
        <v>12</v>
      </c>
    </row>
    <row r="108" spans="1:9" ht="15.75" customHeight="1">
      <c r="A108" s="5" t="s">
        <v>14</v>
      </c>
    </row>
    <row r="109" spans="1:9" ht="15" customHeight="1">
      <c r="A109" s="177" t="s">
        <v>15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45" customHeight="1">
      <c r="A110" s="171" t="s">
        <v>16</v>
      </c>
      <c r="B110" s="171"/>
      <c r="C110" s="171"/>
      <c r="D110" s="171"/>
      <c r="E110" s="171"/>
      <c r="F110" s="171"/>
      <c r="G110" s="171"/>
      <c r="H110" s="171"/>
      <c r="I110" s="171"/>
    </row>
    <row r="111" spans="1:9" ht="30" customHeight="1">
      <c r="A111" s="171" t="s">
        <v>17</v>
      </c>
      <c r="B111" s="171"/>
      <c r="C111" s="171"/>
      <c r="D111" s="171"/>
      <c r="E111" s="171"/>
      <c r="F111" s="171"/>
      <c r="G111" s="171"/>
      <c r="H111" s="171"/>
      <c r="I111" s="171"/>
    </row>
    <row r="112" spans="1:9" ht="30" customHeight="1">
      <c r="A112" s="171" t="s">
        <v>21</v>
      </c>
      <c r="B112" s="171"/>
      <c r="C112" s="171"/>
      <c r="D112" s="171"/>
      <c r="E112" s="171"/>
      <c r="F112" s="171"/>
      <c r="G112" s="171"/>
      <c r="H112" s="171"/>
      <c r="I112" s="171"/>
    </row>
    <row r="113" spans="1:9" ht="15" customHeight="1">
      <c r="A113" s="171" t="s">
        <v>20</v>
      </c>
      <c r="B113" s="171"/>
      <c r="C113" s="171"/>
      <c r="D113" s="171"/>
      <c r="E113" s="171"/>
      <c r="F113" s="171"/>
      <c r="G113" s="171"/>
      <c r="H113" s="171"/>
      <c r="I113" s="171"/>
    </row>
  </sheetData>
  <autoFilter ref="I14:I64"/>
  <mergeCells count="29">
    <mergeCell ref="A109:I109"/>
    <mergeCell ref="A110:I110"/>
    <mergeCell ref="A111:I111"/>
    <mergeCell ref="A112:I112"/>
    <mergeCell ref="A113:I113"/>
    <mergeCell ref="R70:U70"/>
    <mergeCell ref="C107:E107"/>
    <mergeCell ref="A84:I84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B94" sqref="B94:G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78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4" t="s">
        <v>143</v>
      </c>
      <c r="B3" s="154"/>
      <c r="C3" s="154"/>
      <c r="D3" s="154"/>
      <c r="E3" s="154"/>
      <c r="F3" s="154"/>
      <c r="G3" s="154"/>
      <c r="H3" s="154"/>
      <c r="I3" s="154"/>
      <c r="J3" s="2"/>
      <c r="K3" s="2"/>
      <c r="L3" s="2"/>
      <c r="M3" s="2"/>
    </row>
    <row r="4" spans="1:13" ht="33.75" customHeight="1">
      <c r="A4" s="155" t="s">
        <v>112</v>
      </c>
      <c r="B4" s="155"/>
      <c r="C4" s="155"/>
      <c r="D4" s="155"/>
      <c r="E4" s="155"/>
      <c r="F4" s="155"/>
      <c r="G4" s="155"/>
      <c r="H4" s="155"/>
      <c r="I4" s="155"/>
      <c r="J4" s="3"/>
      <c r="K4" s="3"/>
      <c r="L4" s="3"/>
      <c r="M4" s="3"/>
    </row>
    <row r="5" spans="1:13" ht="15.75" customHeight="1">
      <c r="A5" s="154" t="s">
        <v>169</v>
      </c>
      <c r="B5" s="156"/>
      <c r="C5" s="156"/>
      <c r="D5" s="156"/>
      <c r="E5" s="156"/>
      <c r="F5" s="156"/>
      <c r="G5" s="156"/>
      <c r="H5" s="156"/>
      <c r="I5" s="156"/>
      <c r="J5" s="4"/>
      <c r="K5" s="4"/>
      <c r="L5" s="4"/>
    </row>
    <row r="6" spans="1:13" ht="15.75" customHeight="1">
      <c r="A6" s="3"/>
      <c r="B6" s="95"/>
      <c r="C6" s="95"/>
      <c r="D6" s="95"/>
      <c r="E6" s="95"/>
      <c r="F6" s="95"/>
      <c r="G6" s="95"/>
      <c r="H6" s="95"/>
      <c r="I6" s="32">
        <v>43159</v>
      </c>
    </row>
    <row r="7" spans="1:13" ht="15.75">
      <c r="B7" s="93"/>
      <c r="C7" s="93"/>
      <c r="D7" s="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57" t="s">
        <v>149</v>
      </c>
      <c r="B8" s="157"/>
      <c r="C8" s="157"/>
      <c r="D8" s="157"/>
      <c r="E8" s="157"/>
      <c r="F8" s="157"/>
      <c r="G8" s="157"/>
      <c r="H8" s="157"/>
      <c r="I8" s="157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158" t="s">
        <v>166</v>
      </c>
      <c r="B10" s="158"/>
      <c r="C10" s="158"/>
      <c r="D10" s="158"/>
      <c r="E10" s="158"/>
      <c r="F10" s="158"/>
      <c r="G10" s="158"/>
      <c r="H10" s="158"/>
      <c r="I10" s="15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59" t="s">
        <v>57</v>
      </c>
      <c r="B14" s="159"/>
      <c r="C14" s="159"/>
      <c r="D14" s="159"/>
      <c r="E14" s="159"/>
      <c r="F14" s="159"/>
      <c r="G14" s="159"/>
      <c r="H14" s="159"/>
      <c r="I14" s="159"/>
    </row>
    <row r="15" spans="1:13">
      <c r="A15" s="161" t="s">
        <v>4</v>
      </c>
      <c r="B15" s="161"/>
      <c r="C15" s="161"/>
      <c r="D15" s="161"/>
      <c r="E15" s="161"/>
      <c r="F15" s="161"/>
      <c r="G15" s="161"/>
      <c r="H15" s="161"/>
      <c r="I15" s="161"/>
      <c r="J15" s="9"/>
      <c r="K15" s="9"/>
      <c r="L15" s="9"/>
      <c r="M15" s="9"/>
    </row>
    <row r="16" spans="1:13" ht="15.75" customHeight="1">
      <c r="A16" s="59">
        <v>1</v>
      </c>
      <c r="B16" s="64" t="s">
        <v>79</v>
      </c>
      <c r="C16" s="65" t="s">
        <v>83</v>
      </c>
      <c r="D16" s="64" t="s">
        <v>115</v>
      </c>
      <c r="E16" s="66">
        <v>54</v>
      </c>
      <c r="F16" s="67">
        <f>SUM(E16*156/100)</f>
        <v>84.24</v>
      </c>
      <c r="G16" s="67">
        <v>218.21</v>
      </c>
      <c r="H16" s="68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4" t="s">
        <v>113</v>
      </c>
      <c r="C17" s="65" t="s">
        <v>83</v>
      </c>
      <c r="D17" s="64" t="s">
        <v>116</v>
      </c>
      <c r="E17" s="66">
        <v>216</v>
      </c>
      <c r="F17" s="67">
        <f>SUM(E17*104/100)</f>
        <v>224.64</v>
      </c>
      <c r="G17" s="67">
        <v>218.21</v>
      </c>
      <c r="H17" s="68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4" t="s">
        <v>114</v>
      </c>
      <c r="C18" s="65" t="s">
        <v>83</v>
      </c>
      <c r="D18" s="64" t="s">
        <v>117</v>
      </c>
      <c r="E18" s="66">
        <f>SUM(E16+E17)</f>
        <v>270</v>
      </c>
      <c r="F18" s="67">
        <f>SUM(E18*24/100)</f>
        <v>64.8</v>
      </c>
      <c r="G18" s="67">
        <v>627.77</v>
      </c>
      <c r="H18" s="68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/>
      <c r="B19" s="64" t="s">
        <v>84</v>
      </c>
      <c r="C19" s="65" t="s">
        <v>85</v>
      </c>
      <c r="D19" s="64" t="s">
        <v>86</v>
      </c>
      <c r="E19" s="66">
        <v>40</v>
      </c>
      <c r="F19" s="67">
        <f>SUM(E19/10)</f>
        <v>4</v>
      </c>
      <c r="G19" s="67">
        <v>211.74</v>
      </c>
      <c r="H19" s="68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9"/>
      <c r="B20" s="64" t="s">
        <v>87</v>
      </c>
      <c r="C20" s="65" t="s">
        <v>83</v>
      </c>
      <c r="D20" s="64" t="s">
        <v>40</v>
      </c>
      <c r="E20" s="66">
        <v>10.5</v>
      </c>
      <c r="F20" s="67">
        <f>SUM(E20*2/100)</f>
        <v>0.21</v>
      </c>
      <c r="G20" s="67">
        <v>271.12</v>
      </c>
      <c r="H20" s="68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9"/>
      <c r="B21" s="64" t="s">
        <v>88</v>
      </c>
      <c r="C21" s="65" t="s">
        <v>83</v>
      </c>
      <c r="D21" s="64" t="s">
        <v>40</v>
      </c>
      <c r="E21" s="66">
        <v>2.7</v>
      </c>
      <c r="F21" s="67">
        <f>SUM(E21*2/100)</f>
        <v>5.4000000000000006E-2</v>
      </c>
      <c r="G21" s="67">
        <v>268.92</v>
      </c>
      <c r="H21" s="68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9"/>
      <c r="B22" s="64" t="s">
        <v>89</v>
      </c>
      <c r="C22" s="65" t="s">
        <v>50</v>
      </c>
      <c r="D22" s="64" t="s">
        <v>86</v>
      </c>
      <c r="E22" s="66">
        <v>357</v>
      </c>
      <c r="F22" s="67">
        <f t="shared" ref="F22:F25" si="1">SUM(E22/100)</f>
        <v>3.57</v>
      </c>
      <c r="G22" s="67">
        <v>335.05</v>
      </c>
      <c r="H22" s="68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9"/>
      <c r="B23" s="64" t="s">
        <v>90</v>
      </c>
      <c r="C23" s="65" t="s">
        <v>50</v>
      </c>
      <c r="D23" s="64" t="s">
        <v>86</v>
      </c>
      <c r="E23" s="69">
        <v>38.64</v>
      </c>
      <c r="F23" s="67">
        <f t="shared" si="1"/>
        <v>0.38640000000000002</v>
      </c>
      <c r="G23" s="67">
        <v>55.1</v>
      </c>
      <c r="H23" s="68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9"/>
      <c r="B24" s="64" t="s">
        <v>91</v>
      </c>
      <c r="C24" s="65" t="s">
        <v>50</v>
      </c>
      <c r="D24" s="70" t="s">
        <v>86</v>
      </c>
      <c r="E24" s="19">
        <v>15</v>
      </c>
      <c r="F24" s="71">
        <f t="shared" si="1"/>
        <v>0.15</v>
      </c>
      <c r="G24" s="67">
        <v>484.94</v>
      </c>
      <c r="H24" s="68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9"/>
      <c r="B25" s="64" t="s">
        <v>118</v>
      </c>
      <c r="C25" s="65" t="s">
        <v>50</v>
      </c>
      <c r="D25" s="64" t="s">
        <v>86</v>
      </c>
      <c r="E25" s="72">
        <v>6.38</v>
      </c>
      <c r="F25" s="67">
        <f t="shared" si="1"/>
        <v>6.3799999999999996E-2</v>
      </c>
      <c r="G25" s="67">
        <v>648.04999999999995</v>
      </c>
      <c r="H25" s="68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9">
        <v>4</v>
      </c>
      <c r="B26" s="64" t="s">
        <v>62</v>
      </c>
      <c r="C26" s="65" t="s">
        <v>31</v>
      </c>
      <c r="D26" s="64"/>
      <c r="E26" s="66">
        <v>0.1</v>
      </c>
      <c r="F26" s="67">
        <f>SUM(E26*365)</f>
        <v>36.5</v>
      </c>
      <c r="G26" s="67">
        <v>182.96</v>
      </c>
      <c r="H26" s="68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5" t="s">
        <v>23</v>
      </c>
      <c r="C27" s="65" t="s">
        <v>24</v>
      </c>
      <c r="D27" s="64"/>
      <c r="E27" s="66">
        <v>3216.2</v>
      </c>
      <c r="F27" s="67">
        <f>SUM(E27*12)</f>
        <v>38594.399999999994</v>
      </c>
      <c r="G27" s="67">
        <v>4.01</v>
      </c>
      <c r="H27" s="68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5" t="s">
        <v>150</v>
      </c>
      <c r="B28" s="166"/>
      <c r="C28" s="166"/>
      <c r="D28" s="166"/>
      <c r="E28" s="166"/>
      <c r="F28" s="166"/>
      <c r="G28" s="166"/>
      <c r="H28" s="166"/>
      <c r="I28" s="167"/>
      <c r="J28" s="24"/>
      <c r="K28" s="9"/>
      <c r="L28" s="9"/>
      <c r="M28" s="9"/>
    </row>
    <row r="29" spans="1:13" ht="15.75" hidden="1" customHeight="1">
      <c r="A29" s="104"/>
      <c r="B29" s="94" t="s">
        <v>27</v>
      </c>
      <c r="C29" s="105"/>
      <c r="D29" s="105"/>
      <c r="E29" s="105"/>
      <c r="F29" s="105"/>
      <c r="G29" s="105"/>
      <c r="H29" s="105"/>
      <c r="I29" s="105"/>
      <c r="J29" s="24"/>
      <c r="K29" s="9"/>
      <c r="L29" s="9"/>
      <c r="M29" s="9"/>
    </row>
    <row r="30" spans="1:13" ht="15.75" hidden="1" customHeight="1">
      <c r="A30" s="103"/>
      <c r="B30" s="64" t="s">
        <v>92</v>
      </c>
      <c r="C30" s="65" t="s">
        <v>93</v>
      </c>
      <c r="D30" s="64" t="s">
        <v>119</v>
      </c>
      <c r="E30" s="67">
        <v>191.65</v>
      </c>
      <c r="F30" s="67">
        <f>SUM(E30*52/1000)</f>
        <v>9.9658000000000015</v>
      </c>
      <c r="G30" s="67">
        <v>193.97</v>
      </c>
      <c r="H30" s="68">
        <f t="shared" ref="H30:H35" si="2">SUM(F30*G30/1000)</f>
        <v>1.9330662260000004</v>
      </c>
      <c r="I30" s="14">
        <v>0</v>
      </c>
      <c r="J30" s="24"/>
      <c r="K30" s="9"/>
      <c r="L30" s="9"/>
      <c r="M30" s="9"/>
    </row>
    <row r="31" spans="1:13" ht="31.5" hidden="1" customHeight="1">
      <c r="A31" s="59"/>
      <c r="B31" s="64" t="s">
        <v>151</v>
      </c>
      <c r="C31" s="65" t="s">
        <v>93</v>
      </c>
      <c r="D31" s="64" t="s">
        <v>120</v>
      </c>
      <c r="E31" s="67">
        <v>67.650000000000006</v>
      </c>
      <c r="F31" s="67">
        <f>SUM(E31*78/1000)</f>
        <v>5.2767000000000008</v>
      </c>
      <c r="G31" s="67">
        <v>321.82</v>
      </c>
      <c r="H31" s="68">
        <f t="shared" si="2"/>
        <v>1.6981475940000001</v>
      </c>
      <c r="I31" s="14">
        <v>0</v>
      </c>
      <c r="J31" s="24"/>
      <c r="K31" s="9"/>
      <c r="L31" s="9"/>
      <c r="M31" s="9"/>
    </row>
    <row r="32" spans="1:13" ht="15.75" hidden="1" customHeight="1">
      <c r="A32" s="59"/>
      <c r="B32" s="64" t="s">
        <v>26</v>
      </c>
      <c r="C32" s="65" t="s">
        <v>93</v>
      </c>
      <c r="D32" s="64" t="s">
        <v>51</v>
      </c>
      <c r="E32" s="67">
        <v>191.65</v>
      </c>
      <c r="F32" s="67">
        <f>SUM(E32/1000)</f>
        <v>0.19165000000000001</v>
      </c>
      <c r="G32" s="67">
        <v>3758.28</v>
      </c>
      <c r="H32" s="68">
        <f t="shared" si="2"/>
        <v>0.72027436200000006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4" t="s">
        <v>94</v>
      </c>
      <c r="C33" s="65" t="s">
        <v>29</v>
      </c>
      <c r="D33" s="64" t="s">
        <v>61</v>
      </c>
      <c r="E33" s="74">
        <f>1/3</f>
        <v>0.33333333333333331</v>
      </c>
      <c r="F33" s="67">
        <f>155/3</f>
        <v>51.666666666666664</v>
      </c>
      <c r="G33" s="67">
        <v>70.540000000000006</v>
      </c>
      <c r="H33" s="68">
        <f t="shared" si="2"/>
        <v>3.6445666666666665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4" t="s">
        <v>63</v>
      </c>
      <c r="C34" s="65" t="s">
        <v>31</v>
      </c>
      <c r="D34" s="64" t="s">
        <v>64</v>
      </c>
      <c r="E34" s="66"/>
      <c r="F34" s="67">
        <v>3</v>
      </c>
      <c r="G34" s="67">
        <v>238.07</v>
      </c>
      <c r="H34" s="68">
        <f t="shared" si="2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4" t="s">
        <v>137</v>
      </c>
      <c r="C35" s="65" t="s">
        <v>30</v>
      </c>
      <c r="D35" s="64" t="s">
        <v>64</v>
      </c>
      <c r="E35" s="66"/>
      <c r="F35" s="67">
        <v>2</v>
      </c>
      <c r="G35" s="67">
        <v>1413.96</v>
      </c>
      <c r="H35" s="68">
        <f t="shared" si="2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4"/>
      <c r="B36" s="94" t="s">
        <v>5</v>
      </c>
      <c r="C36" s="105"/>
      <c r="D36" s="105"/>
      <c r="E36" s="105"/>
      <c r="F36" s="105"/>
      <c r="G36" s="105"/>
      <c r="H36" s="105"/>
      <c r="I36" s="105"/>
      <c r="J36" s="25"/>
    </row>
    <row r="37" spans="1:14" ht="15.75" customHeight="1">
      <c r="A37" s="103">
        <v>6</v>
      </c>
      <c r="B37" s="64" t="s">
        <v>25</v>
      </c>
      <c r="C37" s="65" t="s">
        <v>30</v>
      </c>
      <c r="D37" s="64"/>
      <c r="E37" s="66"/>
      <c r="F37" s="67">
        <v>3</v>
      </c>
      <c r="G37" s="67">
        <v>1900.37</v>
      </c>
      <c r="H37" s="68">
        <f t="shared" ref="H37:H43" si="3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9">
        <v>7</v>
      </c>
      <c r="B38" s="64" t="s">
        <v>82</v>
      </c>
      <c r="C38" s="65" t="s">
        <v>28</v>
      </c>
      <c r="D38" s="64" t="s">
        <v>95</v>
      </c>
      <c r="E38" s="66">
        <v>67.650000000000006</v>
      </c>
      <c r="F38" s="67">
        <f>E38*30/1000</f>
        <v>2.0295000000000001</v>
      </c>
      <c r="G38" s="67">
        <v>2616.4899999999998</v>
      </c>
      <c r="H38" s="68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9">
        <v>8</v>
      </c>
      <c r="B39" s="64" t="s">
        <v>121</v>
      </c>
      <c r="C39" s="65" t="s">
        <v>28</v>
      </c>
      <c r="D39" s="64" t="s">
        <v>96</v>
      </c>
      <c r="E39" s="66">
        <v>67.650000000000006</v>
      </c>
      <c r="F39" s="67">
        <f>E39*155/1000</f>
        <v>10.485749999999999</v>
      </c>
      <c r="G39" s="67">
        <v>436.45</v>
      </c>
      <c r="H39" s="68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59"/>
      <c r="B40" s="64" t="s">
        <v>122</v>
      </c>
      <c r="C40" s="65" t="s">
        <v>123</v>
      </c>
      <c r="D40" s="64" t="s">
        <v>64</v>
      </c>
      <c r="E40" s="66"/>
      <c r="F40" s="67">
        <v>64</v>
      </c>
      <c r="G40" s="67">
        <v>226.84</v>
      </c>
      <c r="H40" s="68">
        <f>G40*F40/1000</f>
        <v>14.517760000000001</v>
      </c>
      <c r="I40" s="14">
        <v>0</v>
      </c>
      <c r="J40" s="25"/>
    </row>
    <row r="41" spans="1:14" ht="47.25" customHeight="1">
      <c r="A41" s="59">
        <v>9</v>
      </c>
      <c r="B41" s="64" t="s">
        <v>77</v>
      </c>
      <c r="C41" s="65" t="s">
        <v>28</v>
      </c>
      <c r="D41" s="64" t="s">
        <v>124</v>
      </c>
      <c r="E41" s="67">
        <v>67.650000000000006</v>
      </c>
      <c r="F41" s="67">
        <f>SUM(E41*35/1000)</f>
        <v>2.36775</v>
      </c>
      <c r="G41" s="67">
        <v>7221.21</v>
      </c>
      <c r="H41" s="68">
        <f t="shared" si="3"/>
        <v>17.098019977500002</v>
      </c>
      <c r="I41" s="14">
        <f>F41/6*G41</f>
        <v>2849.6699962500002</v>
      </c>
      <c r="J41" s="25"/>
    </row>
    <row r="42" spans="1:14" ht="15.75" customHeight="1">
      <c r="A42" s="59">
        <v>10</v>
      </c>
      <c r="B42" s="64" t="s">
        <v>97</v>
      </c>
      <c r="C42" s="65" t="s">
        <v>93</v>
      </c>
      <c r="D42" s="64" t="s">
        <v>125</v>
      </c>
      <c r="E42" s="67">
        <v>67.650000000000006</v>
      </c>
      <c r="F42" s="67">
        <f>SUM(E42*20/1000)</f>
        <v>1.353</v>
      </c>
      <c r="G42" s="67">
        <v>533.45000000000005</v>
      </c>
      <c r="H42" s="68">
        <f t="shared" si="3"/>
        <v>0.72175785000000003</v>
      </c>
      <c r="I42" s="14">
        <f>F42/7.5*G42</f>
        <v>96.234380000000016</v>
      </c>
      <c r="J42" s="25"/>
    </row>
    <row r="43" spans="1:14" ht="15.75" customHeight="1">
      <c r="A43" s="59">
        <v>11</v>
      </c>
      <c r="B43" s="64" t="s">
        <v>65</v>
      </c>
      <c r="C43" s="65" t="s">
        <v>31</v>
      </c>
      <c r="D43" s="64"/>
      <c r="E43" s="66"/>
      <c r="F43" s="67">
        <v>0.8</v>
      </c>
      <c r="G43" s="67">
        <v>992.97</v>
      </c>
      <c r="H43" s="68">
        <f t="shared" si="3"/>
        <v>0.79437600000000008</v>
      </c>
      <c r="I43" s="14">
        <f>F43/7.5*G43</f>
        <v>105.91680000000001</v>
      </c>
      <c r="J43" s="25"/>
    </row>
    <row r="44" spans="1:14" ht="15.75" customHeight="1">
      <c r="A44" s="162" t="s">
        <v>141</v>
      </c>
      <c r="B44" s="163"/>
      <c r="C44" s="163"/>
      <c r="D44" s="163"/>
      <c r="E44" s="163"/>
      <c r="F44" s="163"/>
      <c r="G44" s="163"/>
      <c r="H44" s="163"/>
      <c r="I44" s="164"/>
      <c r="J44" s="25"/>
      <c r="L44" s="20"/>
      <c r="M44" s="21"/>
      <c r="N44" s="22"/>
    </row>
    <row r="45" spans="1:14" ht="15.75" hidden="1" customHeight="1">
      <c r="A45" s="59"/>
      <c r="B45" s="64" t="s">
        <v>98</v>
      </c>
      <c r="C45" s="65" t="s">
        <v>93</v>
      </c>
      <c r="D45" s="64" t="s">
        <v>40</v>
      </c>
      <c r="E45" s="66">
        <v>1114.75</v>
      </c>
      <c r="F45" s="67">
        <f>SUM(E45*2/1000)</f>
        <v>2.2294999999999998</v>
      </c>
      <c r="G45" s="14">
        <v>1283.46</v>
      </c>
      <c r="H45" s="68">
        <f t="shared" ref="H45:H53" si="4">SUM(F45*G45/1000)</f>
        <v>2.8614740699999999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9"/>
      <c r="B46" s="64" t="s">
        <v>34</v>
      </c>
      <c r="C46" s="65" t="s">
        <v>93</v>
      </c>
      <c r="D46" s="64" t="s">
        <v>40</v>
      </c>
      <c r="E46" s="66">
        <v>1563.3</v>
      </c>
      <c r="F46" s="67">
        <f>SUM(E46*2/1000)</f>
        <v>3.1265999999999998</v>
      </c>
      <c r="G46" s="14">
        <v>1711.28</v>
      </c>
      <c r="H46" s="68">
        <f t="shared" si="4"/>
        <v>5.350488047999999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9"/>
      <c r="B47" s="64" t="s">
        <v>35</v>
      </c>
      <c r="C47" s="65" t="s">
        <v>93</v>
      </c>
      <c r="D47" s="64" t="s">
        <v>40</v>
      </c>
      <c r="E47" s="66">
        <v>1619.6</v>
      </c>
      <c r="F47" s="67">
        <f>SUM(E47*2/1000)</f>
        <v>3.2391999999999999</v>
      </c>
      <c r="G47" s="14">
        <v>1179.73</v>
      </c>
      <c r="H47" s="68">
        <f t="shared" si="4"/>
        <v>3.8213814159999999</v>
      </c>
      <c r="I47" s="14">
        <v>0</v>
      </c>
      <c r="J47" s="25"/>
      <c r="L47" s="20"/>
      <c r="M47" s="21"/>
      <c r="N47" s="22"/>
    </row>
    <row r="48" spans="1:14" ht="15.75" hidden="1" customHeight="1">
      <c r="A48" s="59"/>
      <c r="B48" s="64" t="s">
        <v>32</v>
      </c>
      <c r="C48" s="65" t="s">
        <v>33</v>
      </c>
      <c r="D48" s="64" t="s">
        <v>40</v>
      </c>
      <c r="E48" s="66">
        <v>85.84</v>
      </c>
      <c r="F48" s="67">
        <f>SUM(E48*2/100)</f>
        <v>1.7168000000000001</v>
      </c>
      <c r="G48" s="14">
        <v>90.61</v>
      </c>
      <c r="H48" s="68">
        <f t="shared" si="4"/>
        <v>0.15555924799999998</v>
      </c>
      <c r="I48" s="14">
        <v>0</v>
      </c>
      <c r="J48" s="25"/>
      <c r="L48" s="20"/>
      <c r="M48" s="21"/>
      <c r="N48" s="22"/>
    </row>
    <row r="49" spans="1:14" ht="15.75" customHeight="1">
      <c r="A49" s="59">
        <v>12</v>
      </c>
      <c r="B49" s="64" t="s">
        <v>54</v>
      </c>
      <c r="C49" s="65" t="s">
        <v>93</v>
      </c>
      <c r="D49" s="64" t="s">
        <v>152</v>
      </c>
      <c r="E49" s="66">
        <v>3216.2</v>
      </c>
      <c r="F49" s="67">
        <f>SUM(E49*5/1000)</f>
        <v>16.081</v>
      </c>
      <c r="G49" s="14">
        <v>1711.28</v>
      </c>
      <c r="H49" s="68">
        <f t="shared" si="4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4" t="s">
        <v>99</v>
      </c>
      <c r="C50" s="65" t="s">
        <v>93</v>
      </c>
      <c r="D50" s="64" t="s">
        <v>40</v>
      </c>
      <c r="E50" s="66">
        <v>3216.2</v>
      </c>
      <c r="F50" s="67">
        <f>SUM(E50*2/1000)</f>
        <v>6.4323999999999995</v>
      </c>
      <c r="G50" s="14">
        <v>1510.06</v>
      </c>
      <c r="H50" s="68">
        <f t="shared" si="4"/>
        <v>9.7133099439999988</v>
      </c>
      <c r="I50" s="14">
        <v>0</v>
      </c>
      <c r="J50" s="25"/>
      <c r="L50" s="20"/>
      <c r="M50" s="21"/>
      <c r="N50" s="22"/>
    </row>
    <row r="51" spans="1:14" ht="31.5" hidden="1" customHeight="1">
      <c r="A51" s="59"/>
      <c r="B51" s="64" t="s">
        <v>100</v>
      </c>
      <c r="C51" s="65" t="s">
        <v>36</v>
      </c>
      <c r="D51" s="64" t="s">
        <v>40</v>
      </c>
      <c r="E51" s="66">
        <v>16</v>
      </c>
      <c r="F51" s="67">
        <f>SUM(E51*2/100)</f>
        <v>0.32</v>
      </c>
      <c r="G51" s="14">
        <v>3850.4</v>
      </c>
      <c r="H51" s="68">
        <f t="shared" si="4"/>
        <v>1.2321280000000001</v>
      </c>
      <c r="I51" s="14">
        <v>0</v>
      </c>
      <c r="J51" s="25"/>
      <c r="L51" s="20"/>
      <c r="M51" s="21"/>
      <c r="N51" s="22"/>
    </row>
    <row r="52" spans="1:14" ht="15.75" hidden="1" customHeight="1">
      <c r="A52" s="59"/>
      <c r="B52" s="64" t="s">
        <v>37</v>
      </c>
      <c r="C52" s="65" t="s">
        <v>38</v>
      </c>
      <c r="D52" s="64" t="s">
        <v>40</v>
      </c>
      <c r="E52" s="66">
        <v>1</v>
      </c>
      <c r="F52" s="67">
        <v>0.02</v>
      </c>
      <c r="G52" s="14">
        <v>7033.13</v>
      </c>
      <c r="H52" s="68">
        <f t="shared" si="4"/>
        <v>0.1406626</v>
      </c>
      <c r="I52" s="14">
        <v>0</v>
      </c>
      <c r="J52" s="25"/>
      <c r="L52" s="20"/>
      <c r="M52" s="21"/>
      <c r="N52" s="22"/>
    </row>
    <row r="53" spans="1:14" ht="15.75" hidden="1" customHeight="1">
      <c r="A53" s="59">
        <v>13</v>
      </c>
      <c r="B53" s="64" t="s">
        <v>39</v>
      </c>
      <c r="C53" s="65" t="s">
        <v>101</v>
      </c>
      <c r="D53" s="64" t="s">
        <v>66</v>
      </c>
      <c r="E53" s="66">
        <v>128</v>
      </c>
      <c r="F53" s="67">
        <f>SUM(E53)*3</f>
        <v>384</v>
      </c>
      <c r="G53" s="14">
        <v>81.73</v>
      </c>
      <c r="H53" s="68">
        <f t="shared" si="4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2" t="s">
        <v>140</v>
      </c>
      <c r="B54" s="172"/>
      <c r="C54" s="172"/>
      <c r="D54" s="172"/>
      <c r="E54" s="172"/>
      <c r="F54" s="172"/>
      <c r="G54" s="172"/>
      <c r="H54" s="172"/>
      <c r="I54" s="173"/>
      <c r="J54" s="25"/>
      <c r="L54" s="20"/>
      <c r="M54" s="21"/>
      <c r="N54" s="22"/>
    </row>
    <row r="55" spans="1:14" ht="15.75" customHeight="1">
      <c r="A55" s="59"/>
      <c r="B55" s="88" t="s">
        <v>41</v>
      </c>
      <c r="C55" s="65"/>
      <c r="D55" s="64"/>
      <c r="E55" s="66"/>
      <c r="F55" s="67"/>
      <c r="G55" s="67"/>
      <c r="H55" s="68"/>
      <c r="I55" s="14"/>
      <c r="J55" s="25"/>
      <c r="L55" s="20"/>
      <c r="M55" s="21"/>
      <c r="N55" s="22"/>
    </row>
    <row r="56" spans="1:14" ht="31.5" customHeight="1">
      <c r="A56" s="59">
        <v>13</v>
      </c>
      <c r="B56" s="64" t="s">
        <v>126</v>
      </c>
      <c r="C56" s="65" t="s">
        <v>83</v>
      </c>
      <c r="D56" s="64" t="s">
        <v>127</v>
      </c>
      <c r="E56" s="66">
        <v>123.31</v>
      </c>
      <c r="F56" s="67">
        <f>SUM(E56*6/100)</f>
        <v>7.3986000000000001</v>
      </c>
      <c r="G56" s="14">
        <v>2306.62</v>
      </c>
      <c r="H56" s="68">
        <f>SUM(F56*G56/1000)</f>
        <v>17.065758731999999</v>
      </c>
      <c r="I56" s="14">
        <f>G56*0.68</f>
        <v>1568.5016000000001</v>
      </c>
      <c r="J56" s="25"/>
      <c r="L56" s="20"/>
      <c r="M56" s="21"/>
      <c r="N56" s="22"/>
    </row>
    <row r="57" spans="1:14" ht="15.75" customHeight="1">
      <c r="A57" s="60">
        <v>14</v>
      </c>
      <c r="B57" s="77" t="s">
        <v>128</v>
      </c>
      <c r="C57" s="76" t="s">
        <v>129</v>
      </c>
      <c r="D57" s="77" t="s">
        <v>64</v>
      </c>
      <c r="E57" s="78"/>
      <c r="F57" s="79">
        <v>3</v>
      </c>
      <c r="G57" s="14">
        <v>1501</v>
      </c>
      <c r="H57" s="68">
        <f>SUM(F57*G57/1000)</f>
        <v>4.5030000000000001</v>
      </c>
      <c r="I57" s="14">
        <f>G57*(1.5+1+1.5)</f>
        <v>6004</v>
      </c>
      <c r="J57" s="25"/>
      <c r="L57" s="20"/>
      <c r="M57" s="21"/>
      <c r="N57" s="22"/>
    </row>
    <row r="58" spans="1:14" ht="15.75" hidden="1" customHeight="1">
      <c r="A58" s="60"/>
      <c r="B58" s="89" t="s">
        <v>42</v>
      </c>
      <c r="C58" s="76"/>
      <c r="D58" s="77"/>
      <c r="E58" s="78"/>
      <c r="F58" s="79"/>
      <c r="G58" s="14"/>
      <c r="H58" s="80"/>
      <c r="I58" s="14"/>
      <c r="J58" s="25"/>
      <c r="L58" s="20"/>
      <c r="M58" s="21"/>
      <c r="N58" s="22"/>
    </row>
    <row r="59" spans="1:14" ht="15.75" hidden="1" customHeight="1">
      <c r="A59" s="60"/>
      <c r="B59" s="77" t="s">
        <v>139</v>
      </c>
      <c r="C59" s="76" t="s">
        <v>50</v>
      </c>
      <c r="D59" s="77" t="s">
        <v>51</v>
      </c>
      <c r="E59" s="78">
        <v>451</v>
      </c>
      <c r="F59" s="79">
        <v>8.9</v>
      </c>
      <c r="G59" s="14">
        <v>987.51</v>
      </c>
      <c r="H59" s="80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89" t="s">
        <v>43</v>
      </c>
      <c r="C60" s="76"/>
      <c r="D60" s="77"/>
      <c r="E60" s="108"/>
      <c r="F60" s="67"/>
      <c r="G60" s="111"/>
      <c r="H60" s="79" t="s">
        <v>138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44</v>
      </c>
      <c r="C61" s="17" t="s">
        <v>101</v>
      </c>
      <c r="D61" s="15" t="s">
        <v>64</v>
      </c>
      <c r="E61" s="109">
        <v>10</v>
      </c>
      <c r="F61" s="67">
        <f>E61</f>
        <v>10</v>
      </c>
      <c r="G61" s="112">
        <v>276.74</v>
      </c>
      <c r="H61" s="63">
        <f t="shared" ref="H61:H69" si="5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45</v>
      </c>
      <c r="C62" s="17" t="s">
        <v>101</v>
      </c>
      <c r="D62" s="15" t="s">
        <v>64</v>
      </c>
      <c r="E62" s="109">
        <v>10</v>
      </c>
      <c r="F62" s="67">
        <f>E62</f>
        <v>10</v>
      </c>
      <c r="G62" s="112">
        <v>94.89</v>
      </c>
      <c r="H62" s="63">
        <f t="shared" si="5"/>
        <v>0.94889999999999997</v>
      </c>
      <c r="I62" s="14">
        <v>0</v>
      </c>
      <c r="J62" s="25"/>
      <c r="L62" s="20"/>
    </row>
    <row r="63" spans="1:14" ht="15.75" hidden="1" customHeight="1">
      <c r="A63" s="17"/>
      <c r="B63" s="15" t="s">
        <v>46</v>
      </c>
      <c r="C63" s="17" t="s">
        <v>102</v>
      </c>
      <c r="D63" s="15" t="s">
        <v>51</v>
      </c>
      <c r="E63" s="110">
        <v>13447</v>
      </c>
      <c r="F63" s="67">
        <f>SUM(E63/100)</f>
        <v>134.47</v>
      </c>
      <c r="G63" s="112">
        <v>263.99</v>
      </c>
      <c r="H63" s="63">
        <f t="shared" si="5"/>
        <v>35.4987353</v>
      </c>
      <c r="I63" s="14">
        <v>0</v>
      </c>
      <c r="J63" s="25"/>
      <c r="L63" s="20"/>
    </row>
    <row r="64" spans="1:14" ht="15.75" hidden="1" customHeight="1">
      <c r="A64" s="17"/>
      <c r="B64" s="15" t="s">
        <v>47</v>
      </c>
      <c r="C64" s="17" t="s">
        <v>103</v>
      </c>
      <c r="D64" s="15"/>
      <c r="E64" s="110">
        <v>13447</v>
      </c>
      <c r="F64" s="67">
        <f>SUM(E64/1000)</f>
        <v>13.446999999999999</v>
      </c>
      <c r="G64" s="112">
        <v>205.57</v>
      </c>
      <c r="H64" s="63">
        <f t="shared" si="5"/>
        <v>2.7642997899999995</v>
      </c>
      <c r="I64" s="14">
        <v>0</v>
      </c>
    </row>
    <row r="65" spans="1:22" ht="15.75" hidden="1" customHeight="1">
      <c r="A65" s="17"/>
      <c r="B65" s="15" t="s">
        <v>48</v>
      </c>
      <c r="C65" s="17" t="s">
        <v>72</v>
      </c>
      <c r="D65" s="15" t="s">
        <v>51</v>
      </c>
      <c r="E65" s="110">
        <v>2200</v>
      </c>
      <c r="F65" s="67">
        <f>SUM(E65/100)</f>
        <v>22</v>
      </c>
      <c r="G65" s="112">
        <v>2581.5300000000002</v>
      </c>
      <c r="H65" s="63">
        <f t="shared" si="5"/>
        <v>56.793660000000003</v>
      </c>
      <c r="I65" s="14">
        <v>0</v>
      </c>
    </row>
    <row r="66" spans="1:22" ht="15.75" hidden="1" customHeight="1">
      <c r="A66" s="17"/>
      <c r="B66" s="81" t="s">
        <v>104</v>
      </c>
      <c r="C66" s="17" t="s">
        <v>31</v>
      </c>
      <c r="D66" s="15"/>
      <c r="E66" s="110">
        <v>12.1</v>
      </c>
      <c r="F66" s="67">
        <f>SUM(E66)</f>
        <v>12.1</v>
      </c>
      <c r="G66" s="112">
        <v>47.45</v>
      </c>
      <c r="H66" s="63">
        <f t="shared" si="5"/>
        <v>0.57414500000000002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06"/>
      <c r="B67" s="81" t="s">
        <v>105</v>
      </c>
      <c r="C67" s="17" t="s">
        <v>31</v>
      </c>
      <c r="D67" s="15"/>
      <c r="E67" s="110">
        <v>12.1</v>
      </c>
      <c r="F67" s="67">
        <f>SUM(E67)</f>
        <v>12.1</v>
      </c>
      <c r="G67" s="112">
        <v>44.27</v>
      </c>
      <c r="H67" s="63">
        <f t="shared" si="5"/>
        <v>0.535667</v>
      </c>
      <c r="I67" s="14">
        <v>0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55</v>
      </c>
      <c r="C68" s="17" t="s">
        <v>56</v>
      </c>
      <c r="D68" s="15" t="s">
        <v>51</v>
      </c>
      <c r="E68" s="109">
        <v>4</v>
      </c>
      <c r="F68" s="67">
        <v>4</v>
      </c>
      <c r="G68" s="112">
        <v>62.07</v>
      </c>
      <c r="H68" s="63">
        <f t="shared" si="5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15</v>
      </c>
      <c r="B69" s="15" t="s">
        <v>130</v>
      </c>
      <c r="C69" s="31" t="s">
        <v>131</v>
      </c>
      <c r="D69" s="15"/>
      <c r="E69" s="109">
        <v>3216.2</v>
      </c>
      <c r="F69" s="113">
        <v>38594.400000000001</v>
      </c>
      <c r="G69" s="112">
        <v>2.16</v>
      </c>
      <c r="H69" s="63">
        <f t="shared" si="5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6"/>
      <c r="B70" s="94" t="s">
        <v>67</v>
      </c>
      <c r="C70" s="17"/>
      <c r="D70" s="15"/>
      <c r="E70" s="19"/>
      <c r="F70" s="14"/>
      <c r="G70" s="14"/>
      <c r="H70" s="63" t="s">
        <v>138</v>
      </c>
      <c r="I70" s="14"/>
      <c r="J70" s="6"/>
      <c r="K70" s="6"/>
      <c r="L70" s="6"/>
      <c r="M70" s="6"/>
      <c r="N70" s="6"/>
      <c r="O70" s="6"/>
      <c r="P70" s="6"/>
      <c r="Q70" s="6"/>
      <c r="R70" s="152"/>
      <c r="S70" s="152"/>
      <c r="T70" s="152"/>
      <c r="U70" s="152"/>
    </row>
    <row r="71" spans="1:22" ht="15.75" hidden="1" customHeight="1">
      <c r="A71" s="17"/>
      <c r="B71" s="15" t="s">
        <v>132</v>
      </c>
      <c r="C71" s="17" t="s">
        <v>133</v>
      </c>
      <c r="D71" s="15" t="s">
        <v>64</v>
      </c>
      <c r="E71" s="19">
        <v>2</v>
      </c>
      <c r="F71" s="14">
        <f>E71</f>
        <v>2</v>
      </c>
      <c r="G71" s="14">
        <v>976.4</v>
      </c>
      <c r="H71" s="63">
        <f t="shared" ref="H71:H75" si="6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108</v>
      </c>
      <c r="C72" s="17" t="s">
        <v>134</v>
      </c>
      <c r="D72" s="15" t="s">
        <v>64</v>
      </c>
      <c r="E72" s="19">
        <v>1</v>
      </c>
      <c r="F72" s="14">
        <v>1</v>
      </c>
      <c r="G72" s="14">
        <v>735</v>
      </c>
      <c r="H72" s="63">
        <f t="shared" si="6"/>
        <v>0.73499999999999999</v>
      </c>
      <c r="I72" s="14">
        <v>0</v>
      </c>
    </row>
    <row r="73" spans="1:22" ht="15.75" hidden="1" customHeight="1">
      <c r="A73" s="17"/>
      <c r="B73" s="15" t="s">
        <v>68</v>
      </c>
      <c r="C73" s="17" t="s">
        <v>70</v>
      </c>
      <c r="D73" s="15" t="s">
        <v>64</v>
      </c>
      <c r="E73" s="19">
        <v>4</v>
      </c>
      <c r="F73" s="14">
        <f>E73/10</f>
        <v>0.4</v>
      </c>
      <c r="G73" s="14">
        <v>624.16999999999996</v>
      </c>
      <c r="H73" s="63">
        <f t="shared" si="6"/>
        <v>0.249668</v>
      </c>
      <c r="I73" s="14">
        <v>0</v>
      </c>
    </row>
    <row r="74" spans="1:22" ht="15.75" hidden="1" customHeight="1">
      <c r="A74" s="17"/>
      <c r="B74" s="15" t="s">
        <v>69</v>
      </c>
      <c r="C74" s="17" t="s">
        <v>29</v>
      </c>
      <c r="D74" s="15" t="s">
        <v>64</v>
      </c>
      <c r="E74" s="19">
        <v>1</v>
      </c>
      <c r="F74" s="55">
        <v>1</v>
      </c>
      <c r="G74" s="14">
        <v>1061.4100000000001</v>
      </c>
      <c r="H74" s="63">
        <f t="shared" si="6"/>
        <v>1.0614100000000002</v>
      </c>
      <c r="I74" s="14">
        <v>0</v>
      </c>
    </row>
    <row r="75" spans="1:22" ht="15.75" hidden="1" customHeight="1">
      <c r="A75" s="17"/>
      <c r="B75" s="15" t="s">
        <v>135</v>
      </c>
      <c r="C75" s="17" t="s">
        <v>133</v>
      </c>
      <c r="D75" s="15" t="s">
        <v>64</v>
      </c>
      <c r="E75" s="19">
        <v>1</v>
      </c>
      <c r="F75" s="14">
        <f>E75</f>
        <v>1</v>
      </c>
      <c r="G75" s="14">
        <v>976.1</v>
      </c>
      <c r="H75" s="63">
        <f t="shared" si="6"/>
        <v>0.97609999999999997</v>
      </c>
      <c r="I75" s="14">
        <v>0</v>
      </c>
    </row>
    <row r="76" spans="1:22" ht="15.75" hidden="1" customHeight="1">
      <c r="A76" s="106"/>
      <c r="B76" s="107" t="s">
        <v>71</v>
      </c>
      <c r="C76" s="17"/>
      <c r="D76" s="15"/>
      <c r="E76" s="19"/>
      <c r="F76" s="14"/>
      <c r="G76" s="14" t="s">
        <v>138</v>
      </c>
      <c r="H76" s="63" t="s">
        <v>138</v>
      </c>
      <c r="I76" s="14"/>
    </row>
    <row r="77" spans="1:22" ht="15.75" hidden="1" customHeight="1">
      <c r="A77" s="17"/>
      <c r="B77" s="43" t="s">
        <v>109</v>
      </c>
      <c r="C77" s="17" t="s">
        <v>72</v>
      </c>
      <c r="D77" s="15"/>
      <c r="E77" s="19"/>
      <c r="F77" s="14">
        <v>0.1</v>
      </c>
      <c r="G77" s="14">
        <v>3433.68</v>
      </c>
      <c r="H77" s="63">
        <f t="shared" ref="H77" si="7">SUM(F77*G77/1000)</f>
        <v>0.34336800000000001</v>
      </c>
      <c r="I77" s="14">
        <v>0</v>
      </c>
    </row>
    <row r="78" spans="1:22" ht="15.75" hidden="1" customHeight="1">
      <c r="A78" s="106"/>
      <c r="B78" s="96" t="s">
        <v>106</v>
      </c>
      <c r="C78" s="83"/>
      <c r="D78" s="33"/>
      <c r="E78" s="34"/>
      <c r="F78" s="73"/>
      <c r="G78" s="73"/>
      <c r="H78" s="84">
        <f>SUM(H56:H77)</f>
        <v>219.17093482199999</v>
      </c>
      <c r="I78" s="73"/>
    </row>
    <row r="79" spans="1:22" ht="15.75" hidden="1" customHeight="1">
      <c r="A79" s="17"/>
      <c r="B79" s="64" t="s">
        <v>107</v>
      </c>
      <c r="C79" s="17"/>
      <c r="D79" s="15"/>
      <c r="E79" s="85"/>
      <c r="F79" s="14">
        <v>1</v>
      </c>
      <c r="G79" s="14">
        <v>14133</v>
      </c>
      <c r="H79" s="63">
        <f>G79*F79/1000</f>
        <v>14.132999999999999</v>
      </c>
      <c r="I79" s="14">
        <v>0</v>
      </c>
    </row>
    <row r="80" spans="1:22" ht="15.75" customHeight="1">
      <c r="A80" s="162" t="s">
        <v>142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17">
        <v>16</v>
      </c>
      <c r="B81" s="64" t="s">
        <v>111</v>
      </c>
      <c r="C81" s="17" t="s">
        <v>52</v>
      </c>
      <c r="D81" s="86" t="s">
        <v>53</v>
      </c>
      <c r="E81" s="14">
        <v>3216.2</v>
      </c>
      <c r="F81" s="14">
        <f>SUM(E81*12)</f>
        <v>38594.399999999994</v>
      </c>
      <c r="G81" s="14">
        <v>2.95</v>
      </c>
      <c r="H81" s="63">
        <f>SUM(F81*G81/1000)</f>
        <v>113.85347999999999</v>
      </c>
      <c r="I81" s="14">
        <f>F81/12*G81</f>
        <v>9487.7899999999991</v>
      </c>
    </row>
    <row r="82" spans="1:9" ht="31.5" customHeight="1">
      <c r="A82" s="87">
        <v>17</v>
      </c>
      <c r="B82" s="15" t="s">
        <v>73</v>
      </c>
      <c r="C82" s="17"/>
      <c r="D82" s="86" t="s">
        <v>53</v>
      </c>
      <c r="E82" s="66">
        <v>3216.2</v>
      </c>
      <c r="F82" s="14">
        <f>E82*12</f>
        <v>38594.399999999994</v>
      </c>
      <c r="G82" s="14">
        <v>3.05</v>
      </c>
      <c r="H82" s="63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75</v>
      </c>
      <c r="C83" s="83"/>
      <c r="D83" s="82"/>
      <c r="E83" s="73"/>
      <c r="F83" s="73"/>
      <c r="G83" s="73"/>
      <c r="H83" s="84">
        <f>H82</f>
        <v>117.71291999999997</v>
      </c>
      <c r="I83" s="73">
        <f>I16+I17+I18+I26+I27+I37+I38+I39+I41+I42+I43+I49+I56+I57+I69+I81+I82</f>
        <v>67430.445919333331</v>
      </c>
    </row>
    <row r="84" spans="1:9" ht="15.75" customHeight="1">
      <c r="A84" s="168" t="s">
        <v>58</v>
      </c>
      <c r="B84" s="169"/>
      <c r="C84" s="169"/>
      <c r="D84" s="169"/>
      <c r="E84" s="169"/>
      <c r="F84" s="169"/>
      <c r="G84" s="169"/>
      <c r="H84" s="169"/>
      <c r="I84" s="170"/>
    </row>
    <row r="85" spans="1:9" ht="15.75" customHeight="1">
      <c r="A85" s="114">
        <v>18</v>
      </c>
      <c r="B85" s="133" t="s">
        <v>167</v>
      </c>
      <c r="C85" s="134" t="s">
        <v>168</v>
      </c>
      <c r="D85" s="133"/>
      <c r="E85" s="135"/>
      <c r="F85" s="131">
        <v>200</v>
      </c>
      <c r="G85" s="126">
        <v>1.2</v>
      </c>
      <c r="H85" s="126">
        <f>F85*G85/1000</f>
        <v>0.24</v>
      </c>
      <c r="I85" s="19">
        <f>G85*100</f>
        <v>120</v>
      </c>
    </row>
    <row r="86" spans="1:9" ht="15.75" customHeight="1">
      <c r="A86" s="62">
        <v>19</v>
      </c>
      <c r="B86" s="123" t="s">
        <v>170</v>
      </c>
      <c r="C86" s="124" t="s">
        <v>171</v>
      </c>
      <c r="D86" s="125"/>
      <c r="E86" s="18"/>
      <c r="F86" s="127">
        <v>15</v>
      </c>
      <c r="G86" s="126">
        <v>134.12</v>
      </c>
      <c r="H86" s="126">
        <f>G86*F86/1000</f>
        <v>2.0118</v>
      </c>
      <c r="I86" s="19">
        <f>G86*15</f>
        <v>2011.8000000000002</v>
      </c>
    </row>
    <row r="87" spans="1:9" ht="31.5" customHeight="1">
      <c r="A87" s="62">
        <v>20</v>
      </c>
      <c r="B87" s="46" t="s">
        <v>155</v>
      </c>
      <c r="C87" s="47" t="s">
        <v>36</v>
      </c>
      <c r="D87" s="125"/>
      <c r="E87" s="18"/>
      <c r="F87" s="127">
        <v>0.02</v>
      </c>
      <c r="G87" s="126">
        <v>3724.37</v>
      </c>
      <c r="H87" s="126">
        <f>G87*F87/1000</f>
        <v>7.4487399999999995E-2</v>
      </c>
      <c r="I87" s="19">
        <f>G87*0.02</f>
        <v>74.487399999999994</v>
      </c>
    </row>
    <row r="88" spans="1:9" ht="31.5" customHeight="1">
      <c r="A88" s="47">
        <v>21</v>
      </c>
      <c r="B88" s="46" t="s">
        <v>154</v>
      </c>
      <c r="C88" s="47" t="s">
        <v>101</v>
      </c>
      <c r="D88" s="125"/>
      <c r="E88" s="18"/>
      <c r="F88" s="127">
        <v>2</v>
      </c>
      <c r="G88" s="126">
        <v>86.69</v>
      </c>
      <c r="H88" s="126">
        <f>G88*F88/1000</f>
        <v>0.17338000000000001</v>
      </c>
      <c r="I88" s="14">
        <f>G88*2</f>
        <v>173.38</v>
      </c>
    </row>
    <row r="89" spans="1:9" ht="15.75" customHeight="1">
      <c r="A89" s="47">
        <v>22</v>
      </c>
      <c r="B89" s="136" t="s">
        <v>172</v>
      </c>
      <c r="C89" s="137" t="s">
        <v>173</v>
      </c>
      <c r="D89" s="125"/>
      <c r="E89" s="18"/>
      <c r="F89" s="127">
        <v>0.5</v>
      </c>
      <c r="G89" s="126">
        <v>1794</v>
      </c>
      <c r="H89" s="126">
        <f t="shared" ref="H89" si="8">G89*F89/1000</f>
        <v>0.89700000000000002</v>
      </c>
      <c r="I89" s="14">
        <f>G89*0.5</f>
        <v>897</v>
      </c>
    </row>
    <row r="90" spans="1:9" ht="15.75" customHeight="1">
      <c r="A90" s="31"/>
      <c r="B90" s="41" t="s">
        <v>49</v>
      </c>
      <c r="C90" s="37"/>
      <c r="D90" s="44"/>
      <c r="E90" s="37">
        <v>1</v>
      </c>
      <c r="F90" s="37"/>
      <c r="G90" s="37"/>
      <c r="H90" s="37"/>
      <c r="I90" s="34">
        <f>SUM(I85:I89)</f>
        <v>3276.6674000000003</v>
      </c>
    </row>
    <row r="91" spans="1:9" ht="15.75" customHeight="1">
      <c r="A91" s="31"/>
      <c r="B91" s="43" t="s">
        <v>74</v>
      </c>
      <c r="C91" s="16"/>
      <c r="D91" s="16"/>
      <c r="E91" s="38"/>
      <c r="F91" s="38"/>
      <c r="G91" s="39"/>
      <c r="H91" s="39"/>
      <c r="I91" s="18">
        <v>0</v>
      </c>
    </row>
    <row r="92" spans="1:9" ht="15.75" customHeight="1">
      <c r="A92" s="45"/>
      <c r="B92" s="42" t="s">
        <v>153</v>
      </c>
      <c r="C92" s="35"/>
      <c r="D92" s="35"/>
      <c r="E92" s="35"/>
      <c r="F92" s="35"/>
      <c r="G92" s="35"/>
      <c r="H92" s="35"/>
      <c r="I92" s="40">
        <f>I83+I90</f>
        <v>70707.113319333337</v>
      </c>
    </row>
    <row r="93" spans="1:9" ht="15.75" customHeight="1">
      <c r="A93" s="153" t="s">
        <v>224</v>
      </c>
      <c r="B93" s="153"/>
      <c r="C93" s="153"/>
      <c r="D93" s="153"/>
      <c r="E93" s="153"/>
      <c r="F93" s="153"/>
      <c r="G93" s="153"/>
      <c r="H93" s="153"/>
      <c r="I93" s="153"/>
    </row>
    <row r="94" spans="1:9" ht="15.75" customHeight="1">
      <c r="A94" s="54"/>
      <c r="B94" s="178" t="s">
        <v>225</v>
      </c>
      <c r="C94" s="178"/>
      <c r="D94" s="178"/>
      <c r="E94" s="178"/>
      <c r="F94" s="178"/>
      <c r="G94" s="178"/>
      <c r="H94" s="58"/>
      <c r="I94" s="4"/>
    </row>
    <row r="95" spans="1:9" ht="15.75" customHeight="1">
      <c r="A95" s="92"/>
      <c r="B95" s="175" t="s">
        <v>6</v>
      </c>
      <c r="C95" s="175"/>
      <c r="D95" s="175"/>
      <c r="E95" s="175"/>
      <c r="F95" s="175"/>
      <c r="G95" s="175"/>
      <c r="H95" s="26"/>
      <c r="I95" s="6"/>
    </row>
    <row r="96" spans="1:9" ht="15.75" customHeight="1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5.75" customHeight="1">
      <c r="A97" s="179" t="s">
        <v>7</v>
      </c>
      <c r="B97" s="179"/>
      <c r="C97" s="179"/>
      <c r="D97" s="179"/>
      <c r="E97" s="179"/>
      <c r="F97" s="179"/>
      <c r="G97" s="179"/>
      <c r="H97" s="179"/>
      <c r="I97" s="179"/>
    </row>
    <row r="98" spans="1:9" ht="15.75" customHeight="1">
      <c r="A98" s="179" t="s">
        <v>8</v>
      </c>
      <c r="B98" s="179"/>
      <c r="C98" s="179"/>
      <c r="D98" s="179"/>
      <c r="E98" s="179"/>
      <c r="F98" s="179"/>
      <c r="G98" s="179"/>
      <c r="H98" s="179"/>
      <c r="I98" s="179"/>
    </row>
    <row r="99" spans="1:9" ht="15.75" customHeight="1">
      <c r="A99" s="180" t="s">
        <v>59</v>
      </c>
      <c r="B99" s="180"/>
      <c r="C99" s="180"/>
      <c r="D99" s="180"/>
      <c r="E99" s="180"/>
      <c r="F99" s="180"/>
      <c r="G99" s="180"/>
      <c r="H99" s="180"/>
      <c r="I99" s="180"/>
    </row>
    <row r="100" spans="1:9" ht="15.75" customHeight="1">
      <c r="A100" s="12"/>
    </row>
    <row r="101" spans="1:9" ht="15.75" customHeight="1">
      <c r="A101" s="160" t="s">
        <v>9</v>
      </c>
      <c r="B101" s="160"/>
      <c r="C101" s="160"/>
      <c r="D101" s="160"/>
      <c r="E101" s="160"/>
      <c r="F101" s="160"/>
      <c r="G101" s="160"/>
      <c r="H101" s="160"/>
      <c r="I101" s="160"/>
    </row>
    <row r="102" spans="1:9" ht="15.75" customHeight="1">
      <c r="A102" s="5"/>
    </row>
    <row r="103" spans="1:9" ht="15.75" customHeight="1">
      <c r="B103" s="93" t="s">
        <v>10</v>
      </c>
      <c r="C103" s="174" t="s">
        <v>81</v>
      </c>
      <c r="D103" s="174"/>
      <c r="E103" s="174"/>
      <c r="F103" s="56"/>
      <c r="I103" s="91"/>
    </row>
    <row r="104" spans="1:9" ht="15.75" customHeight="1">
      <c r="A104" s="92"/>
      <c r="C104" s="175" t="s">
        <v>11</v>
      </c>
      <c r="D104" s="175"/>
      <c r="E104" s="175"/>
      <c r="F104" s="26"/>
      <c r="I104" s="90" t="s">
        <v>12</v>
      </c>
    </row>
    <row r="105" spans="1:9" ht="15.75" customHeight="1">
      <c r="A105" s="27"/>
      <c r="C105" s="13"/>
      <c r="D105" s="13"/>
      <c r="G105" s="13"/>
      <c r="H105" s="13"/>
    </row>
    <row r="106" spans="1:9" ht="15.75" customHeight="1">
      <c r="B106" s="93" t="s">
        <v>13</v>
      </c>
      <c r="C106" s="176"/>
      <c r="D106" s="176"/>
      <c r="E106" s="176"/>
      <c r="F106" s="57"/>
      <c r="I106" s="91"/>
    </row>
    <row r="107" spans="1:9" ht="15.75" customHeight="1">
      <c r="A107" s="92"/>
      <c r="C107" s="152" t="s">
        <v>11</v>
      </c>
      <c r="D107" s="152"/>
      <c r="E107" s="152"/>
      <c r="F107" s="92"/>
      <c r="I107" s="90" t="s">
        <v>12</v>
      </c>
    </row>
    <row r="108" spans="1:9" ht="15.75" customHeight="1">
      <c r="A108" s="5" t="s">
        <v>14</v>
      </c>
    </row>
    <row r="109" spans="1:9" ht="15" customHeight="1">
      <c r="A109" s="177" t="s">
        <v>15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45" customHeight="1">
      <c r="A110" s="171" t="s">
        <v>16</v>
      </c>
      <c r="B110" s="171"/>
      <c r="C110" s="171"/>
      <c r="D110" s="171"/>
      <c r="E110" s="171"/>
      <c r="F110" s="171"/>
      <c r="G110" s="171"/>
      <c r="H110" s="171"/>
      <c r="I110" s="171"/>
    </row>
    <row r="111" spans="1:9" ht="30" customHeight="1">
      <c r="A111" s="171" t="s">
        <v>17</v>
      </c>
      <c r="B111" s="171"/>
      <c r="C111" s="171"/>
      <c r="D111" s="171"/>
      <c r="E111" s="171"/>
      <c r="F111" s="171"/>
      <c r="G111" s="171"/>
      <c r="H111" s="171"/>
      <c r="I111" s="171"/>
    </row>
    <row r="112" spans="1:9" ht="30" customHeight="1">
      <c r="A112" s="171" t="s">
        <v>21</v>
      </c>
      <c r="B112" s="171"/>
      <c r="C112" s="171"/>
      <c r="D112" s="171"/>
      <c r="E112" s="171"/>
      <c r="F112" s="171"/>
      <c r="G112" s="171"/>
      <c r="H112" s="171"/>
      <c r="I112" s="171"/>
    </row>
    <row r="113" spans="1:9" ht="15" customHeight="1">
      <c r="A113" s="171" t="s">
        <v>20</v>
      </c>
      <c r="B113" s="171"/>
      <c r="C113" s="171"/>
      <c r="D113" s="171"/>
      <c r="E113" s="171"/>
      <c r="F113" s="171"/>
      <c r="G113" s="171"/>
      <c r="H113" s="171"/>
      <c r="I113" s="171"/>
    </row>
  </sheetData>
  <autoFilter ref="I14:I64"/>
  <mergeCells count="29">
    <mergeCell ref="A109:I109"/>
    <mergeCell ref="A110:I110"/>
    <mergeCell ref="A111:I111"/>
    <mergeCell ref="A112:I112"/>
    <mergeCell ref="A113:I113"/>
    <mergeCell ref="R70:U70"/>
    <mergeCell ref="C107:E107"/>
    <mergeCell ref="A84:I84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J93" sqref="J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78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4" t="s">
        <v>144</v>
      </c>
      <c r="B3" s="154"/>
      <c r="C3" s="154"/>
      <c r="D3" s="154"/>
      <c r="E3" s="154"/>
      <c r="F3" s="154"/>
      <c r="G3" s="154"/>
      <c r="H3" s="154"/>
      <c r="I3" s="154"/>
      <c r="J3" s="2"/>
      <c r="K3" s="2"/>
      <c r="L3" s="2"/>
      <c r="M3" s="2"/>
    </row>
    <row r="4" spans="1:13" ht="33.75" customHeight="1">
      <c r="A4" s="155" t="s">
        <v>112</v>
      </c>
      <c r="B4" s="155"/>
      <c r="C4" s="155"/>
      <c r="D4" s="155"/>
      <c r="E4" s="155"/>
      <c r="F4" s="155"/>
      <c r="G4" s="155"/>
      <c r="H4" s="155"/>
      <c r="I4" s="155"/>
      <c r="J4" s="3"/>
      <c r="K4" s="3"/>
      <c r="L4" s="3"/>
      <c r="M4" s="3"/>
    </row>
    <row r="5" spans="1:13" ht="15.75" customHeight="1">
      <c r="A5" s="154" t="s">
        <v>174</v>
      </c>
      <c r="B5" s="156"/>
      <c r="C5" s="156"/>
      <c r="D5" s="156"/>
      <c r="E5" s="156"/>
      <c r="F5" s="156"/>
      <c r="G5" s="156"/>
      <c r="H5" s="156"/>
      <c r="I5" s="156"/>
      <c r="J5" s="4"/>
      <c r="K5" s="4"/>
      <c r="L5" s="4"/>
    </row>
    <row r="6" spans="1:13" ht="15.75" customHeight="1">
      <c r="A6" s="3"/>
      <c r="B6" s="95"/>
      <c r="C6" s="95"/>
      <c r="D6" s="95"/>
      <c r="E6" s="95"/>
      <c r="F6" s="95"/>
      <c r="G6" s="95"/>
      <c r="H6" s="95"/>
      <c r="I6" s="32">
        <v>43190</v>
      </c>
    </row>
    <row r="7" spans="1:13" ht="15.75">
      <c r="B7" s="93"/>
      <c r="C7" s="93"/>
      <c r="D7" s="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57" t="s">
        <v>149</v>
      </c>
      <c r="B8" s="157"/>
      <c r="C8" s="157"/>
      <c r="D8" s="157"/>
      <c r="E8" s="157"/>
      <c r="F8" s="157"/>
      <c r="G8" s="157"/>
      <c r="H8" s="157"/>
      <c r="I8" s="157"/>
      <c r="J8" s="3"/>
      <c r="K8" s="3"/>
      <c r="L8" s="3"/>
      <c r="M8" s="3"/>
    </row>
    <row r="9" spans="1:13" ht="8.25" customHeight="1">
      <c r="A9" s="5"/>
      <c r="J9" s="4"/>
      <c r="K9" s="4"/>
      <c r="L9" s="4"/>
      <c r="M9" s="4"/>
    </row>
    <row r="10" spans="1:13" ht="47.25" customHeight="1">
      <c r="A10" s="158" t="s">
        <v>166</v>
      </c>
      <c r="B10" s="158"/>
      <c r="C10" s="158"/>
      <c r="D10" s="158"/>
      <c r="E10" s="158"/>
      <c r="F10" s="158"/>
      <c r="G10" s="158"/>
      <c r="H10" s="158"/>
      <c r="I10" s="15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59" t="s">
        <v>57</v>
      </c>
      <c r="B14" s="159"/>
      <c r="C14" s="159"/>
      <c r="D14" s="159"/>
      <c r="E14" s="159"/>
      <c r="F14" s="159"/>
      <c r="G14" s="159"/>
      <c r="H14" s="159"/>
      <c r="I14" s="159"/>
    </row>
    <row r="15" spans="1:13">
      <c r="A15" s="161" t="s">
        <v>4</v>
      </c>
      <c r="B15" s="161"/>
      <c r="C15" s="161"/>
      <c r="D15" s="161"/>
      <c r="E15" s="161"/>
      <c r="F15" s="161"/>
      <c r="G15" s="161"/>
      <c r="H15" s="161"/>
      <c r="I15" s="161"/>
      <c r="J15" s="9"/>
      <c r="K15" s="9"/>
      <c r="L15" s="9"/>
      <c r="M15" s="9"/>
    </row>
    <row r="16" spans="1:13" ht="15.75" customHeight="1">
      <c r="A16" s="59">
        <v>1</v>
      </c>
      <c r="B16" s="64" t="s">
        <v>79</v>
      </c>
      <c r="C16" s="65" t="s">
        <v>83</v>
      </c>
      <c r="D16" s="64" t="s">
        <v>115</v>
      </c>
      <c r="E16" s="66">
        <v>54</v>
      </c>
      <c r="F16" s="67">
        <f>SUM(E16*156/100)</f>
        <v>84.24</v>
      </c>
      <c r="G16" s="67">
        <v>218.21</v>
      </c>
      <c r="H16" s="68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4" t="s">
        <v>113</v>
      </c>
      <c r="C17" s="65" t="s">
        <v>83</v>
      </c>
      <c r="D17" s="64" t="s">
        <v>116</v>
      </c>
      <c r="E17" s="66">
        <v>216</v>
      </c>
      <c r="F17" s="67">
        <f>SUM(E17*104/100)</f>
        <v>224.64</v>
      </c>
      <c r="G17" s="67">
        <v>218.21</v>
      </c>
      <c r="H17" s="68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4" t="s">
        <v>114</v>
      </c>
      <c r="C18" s="65" t="s">
        <v>83</v>
      </c>
      <c r="D18" s="64" t="s">
        <v>117</v>
      </c>
      <c r="E18" s="66">
        <f>SUM(E16+E17)</f>
        <v>270</v>
      </c>
      <c r="F18" s="67">
        <f>SUM(E18*24/100)</f>
        <v>64.8</v>
      </c>
      <c r="G18" s="67">
        <v>627.77</v>
      </c>
      <c r="H18" s="68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/>
      <c r="B19" s="64" t="s">
        <v>84</v>
      </c>
      <c r="C19" s="65" t="s">
        <v>85</v>
      </c>
      <c r="D19" s="64" t="s">
        <v>86</v>
      </c>
      <c r="E19" s="66">
        <v>40</v>
      </c>
      <c r="F19" s="67">
        <f>SUM(E19/10)</f>
        <v>4</v>
      </c>
      <c r="G19" s="67">
        <v>211.74</v>
      </c>
      <c r="H19" s="68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9"/>
      <c r="B20" s="64" t="s">
        <v>87</v>
      </c>
      <c r="C20" s="65" t="s">
        <v>83</v>
      </c>
      <c r="D20" s="64" t="s">
        <v>40</v>
      </c>
      <c r="E20" s="66">
        <v>10.5</v>
      </c>
      <c r="F20" s="67">
        <f>SUM(E20*2/100)</f>
        <v>0.21</v>
      </c>
      <c r="G20" s="67">
        <v>271.12</v>
      </c>
      <c r="H20" s="68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9"/>
      <c r="B21" s="64" t="s">
        <v>88</v>
      </c>
      <c r="C21" s="65" t="s">
        <v>83</v>
      </c>
      <c r="D21" s="64" t="s">
        <v>40</v>
      </c>
      <c r="E21" s="66">
        <v>2.7</v>
      </c>
      <c r="F21" s="67">
        <f>SUM(E21*2/100)</f>
        <v>5.4000000000000006E-2</v>
      </c>
      <c r="G21" s="67">
        <v>268.92</v>
      </c>
      <c r="H21" s="68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9"/>
      <c r="B22" s="64" t="s">
        <v>89</v>
      </c>
      <c r="C22" s="65" t="s">
        <v>50</v>
      </c>
      <c r="D22" s="64" t="s">
        <v>86</v>
      </c>
      <c r="E22" s="66">
        <v>357</v>
      </c>
      <c r="F22" s="67">
        <f t="shared" ref="F22:F25" si="1">SUM(E22/100)</f>
        <v>3.57</v>
      </c>
      <c r="G22" s="67">
        <v>335.05</v>
      </c>
      <c r="H22" s="68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9"/>
      <c r="B23" s="64" t="s">
        <v>90</v>
      </c>
      <c r="C23" s="65" t="s">
        <v>50</v>
      </c>
      <c r="D23" s="64" t="s">
        <v>86</v>
      </c>
      <c r="E23" s="69">
        <v>38.64</v>
      </c>
      <c r="F23" s="67">
        <f t="shared" si="1"/>
        <v>0.38640000000000002</v>
      </c>
      <c r="G23" s="67">
        <v>55.1</v>
      </c>
      <c r="H23" s="68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9"/>
      <c r="B24" s="64" t="s">
        <v>91</v>
      </c>
      <c r="C24" s="65" t="s">
        <v>50</v>
      </c>
      <c r="D24" s="70" t="s">
        <v>86</v>
      </c>
      <c r="E24" s="19">
        <v>15</v>
      </c>
      <c r="F24" s="71">
        <f t="shared" si="1"/>
        <v>0.15</v>
      </c>
      <c r="G24" s="67">
        <v>484.94</v>
      </c>
      <c r="H24" s="68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9"/>
      <c r="B25" s="64" t="s">
        <v>118</v>
      </c>
      <c r="C25" s="65" t="s">
        <v>50</v>
      </c>
      <c r="D25" s="64" t="s">
        <v>86</v>
      </c>
      <c r="E25" s="72">
        <v>6.38</v>
      </c>
      <c r="F25" s="67">
        <f t="shared" si="1"/>
        <v>6.3799999999999996E-2</v>
      </c>
      <c r="G25" s="67">
        <v>648.04999999999995</v>
      </c>
      <c r="H25" s="68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9">
        <v>4</v>
      </c>
      <c r="B26" s="64" t="s">
        <v>62</v>
      </c>
      <c r="C26" s="65" t="s">
        <v>31</v>
      </c>
      <c r="D26" s="64"/>
      <c r="E26" s="66">
        <v>0.1</v>
      </c>
      <c r="F26" s="67">
        <f>SUM(E26*365)</f>
        <v>36.5</v>
      </c>
      <c r="G26" s="67">
        <v>182.96</v>
      </c>
      <c r="H26" s="68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5" t="s">
        <v>23</v>
      </c>
      <c r="C27" s="65" t="s">
        <v>24</v>
      </c>
      <c r="D27" s="64"/>
      <c r="E27" s="66">
        <v>3216.2</v>
      </c>
      <c r="F27" s="67">
        <f>SUM(E27*12)</f>
        <v>38594.399999999994</v>
      </c>
      <c r="G27" s="67">
        <v>4.01</v>
      </c>
      <c r="H27" s="68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5" t="s">
        <v>150</v>
      </c>
      <c r="B28" s="166"/>
      <c r="C28" s="166"/>
      <c r="D28" s="166"/>
      <c r="E28" s="166"/>
      <c r="F28" s="166"/>
      <c r="G28" s="166"/>
      <c r="H28" s="166"/>
      <c r="I28" s="167"/>
      <c r="J28" s="24"/>
      <c r="K28" s="9"/>
      <c r="L28" s="9"/>
      <c r="M28" s="9"/>
    </row>
    <row r="29" spans="1:13" ht="15.75" hidden="1" customHeight="1">
      <c r="A29" s="104"/>
      <c r="B29" s="94" t="s">
        <v>27</v>
      </c>
      <c r="C29" s="105"/>
      <c r="D29" s="105"/>
      <c r="E29" s="105"/>
      <c r="F29" s="105"/>
      <c r="G29" s="105"/>
      <c r="H29" s="105"/>
      <c r="I29" s="105"/>
      <c r="J29" s="24"/>
      <c r="K29" s="9"/>
      <c r="L29" s="9"/>
      <c r="M29" s="9"/>
    </row>
    <row r="30" spans="1:13" ht="15.75" hidden="1" customHeight="1">
      <c r="A30" s="103"/>
      <c r="B30" s="64" t="s">
        <v>92</v>
      </c>
      <c r="C30" s="65" t="s">
        <v>93</v>
      </c>
      <c r="D30" s="64" t="s">
        <v>119</v>
      </c>
      <c r="E30" s="67">
        <v>191.65</v>
      </c>
      <c r="F30" s="67">
        <f>SUM(E30*52/1000)</f>
        <v>9.9658000000000015</v>
      </c>
      <c r="G30" s="67">
        <v>193.97</v>
      </c>
      <c r="H30" s="68">
        <f t="shared" ref="H30:H35" si="2">SUM(F30*G30/1000)</f>
        <v>1.9330662260000004</v>
      </c>
      <c r="I30" s="14">
        <v>0</v>
      </c>
      <c r="J30" s="24"/>
      <c r="K30" s="9"/>
      <c r="L30" s="9"/>
      <c r="M30" s="9"/>
    </row>
    <row r="31" spans="1:13" ht="31.5" hidden="1" customHeight="1">
      <c r="A31" s="59"/>
      <c r="B31" s="64" t="s">
        <v>151</v>
      </c>
      <c r="C31" s="65" t="s">
        <v>93</v>
      </c>
      <c r="D31" s="64" t="s">
        <v>120</v>
      </c>
      <c r="E31" s="67">
        <v>67.650000000000006</v>
      </c>
      <c r="F31" s="67">
        <f>SUM(E31*78/1000)</f>
        <v>5.2767000000000008</v>
      </c>
      <c r="G31" s="67">
        <v>321.82</v>
      </c>
      <c r="H31" s="68">
        <f t="shared" si="2"/>
        <v>1.6981475940000001</v>
      </c>
      <c r="I31" s="14">
        <v>0</v>
      </c>
      <c r="J31" s="24"/>
      <c r="K31" s="9"/>
      <c r="L31" s="9"/>
      <c r="M31" s="9"/>
    </row>
    <row r="32" spans="1:13" ht="15.75" hidden="1" customHeight="1">
      <c r="A32" s="59"/>
      <c r="B32" s="64" t="s">
        <v>26</v>
      </c>
      <c r="C32" s="65" t="s">
        <v>93</v>
      </c>
      <c r="D32" s="64" t="s">
        <v>51</v>
      </c>
      <c r="E32" s="67">
        <v>191.65</v>
      </c>
      <c r="F32" s="67">
        <f>SUM(E32/1000)</f>
        <v>0.19165000000000001</v>
      </c>
      <c r="G32" s="67">
        <v>3758.28</v>
      </c>
      <c r="H32" s="68">
        <f t="shared" si="2"/>
        <v>0.72027436200000006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4" t="s">
        <v>94</v>
      </c>
      <c r="C33" s="65" t="s">
        <v>29</v>
      </c>
      <c r="D33" s="64" t="s">
        <v>61</v>
      </c>
      <c r="E33" s="74">
        <f>1/3</f>
        <v>0.33333333333333331</v>
      </c>
      <c r="F33" s="67">
        <f>155/3</f>
        <v>51.666666666666664</v>
      </c>
      <c r="G33" s="67">
        <v>70.540000000000006</v>
      </c>
      <c r="H33" s="68">
        <f t="shared" si="2"/>
        <v>3.6445666666666665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4" t="s">
        <v>63</v>
      </c>
      <c r="C34" s="65" t="s">
        <v>31</v>
      </c>
      <c r="D34" s="64" t="s">
        <v>64</v>
      </c>
      <c r="E34" s="66"/>
      <c r="F34" s="67">
        <v>3</v>
      </c>
      <c r="G34" s="67">
        <v>238.07</v>
      </c>
      <c r="H34" s="68">
        <f t="shared" si="2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4" t="s">
        <v>137</v>
      </c>
      <c r="C35" s="65" t="s">
        <v>30</v>
      </c>
      <c r="D35" s="64" t="s">
        <v>64</v>
      </c>
      <c r="E35" s="66"/>
      <c r="F35" s="67">
        <v>2</v>
      </c>
      <c r="G35" s="67">
        <v>1413.96</v>
      </c>
      <c r="H35" s="68">
        <f t="shared" si="2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4"/>
      <c r="B36" s="94" t="s">
        <v>5</v>
      </c>
      <c r="C36" s="105"/>
      <c r="D36" s="105"/>
      <c r="E36" s="105"/>
      <c r="F36" s="105"/>
      <c r="G36" s="105"/>
      <c r="H36" s="105"/>
      <c r="I36" s="105"/>
      <c r="J36" s="25"/>
    </row>
    <row r="37" spans="1:14" ht="15.75" customHeight="1">
      <c r="A37" s="103">
        <v>6</v>
      </c>
      <c r="B37" s="64" t="s">
        <v>25</v>
      </c>
      <c r="C37" s="65" t="s">
        <v>30</v>
      </c>
      <c r="D37" s="64"/>
      <c r="E37" s="66"/>
      <c r="F37" s="67">
        <v>3</v>
      </c>
      <c r="G37" s="67">
        <v>1900.37</v>
      </c>
      <c r="H37" s="68">
        <f t="shared" ref="H37:H43" si="3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9">
        <v>7</v>
      </c>
      <c r="B38" s="64" t="s">
        <v>82</v>
      </c>
      <c r="C38" s="65" t="s">
        <v>28</v>
      </c>
      <c r="D38" s="64" t="s">
        <v>95</v>
      </c>
      <c r="E38" s="66">
        <v>67.650000000000006</v>
      </c>
      <c r="F38" s="67">
        <f>E38*30/1000</f>
        <v>2.0295000000000001</v>
      </c>
      <c r="G38" s="67">
        <v>2616.4899999999998</v>
      </c>
      <c r="H38" s="68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9">
        <v>8</v>
      </c>
      <c r="B39" s="64" t="s">
        <v>121</v>
      </c>
      <c r="C39" s="65" t="s">
        <v>28</v>
      </c>
      <c r="D39" s="64" t="s">
        <v>96</v>
      </c>
      <c r="E39" s="66">
        <v>67.650000000000006</v>
      </c>
      <c r="F39" s="67">
        <f>E39*155/1000</f>
        <v>10.485749999999999</v>
      </c>
      <c r="G39" s="67">
        <v>436.45</v>
      </c>
      <c r="H39" s="68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3">
        <v>9</v>
      </c>
      <c r="B40" s="64" t="s">
        <v>122</v>
      </c>
      <c r="C40" s="65" t="s">
        <v>123</v>
      </c>
      <c r="D40" s="64" t="s">
        <v>64</v>
      </c>
      <c r="E40" s="66"/>
      <c r="F40" s="67">
        <v>64</v>
      </c>
      <c r="G40" s="67">
        <v>226.84</v>
      </c>
      <c r="H40" s="68">
        <f>G40*F40/1000</f>
        <v>14.517760000000001</v>
      </c>
      <c r="I40" s="14">
        <f>G40*45.5</f>
        <v>10321.219999999999</v>
      </c>
      <c r="J40" s="25"/>
    </row>
    <row r="41" spans="1:14" ht="47.25" customHeight="1">
      <c r="A41" s="59">
        <v>9</v>
      </c>
      <c r="B41" s="64" t="s">
        <v>77</v>
      </c>
      <c r="C41" s="65" t="s">
        <v>28</v>
      </c>
      <c r="D41" s="64" t="s">
        <v>124</v>
      </c>
      <c r="E41" s="67">
        <v>67.650000000000006</v>
      </c>
      <c r="F41" s="67">
        <f>SUM(E41*35/1000)</f>
        <v>2.36775</v>
      </c>
      <c r="G41" s="67">
        <v>7221.21</v>
      </c>
      <c r="H41" s="68">
        <f t="shared" si="3"/>
        <v>17.098019977500002</v>
      </c>
      <c r="I41" s="14">
        <f>F41/6*G41</f>
        <v>2849.6699962500002</v>
      </c>
      <c r="J41" s="25"/>
    </row>
    <row r="42" spans="1:14" ht="15.75" customHeight="1">
      <c r="A42" s="59">
        <v>10</v>
      </c>
      <c r="B42" s="64" t="s">
        <v>97</v>
      </c>
      <c r="C42" s="65" t="s">
        <v>93</v>
      </c>
      <c r="D42" s="64" t="s">
        <v>125</v>
      </c>
      <c r="E42" s="67">
        <v>67.650000000000006</v>
      </c>
      <c r="F42" s="67">
        <f>SUM(E42*20/1000)</f>
        <v>1.353</v>
      </c>
      <c r="G42" s="67">
        <v>533.45000000000005</v>
      </c>
      <c r="H42" s="68">
        <f t="shared" si="3"/>
        <v>0.72175785000000003</v>
      </c>
      <c r="I42" s="14">
        <f>(F42/7.5*1.5)*G42</f>
        <v>144.35157000000001</v>
      </c>
      <c r="J42" s="25"/>
    </row>
    <row r="43" spans="1:14" ht="15.75" customHeight="1">
      <c r="A43" s="103">
        <v>11</v>
      </c>
      <c r="B43" s="64" t="s">
        <v>65</v>
      </c>
      <c r="C43" s="65" t="s">
        <v>31</v>
      </c>
      <c r="D43" s="64"/>
      <c r="E43" s="66"/>
      <c r="F43" s="67">
        <v>0.8</v>
      </c>
      <c r="G43" s="67">
        <v>992.97</v>
      </c>
      <c r="H43" s="68">
        <f t="shared" si="3"/>
        <v>0.79437600000000008</v>
      </c>
      <c r="I43" s="14">
        <f>(F43/7.5*1.5)*G43</f>
        <v>158.87520000000001</v>
      </c>
      <c r="J43" s="25"/>
    </row>
    <row r="44" spans="1:14" ht="15.75" hidden="1" customHeight="1">
      <c r="A44" s="162" t="s">
        <v>141</v>
      </c>
      <c r="B44" s="163"/>
      <c r="C44" s="163"/>
      <c r="D44" s="163"/>
      <c r="E44" s="163"/>
      <c r="F44" s="163"/>
      <c r="G44" s="163"/>
      <c r="H44" s="163"/>
      <c r="I44" s="164"/>
      <c r="J44" s="25"/>
      <c r="L44" s="20"/>
      <c r="M44" s="21"/>
      <c r="N44" s="22"/>
    </row>
    <row r="45" spans="1:14" ht="15.75" hidden="1" customHeight="1">
      <c r="A45" s="59"/>
      <c r="B45" s="64" t="s">
        <v>98</v>
      </c>
      <c r="C45" s="65" t="s">
        <v>93</v>
      </c>
      <c r="D45" s="64" t="s">
        <v>40</v>
      </c>
      <c r="E45" s="66">
        <v>1114.75</v>
      </c>
      <c r="F45" s="67">
        <f>SUM(E45*2/1000)</f>
        <v>2.2294999999999998</v>
      </c>
      <c r="G45" s="14">
        <v>1283.46</v>
      </c>
      <c r="H45" s="68">
        <f t="shared" ref="H45:H53" si="4">SUM(F45*G45/1000)</f>
        <v>2.8614740699999999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9"/>
      <c r="B46" s="64" t="s">
        <v>34</v>
      </c>
      <c r="C46" s="65" t="s">
        <v>93</v>
      </c>
      <c r="D46" s="64" t="s">
        <v>40</v>
      </c>
      <c r="E46" s="66">
        <v>1563.3</v>
      </c>
      <c r="F46" s="67">
        <f>SUM(E46*2/1000)</f>
        <v>3.1265999999999998</v>
      </c>
      <c r="G46" s="14">
        <v>1711.28</v>
      </c>
      <c r="H46" s="68">
        <f t="shared" si="4"/>
        <v>5.350488047999999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9"/>
      <c r="B47" s="64" t="s">
        <v>35</v>
      </c>
      <c r="C47" s="65" t="s">
        <v>93</v>
      </c>
      <c r="D47" s="64" t="s">
        <v>40</v>
      </c>
      <c r="E47" s="66">
        <v>1619.6</v>
      </c>
      <c r="F47" s="67">
        <f>SUM(E47*2/1000)</f>
        <v>3.2391999999999999</v>
      </c>
      <c r="G47" s="14">
        <v>1179.73</v>
      </c>
      <c r="H47" s="68">
        <f t="shared" si="4"/>
        <v>3.8213814159999999</v>
      </c>
      <c r="I47" s="14">
        <v>0</v>
      </c>
      <c r="J47" s="25"/>
      <c r="L47" s="20"/>
      <c r="M47" s="21"/>
      <c r="N47" s="22"/>
    </row>
    <row r="48" spans="1:14" ht="15.75" hidden="1" customHeight="1">
      <c r="A48" s="59"/>
      <c r="B48" s="64" t="s">
        <v>32</v>
      </c>
      <c r="C48" s="65" t="s">
        <v>33</v>
      </c>
      <c r="D48" s="64" t="s">
        <v>40</v>
      </c>
      <c r="E48" s="66">
        <v>85.84</v>
      </c>
      <c r="F48" s="67">
        <f>SUM(E48*2/100)</f>
        <v>1.7168000000000001</v>
      </c>
      <c r="G48" s="14">
        <v>90.61</v>
      </c>
      <c r="H48" s="68">
        <f t="shared" si="4"/>
        <v>0.15555924799999998</v>
      </c>
      <c r="I48" s="14">
        <v>0</v>
      </c>
      <c r="J48" s="25"/>
      <c r="L48" s="20"/>
      <c r="M48" s="21"/>
      <c r="N48" s="22"/>
    </row>
    <row r="49" spans="1:14" ht="15.75" hidden="1" customHeight="1">
      <c r="A49" s="59">
        <v>12</v>
      </c>
      <c r="B49" s="64" t="s">
        <v>54</v>
      </c>
      <c r="C49" s="65" t="s">
        <v>93</v>
      </c>
      <c r="D49" s="64" t="s">
        <v>152</v>
      </c>
      <c r="E49" s="66">
        <v>3216.2</v>
      </c>
      <c r="F49" s="67">
        <f>SUM(E49*5/1000)</f>
        <v>16.081</v>
      </c>
      <c r="G49" s="14">
        <v>1711.28</v>
      </c>
      <c r="H49" s="68">
        <f t="shared" si="4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4" t="s">
        <v>99</v>
      </c>
      <c r="C50" s="65" t="s">
        <v>93</v>
      </c>
      <c r="D50" s="64" t="s">
        <v>40</v>
      </c>
      <c r="E50" s="66">
        <v>3216.2</v>
      </c>
      <c r="F50" s="67">
        <f>SUM(E50*2/1000)</f>
        <v>6.4323999999999995</v>
      </c>
      <c r="G50" s="14">
        <v>1510.06</v>
      </c>
      <c r="H50" s="68">
        <f t="shared" si="4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14</v>
      </c>
      <c r="B51" s="64" t="s">
        <v>100</v>
      </c>
      <c r="C51" s="65" t="s">
        <v>36</v>
      </c>
      <c r="D51" s="64" t="s">
        <v>40</v>
      </c>
      <c r="E51" s="66">
        <v>16</v>
      </c>
      <c r="F51" s="67">
        <f>SUM(E51*2/100)</f>
        <v>0.32</v>
      </c>
      <c r="G51" s="14">
        <v>3850.4</v>
      </c>
      <c r="H51" s="68">
        <f t="shared" si="4"/>
        <v>1.2321280000000001</v>
      </c>
      <c r="I51" s="14">
        <f t="shared" ref="I51:I52" si="5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15</v>
      </c>
      <c r="B52" s="64" t="s">
        <v>37</v>
      </c>
      <c r="C52" s="65" t="s">
        <v>38</v>
      </c>
      <c r="D52" s="64" t="s">
        <v>40</v>
      </c>
      <c r="E52" s="66">
        <v>1</v>
      </c>
      <c r="F52" s="67">
        <v>0.02</v>
      </c>
      <c r="G52" s="14">
        <v>7033.13</v>
      </c>
      <c r="H52" s="68">
        <f t="shared" si="4"/>
        <v>0.1406626</v>
      </c>
      <c r="I52" s="14">
        <f t="shared" si="5"/>
        <v>70.331299999999999</v>
      </c>
      <c r="J52" s="25"/>
      <c r="L52" s="20"/>
      <c r="M52" s="21"/>
      <c r="N52" s="22"/>
    </row>
    <row r="53" spans="1:14" ht="15.75" hidden="1" customHeight="1">
      <c r="A53" s="59">
        <v>13</v>
      </c>
      <c r="B53" s="64" t="s">
        <v>39</v>
      </c>
      <c r="C53" s="65" t="s">
        <v>101</v>
      </c>
      <c r="D53" s="64" t="s">
        <v>66</v>
      </c>
      <c r="E53" s="66">
        <v>128</v>
      </c>
      <c r="F53" s="67">
        <f>SUM(E53)*3</f>
        <v>384</v>
      </c>
      <c r="G53" s="14">
        <v>81.73</v>
      </c>
      <c r="H53" s="68">
        <f t="shared" si="4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2" t="s">
        <v>80</v>
      </c>
      <c r="B54" s="172"/>
      <c r="C54" s="172"/>
      <c r="D54" s="172"/>
      <c r="E54" s="172"/>
      <c r="F54" s="172"/>
      <c r="G54" s="172"/>
      <c r="H54" s="172"/>
      <c r="I54" s="173"/>
      <c r="J54" s="25"/>
      <c r="L54" s="20"/>
      <c r="M54" s="21"/>
      <c r="N54" s="22"/>
    </row>
    <row r="55" spans="1:14" ht="15.75" hidden="1" customHeight="1">
      <c r="A55" s="59"/>
      <c r="B55" s="88" t="s">
        <v>41</v>
      </c>
      <c r="C55" s="65"/>
      <c r="D55" s="64"/>
      <c r="E55" s="66"/>
      <c r="F55" s="67"/>
      <c r="G55" s="67"/>
      <c r="H55" s="68"/>
      <c r="I55" s="14"/>
      <c r="J55" s="25"/>
      <c r="L55" s="20"/>
      <c r="M55" s="21"/>
      <c r="N55" s="22"/>
    </row>
    <row r="56" spans="1:14" ht="31.5" hidden="1" customHeight="1">
      <c r="A56" s="59">
        <v>12</v>
      </c>
      <c r="B56" s="64" t="s">
        <v>126</v>
      </c>
      <c r="C56" s="65" t="s">
        <v>83</v>
      </c>
      <c r="D56" s="64" t="s">
        <v>127</v>
      </c>
      <c r="E56" s="66">
        <v>123.31</v>
      </c>
      <c r="F56" s="67">
        <f>SUM(E56*6/100)</f>
        <v>7.3986000000000001</v>
      </c>
      <c r="G56" s="14">
        <v>2306.62</v>
      </c>
      <c r="H56" s="68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77" t="s">
        <v>128</v>
      </c>
      <c r="C57" s="76" t="s">
        <v>129</v>
      </c>
      <c r="D57" s="77" t="s">
        <v>64</v>
      </c>
      <c r="E57" s="78"/>
      <c r="F57" s="79">
        <v>3</v>
      </c>
      <c r="G57" s="14">
        <v>1501</v>
      </c>
      <c r="H57" s="68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89" t="s">
        <v>42</v>
      </c>
      <c r="C58" s="76"/>
      <c r="D58" s="77"/>
      <c r="E58" s="78"/>
      <c r="F58" s="79"/>
      <c r="G58" s="14"/>
      <c r="H58" s="80"/>
      <c r="I58" s="14"/>
      <c r="J58" s="25"/>
      <c r="L58" s="20"/>
      <c r="M58" s="21"/>
      <c r="N58" s="22"/>
    </row>
    <row r="59" spans="1:14" ht="15.75" hidden="1" customHeight="1">
      <c r="A59" s="60"/>
      <c r="B59" s="77" t="s">
        <v>139</v>
      </c>
      <c r="C59" s="76" t="s">
        <v>50</v>
      </c>
      <c r="D59" s="77" t="s">
        <v>51</v>
      </c>
      <c r="E59" s="78">
        <v>451</v>
      </c>
      <c r="F59" s="79">
        <v>8.9</v>
      </c>
      <c r="G59" s="14">
        <v>987.51</v>
      </c>
      <c r="H59" s="80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89" t="s">
        <v>43</v>
      </c>
      <c r="C60" s="76"/>
      <c r="D60" s="77"/>
      <c r="E60" s="108"/>
      <c r="F60" s="67"/>
      <c r="G60" s="111"/>
      <c r="H60" s="79" t="s">
        <v>138</v>
      </c>
      <c r="I60" s="14"/>
      <c r="J60" s="25"/>
      <c r="L60" s="20"/>
      <c r="M60" s="21"/>
      <c r="N60" s="22"/>
    </row>
    <row r="61" spans="1:14" ht="15.75" customHeight="1">
      <c r="A61" s="17">
        <v>12</v>
      </c>
      <c r="B61" s="15" t="s">
        <v>44</v>
      </c>
      <c r="C61" s="17" t="s">
        <v>101</v>
      </c>
      <c r="D61" s="15" t="s">
        <v>64</v>
      </c>
      <c r="E61" s="109">
        <v>10</v>
      </c>
      <c r="F61" s="67">
        <f>E61</f>
        <v>10</v>
      </c>
      <c r="G61" s="112">
        <v>276.74</v>
      </c>
      <c r="H61" s="63">
        <f t="shared" ref="H61:H69" si="6">SUM(F61*G61/1000)</f>
        <v>2.7674000000000003</v>
      </c>
      <c r="I61" s="14">
        <f>G61</f>
        <v>276.74</v>
      </c>
      <c r="J61" s="25"/>
      <c r="L61" s="20"/>
    </row>
    <row r="62" spans="1:14" ht="15.75" hidden="1" customHeight="1">
      <c r="A62" s="17"/>
      <c r="B62" s="15" t="s">
        <v>45</v>
      </c>
      <c r="C62" s="17" t="s">
        <v>101</v>
      </c>
      <c r="D62" s="15" t="s">
        <v>64</v>
      </c>
      <c r="E62" s="109">
        <v>10</v>
      </c>
      <c r="F62" s="67">
        <f>E62</f>
        <v>10</v>
      </c>
      <c r="G62" s="112">
        <v>94.89</v>
      </c>
      <c r="H62" s="63">
        <f t="shared" si="6"/>
        <v>0.94889999999999997</v>
      </c>
      <c r="I62" s="14">
        <v>0</v>
      </c>
      <c r="J62" s="25"/>
      <c r="L62" s="20"/>
    </row>
    <row r="63" spans="1:14" ht="15.75" hidden="1" customHeight="1">
      <c r="A63" s="17"/>
      <c r="B63" s="15" t="s">
        <v>46</v>
      </c>
      <c r="C63" s="17" t="s">
        <v>102</v>
      </c>
      <c r="D63" s="15" t="s">
        <v>51</v>
      </c>
      <c r="E63" s="110">
        <v>13447</v>
      </c>
      <c r="F63" s="67">
        <f>SUM(E63/100)</f>
        <v>134.47</v>
      </c>
      <c r="G63" s="112">
        <v>263.99</v>
      </c>
      <c r="H63" s="63">
        <f t="shared" si="6"/>
        <v>35.4987353</v>
      </c>
      <c r="I63" s="14">
        <v>0</v>
      </c>
      <c r="J63" s="25"/>
      <c r="L63" s="20"/>
    </row>
    <row r="64" spans="1:14" ht="15.75" hidden="1" customHeight="1">
      <c r="A64" s="17"/>
      <c r="B64" s="15" t="s">
        <v>47</v>
      </c>
      <c r="C64" s="17" t="s">
        <v>103</v>
      </c>
      <c r="D64" s="15"/>
      <c r="E64" s="110">
        <v>13447</v>
      </c>
      <c r="F64" s="67">
        <f>SUM(E64/1000)</f>
        <v>13.446999999999999</v>
      </c>
      <c r="G64" s="112">
        <v>205.57</v>
      </c>
      <c r="H64" s="63">
        <f t="shared" si="6"/>
        <v>2.7642997899999995</v>
      </c>
      <c r="I64" s="14">
        <v>0</v>
      </c>
    </row>
    <row r="65" spans="1:22" ht="15.75" hidden="1" customHeight="1">
      <c r="A65" s="17"/>
      <c r="B65" s="15" t="s">
        <v>48</v>
      </c>
      <c r="C65" s="17" t="s">
        <v>72</v>
      </c>
      <c r="D65" s="15" t="s">
        <v>51</v>
      </c>
      <c r="E65" s="110">
        <v>2200</v>
      </c>
      <c r="F65" s="67">
        <f>SUM(E65/100)</f>
        <v>22</v>
      </c>
      <c r="G65" s="112">
        <v>2581.5300000000002</v>
      </c>
      <c r="H65" s="63">
        <f t="shared" si="6"/>
        <v>56.793660000000003</v>
      </c>
      <c r="I65" s="14">
        <v>0</v>
      </c>
    </row>
    <row r="66" spans="1:22" ht="15.75" hidden="1" customHeight="1">
      <c r="A66" s="17"/>
      <c r="B66" s="81" t="s">
        <v>104</v>
      </c>
      <c r="C66" s="17" t="s">
        <v>31</v>
      </c>
      <c r="D66" s="15"/>
      <c r="E66" s="110">
        <v>12.1</v>
      </c>
      <c r="F66" s="67">
        <f>SUM(E66)</f>
        <v>12.1</v>
      </c>
      <c r="G66" s="112">
        <v>47.45</v>
      </c>
      <c r="H66" s="63">
        <f t="shared" si="6"/>
        <v>0.57414500000000002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06"/>
      <c r="B67" s="81" t="s">
        <v>105</v>
      </c>
      <c r="C67" s="17" t="s">
        <v>31</v>
      </c>
      <c r="D67" s="15"/>
      <c r="E67" s="110">
        <v>12.1</v>
      </c>
      <c r="F67" s="67">
        <f>SUM(E67)</f>
        <v>12.1</v>
      </c>
      <c r="G67" s="112">
        <v>44.27</v>
      </c>
      <c r="H67" s="63">
        <f t="shared" si="6"/>
        <v>0.535667</v>
      </c>
      <c r="I67" s="14">
        <v>0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55</v>
      </c>
      <c r="C68" s="17" t="s">
        <v>56</v>
      </c>
      <c r="D68" s="15" t="s">
        <v>51</v>
      </c>
      <c r="E68" s="109">
        <v>4</v>
      </c>
      <c r="F68" s="67">
        <v>4</v>
      </c>
      <c r="G68" s="112">
        <v>62.07</v>
      </c>
      <c r="H68" s="63">
        <f t="shared" si="6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13</v>
      </c>
      <c r="B69" s="15" t="s">
        <v>130</v>
      </c>
      <c r="C69" s="31" t="s">
        <v>131</v>
      </c>
      <c r="D69" s="15"/>
      <c r="E69" s="109">
        <v>3216.2</v>
      </c>
      <c r="F69" s="113">
        <v>38594.400000000001</v>
      </c>
      <c r="G69" s="112">
        <v>2.16</v>
      </c>
      <c r="H69" s="63">
        <f t="shared" si="6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6"/>
      <c r="B70" s="94" t="s">
        <v>67</v>
      </c>
      <c r="C70" s="17"/>
      <c r="D70" s="15"/>
      <c r="E70" s="19"/>
      <c r="F70" s="14"/>
      <c r="G70" s="14"/>
      <c r="H70" s="63" t="s">
        <v>138</v>
      </c>
      <c r="I70" s="14"/>
      <c r="J70" s="6"/>
      <c r="K70" s="6"/>
      <c r="L70" s="6"/>
      <c r="M70" s="6"/>
      <c r="N70" s="6"/>
      <c r="O70" s="6"/>
      <c r="P70" s="6"/>
      <c r="Q70" s="6"/>
      <c r="R70" s="152"/>
      <c r="S70" s="152"/>
      <c r="T70" s="152"/>
      <c r="U70" s="152"/>
    </row>
    <row r="71" spans="1:22" ht="15.75" hidden="1" customHeight="1">
      <c r="A71" s="17"/>
      <c r="B71" s="15" t="s">
        <v>132</v>
      </c>
      <c r="C71" s="17" t="s">
        <v>133</v>
      </c>
      <c r="D71" s="15" t="s">
        <v>64</v>
      </c>
      <c r="E71" s="19">
        <v>2</v>
      </c>
      <c r="F71" s="14">
        <f>E71</f>
        <v>2</v>
      </c>
      <c r="G71" s="14">
        <v>976.4</v>
      </c>
      <c r="H71" s="63">
        <f t="shared" ref="H71:H75" si="7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108</v>
      </c>
      <c r="C72" s="17" t="s">
        <v>134</v>
      </c>
      <c r="D72" s="15" t="s">
        <v>64</v>
      </c>
      <c r="E72" s="19">
        <v>1</v>
      </c>
      <c r="F72" s="14">
        <v>1</v>
      </c>
      <c r="G72" s="14">
        <v>735</v>
      </c>
      <c r="H72" s="63">
        <f t="shared" si="7"/>
        <v>0.73499999999999999</v>
      </c>
      <c r="I72" s="14">
        <v>0</v>
      </c>
    </row>
    <row r="73" spans="1:22" ht="15.75" hidden="1" customHeight="1">
      <c r="A73" s="17"/>
      <c r="B73" s="15" t="s">
        <v>68</v>
      </c>
      <c r="C73" s="17" t="s">
        <v>70</v>
      </c>
      <c r="D73" s="15" t="s">
        <v>64</v>
      </c>
      <c r="E73" s="19">
        <v>4</v>
      </c>
      <c r="F73" s="14">
        <f>E73/10</f>
        <v>0.4</v>
      </c>
      <c r="G73" s="14">
        <v>624.16999999999996</v>
      </c>
      <c r="H73" s="63">
        <f t="shared" si="7"/>
        <v>0.249668</v>
      </c>
      <c r="I73" s="14">
        <v>0</v>
      </c>
    </row>
    <row r="74" spans="1:22" ht="15.75" hidden="1" customHeight="1">
      <c r="A74" s="17"/>
      <c r="B74" s="15" t="s">
        <v>69</v>
      </c>
      <c r="C74" s="17" t="s">
        <v>29</v>
      </c>
      <c r="D74" s="15" t="s">
        <v>64</v>
      </c>
      <c r="E74" s="19">
        <v>1</v>
      </c>
      <c r="F74" s="55">
        <v>1</v>
      </c>
      <c r="G74" s="14">
        <v>1061.4100000000001</v>
      </c>
      <c r="H74" s="63">
        <f t="shared" si="7"/>
        <v>1.0614100000000002</v>
      </c>
      <c r="I74" s="14">
        <v>0</v>
      </c>
    </row>
    <row r="75" spans="1:22" ht="15.75" hidden="1" customHeight="1">
      <c r="A75" s="17"/>
      <c r="B75" s="15" t="s">
        <v>135</v>
      </c>
      <c r="C75" s="17" t="s">
        <v>133</v>
      </c>
      <c r="D75" s="15" t="s">
        <v>64</v>
      </c>
      <c r="E75" s="19">
        <v>1</v>
      </c>
      <c r="F75" s="14">
        <f>E75</f>
        <v>1</v>
      </c>
      <c r="G75" s="14">
        <v>976.1</v>
      </c>
      <c r="H75" s="63">
        <f t="shared" si="7"/>
        <v>0.97609999999999997</v>
      </c>
      <c r="I75" s="14">
        <v>0</v>
      </c>
    </row>
    <row r="76" spans="1:22" ht="15.75" hidden="1" customHeight="1">
      <c r="A76" s="106"/>
      <c r="B76" s="107" t="s">
        <v>71</v>
      </c>
      <c r="C76" s="17"/>
      <c r="D76" s="15"/>
      <c r="E76" s="19"/>
      <c r="F76" s="14"/>
      <c r="G76" s="14" t="s">
        <v>138</v>
      </c>
      <c r="H76" s="63" t="s">
        <v>138</v>
      </c>
      <c r="I76" s="14"/>
    </row>
    <row r="77" spans="1:22" ht="15.75" hidden="1" customHeight="1">
      <c r="A77" s="17"/>
      <c r="B77" s="43" t="s">
        <v>109</v>
      </c>
      <c r="C77" s="17" t="s">
        <v>72</v>
      </c>
      <c r="D77" s="15"/>
      <c r="E77" s="19"/>
      <c r="F77" s="14">
        <v>0.1</v>
      </c>
      <c r="G77" s="14">
        <v>3433.68</v>
      </c>
      <c r="H77" s="63">
        <f t="shared" ref="H77" si="8">SUM(F77*G77/1000)</f>
        <v>0.34336800000000001</v>
      </c>
      <c r="I77" s="14">
        <v>0</v>
      </c>
    </row>
    <row r="78" spans="1:22" ht="15.75" hidden="1" customHeight="1">
      <c r="A78" s="106"/>
      <c r="B78" s="96" t="s">
        <v>106</v>
      </c>
      <c r="C78" s="83"/>
      <c r="D78" s="33"/>
      <c r="E78" s="34"/>
      <c r="F78" s="73"/>
      <c r="G78" s="73"/>
      <c r="H78" s="84">
        <f>SUM(H56:H77)</f>
        <v>219.17093482199999</v>
      </c>
      <c r="I78" s="73"/>
    </row>
    <row r="79" spans="1:22" ht="15.75" hidden="1" customHeight="1">
      <c r="A79" s="17"/>
      <c r="B79" s="64" t="s">
        <v>107</v>
      </c>
      <c r="C79" s="17"/>
      <c r="D79" s="15"/>
      <c r="E79" s="85"/>
      <c r="F79" s="14">
        <v>1</v>
      </c>
      <c r="G79" s="14">
        <v>14133</v>
      </c>
      <c r="H79" s="63">
        <f>G79*F79/1000</f>
        <v>14.132999999999999</v>
      </c>
      <c r="I79" s="14">
        <v>0</v>
      </c>
    </row>
    <row r="80" spans="1:22" ht="15.75" customHeight="1">
      <c r="A80" s="162" t="s">
        <v>148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17">
        <v>14</v>
      </c>
      <c r="B81" s="64" t="s">
        <v>111</v>
      </c>
      <c r="C81" s="17" t="s">
        <v>52</v>
      </c>
      <c r="D81" s="86" t="s">
        <v>53</v>
      </c>
      <c r="E81" s="14">
        <v>3216.2</v>
      </c>
      <c r="F81" s="14">
        <f>SUM(E81*12)</f>
        <v>38594.399999999994</v>
      </c>
      <c r="G81" s="14">
        <v>2.95</v>
      </c>
      <c r="H81" s="63">
        <f>SUM(F81*G81/1000)</f>
        <v>113.85347999999999</v>
      </c>
      <c r="I81" s="14">
        <f>F81/12*G81</f>
        <v>9487.7899999999991</v>
      </c>
    </row>
    <row r="82" spans="1:9" ht="31.5" customHeight="1">
      <c r="A82" s="87">
        <v>15</v>
      </c>
      <c r="B82" s="15" t="s">
        <v>73</v>
      </c>
      <c r="C82" s="17"/>
      <c r="D82" s="86" t="s">
        <v>53</v>
      </c>
      <c r="E82" s="66">
        <v>3216.2</v>
      </c>
      <c r="F82" s="14">
        <f>E82*12</f>
        <v>38594.399999999994</v>
      </c>
      <c r="G82" s="14">
        <v>3.05</v>
      </c>
      <c r="H82" s="63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75</v>
      </c>
      <c r="C83" s="83"/>
      <c r="D83" s="82"/>
      <c r="E83" s="73"/>
      <c r="F83" s="73"/>
      <c r="G83" s="73"/>
      <c r="H83" s="84">
        <f>H82</f>
        <v>117.71291999999997</v>
      </c>
      <c r="I83" s="73">
        <f>I82+I81+I69+I61+I43+I42+I41+I39+I38+I37+I27+I26+I18+I17+I16</f>
        <v>54731.941173333318</v>
      </c>
    </row>
    <row r="84" spans="1:9" ht="15.75" customHeight="1">
      <c r="A84" s="168" t="s">
        <v>58</v>
      </c>
      <c r="B84" s="169"/>
      <c r="C84" s="169"/>
      <c r="D84" s="169"/>
      <c r="E84" s="169"/>
      <c r="F84" s="169"/>
      <c r="G84" s="169"/>
      <c r="H84" s="169"/>
      <c r="I84" s="170"/>
    </row>
    <row r="85" spans="1:9" ht="15.75" customHeight="1">
      <c r="A85" s="114">
        <v>16</v>
      </c>
      <c r="B85" s="133" t="s">
        <v>167</v>
      </c>
      <c r="C85" s="134" t="s">
        <v>168</v>
      </c>
      <c r="D85" s="133"/>
      <c r="E85" s="135"/>
      <c r="F85" s="131">
        <v>200</v>
      </c>
      <c r="G85" s="126">
        <v>1.2</v>
      </c>
      <c r="H85" s="126">
        <f>F85*G85/1000</f>
        <v>0.24</v>
      </c>
      <c r="I85" s="19">
        <f>G85*100</f>
        <v>120</v>
      </c>
    </row>
    <row r="86" spans="1:9" ht="31.5" customHeight="1">
      <c r="A86" s="62">
        <v>17</v>
      </c>
      <c r="B86" s="46" t="s">
        <v>155</v>
      </c>
      <c r="C86" s="47" t="s">
        <v>36</v>
      </c>
      <c r="D86" s="125"/>
      <c r="E86" s="18"/>
      <c r="F86" s="127">
        <v>0.02</v>
      </c>
      <c r="G86" s="126">
        <v>3724.37</v>
      </c>
      <c r="H86" s="126">
        <f>G86*F86/1000</f>
        <v>7.4487399999999995E-2</v>
      </c>
      <c r="I86" s="19">
        <f>G86*0.01</f>
        <v>37.243699999999997</v>
      </c>
    </row>
    <row r="87" spans="1:9" ht="15.75" customHeight="1">
      <c r="A87" s="31"/>
      <c r="B87" s="41" t="s">
        <v>49</v>
      </c>
      <c r="C87" s="37"/>
      <c r="D87" s="44"/>
      <c r="E87" s="37">
        <v>1</v>
      </c>
      <c r="F87" s="37"/>
      <c r="G87" s="37"/>
      <c r="H87" s="37"/>
      <c r="I87" s="34">
        <f>SUM(I85:I86)</f>
        <v>157.24369999999999</v>
      </c>
    </row>
    <row r="88" spans="1:9" ht="15.75" customHeight="1">
      <c r="A88" s="31"/>
      <c r="B88" s="43" t="s">
        <v>74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153</v>
      </c>
      <c r="C89" s="35"/>
      <c r="D89" s="35"/>
      <c r="E89" s="35"/>
      <c r="F89" s="35"/>
      <c r="G89" s="35"/>
      <c r="H89" s="35"/>
      <c r="I89" s="40">
        <f>I83+I87</f>
        <v>54889.184873333317</v>
      </c>
    </row>
    <row r="90" spans="1:9" ht="15.75" customHeight="1">
      <c r="A90" s="153" t="s">
        <v>226</v>
      </c>
      <c r="B90" s="153"/>
      <c r="C90" s="153"/>
      <c r="D90" s="153"/>
      <c r="E90" s="153"/>
      <c r="F90" s="153"/>
      <c r="G90" s="153"/>
      <c r="H90" s="153"/>
      <c r="I90" s="153"/>
    </row>
    <row r="91" spans="1:9" ht="15.75" customHeight="1">
      <c r="A91" s="54"/>
      <c r="B91" s="178" t="s">
        <v>227</v>
      </c>
      <c r="C91" s="178"/>
      <c r="D91" s="178"/>
      <c r="E91" s="178"/>
      <c r="F91" s="178"/>
      <c r="G91" s="178"/>
      <c r="H91" s="58"/>
      <c r="I91" s="4"/>
    </row>
    <row r="92" spans="1:9" ht="15.75" customHeight="1">
      <c r="A92" s="92"/>
      <c r="B92" s="175" t="s">
        <v>6</v>
      </c>
      <c r="C92" s="175"/>
      <c r="D92" s="175"/>
      <c r="E92" s="175"/>
      <c r="F92" s="175"/>
      <c r="G92" s="175"/>
      <c r="H92" s="26"/>
      <c r="I92" s="6"/>
    </row>
    <row r="93" spans="1:9" ht="8.2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79" t="s">
        <v>7</v>
      </c>
      <c r="B94" s="179"/>
      <c r="C94" s="179"/>
      <c r="D94" s="179"/>
      <c r="E94" s="179"/>
      <c r="F94" s="179"/>
      <c r="G94" s="179"/>
      <c r="H94" s="179"/>
      <c r="I94" s="179"/>
    </row>
    <row r="95" spans="1:9" ht="15.75" customHeight="1">
      <c r="A95" s="179" t="s">
        <v>8</v>
      </c>
      <c r="B95" s="179"/>
      <c r="C95" s="179"/>
      <c r="D95" s="179"/>
      <c r="E95" s="179"/>
      <c r="F95" s="179"/>
      <c r="G95" s="179"/>
      <c r="H95" s="179"/>
      <c r="I95" s="179"/>
    </row>
    <row r="96" spans="1:9" ht="15.75" customHeight="1">
      <c r="A96" s="180" t="s">
        <v>59</v>
      </c>
      <c r="B96" s="180"/>
      <c r="C96" s="180"/>
      <c r="D96" s="180"/>
      <c r="E96" s="180"/>
      <c r="F96" s="180"/>
      <c r="G96" s="180"/>
      <c r="H96" s="180"/>
      <c r="I96" s="180"/>
    </row>
    <row r="97" spans="1:9" ht="15.75" customHeight="1">
      <c r="A97" s="12"/>
    </row>
    <row r="98" spans="1:9" ht="15.75" customHeight="1">
      <c r="A98" s="160" t="s">
        <v>9</v>
      </c>
      <c r="B98" s="160"/>
      <c r="C98" s="160"/>
      <c r="D98" s="160"/>
      <c r="E98" s="160"/>
      <c r="F98" s="160"/>
      <c r="G98" s="160"/>
      <c r="H98" s="160"/>
      <c r="I98" s="160"/>
    </row>
    <row r="99" spans="1:9" ht="15.75" customHeight="1">
      <c r="A99" s="5"/>
    </row>
    <row r="100" spans="1:9" ht="15.75" customHeight="1">
      <c r="B100" s="93" t="s">
        <v>10</v>
      </c>
      <c r="C100" s="174" t="s">
        <v>81</v>
      </c>
      <c r="D100" s="174"/>
      <c r="E100" s="174"/>
      <c r="F100" s="56"/>
      <c r="I100" s="91"/>
    </row>
    <row r="101" spans="1:9" ht="15.75" customHeight="1">
      <c r="A101" s="92"/>
      <c r="C101" s="175" t="s">
        <v>11</v>
      </c>
      <c r="D101" s="175"/>
      <c r="E101" s="175"/>
      <c r="F101" s="26"/>
      <c r="I101" s="90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93" t="s">
        <v>13</v>
      </c>
      <c r="C103" s="176"/>
      <c r="D103" s="176"/>
      <c r="E103" s="176"/>
      <c r="F103" s="57"/>
      <c r="I103" s="91"/>
    </row>
    <row r="104" spans="1:9" ht="15.75" customHeight="1">
      <c r="A104" s="92"/>
      <c r="C104" s="152" t="s">
        <v>11</v>
      </c>
      <c r="D104" s="152"/>
      <c r="E104" s="152"/>
      <c r="F104" s="92"/>
      <c r="I104" s="90" t="s">
        <v>12</v>
      </c>
    </row>
    <row r="105" spans="1:9" ht="15.75" customHeight="1">
      <c r="A105" s="5" t="s">
        <v>14</v>
      </c>
    </row>
    <row r="106" spans="1:9" ht="15" customHeight="1">
      <c r="A106" s="177" t="s">
        <v>15</v>
      </c>
      <c r="B106" s="177"/>
      <c r="C106" s="177"/>
      <c r="D106" s="177"/>
      <c r="E106" s="177"/>
      <c r="F106" s="177"/>
      <c r="G106" s="177"/>
      <c r="H106" s="177"/>
      <c r="I106" s="177"/>
    </row>
    <row r="107" spans="1:9" ht="45" customHeight="1">
      <c r="A107" s="171" t="s">
        <v>16</v>
      </c>
      <c r="B107" s="171"/>
      <c r="C107" s="171"/>
      <c r="D107" s="171"/>
      <c r="E107" s="171"/>
      <c r="F107" s="171"/>
      <c r="G107" s="171"/>
      <c r="H107" s="171"/>
      <c r="I107" s="171"/>
    </row>
    <row r="108" spans="1:9" ht="30" customHeight="1">
      <c r="A108" s="171" t="s">
        <v>17</v>
      </c>
      <c r="B108" s="171"/>
      <c r="C108" s="171"/>
      <c r="D108" s="171"/>
      <c r="E108" s="171"/>
      <c r="F108" s="171"/>
      <c r="G108" s="171"/>
      <c r="H108" s="171"/>
      <c r="I108" s="171"/>
    </row>
    <row r="109" spans="1:9" ht="30" customHeight="1">
      <c r="A109" s="171" t="s">
        <v>21</v>
      </c>
      <c r="B109" s="171"/>
      <c r="C109" s="171"/>
      <c r="D109" s="171"/>
      <c r="E109" s="171"/>
      <c r="F109" s="171"/>
      <c r="G109" s="171"/>
      <c r="H109" s="171"/>
      <c r="I109" s="171"/>
    </row>
    <row r="110" spans="1:9" ht="15" customHeight="1">
      <c r="A110" s="171" t="s">
        <v>20</v>
      </c>
      <c r="B110" s="171"/>
      <c r="C110" s="171"/>
      <c r="D110" s="171"/>
      <c r="E110" s="171"/>
      <c r="F110" s="171"/>
      <c r="G110" s="171"/>
      <c r="H110" s="171"/>
      <c r="I110" s="171"/>
    </row>
  </sheetData>
  <autoFilter ref="I14:I64"/>
  <mergeCells count="29">
    <mergeCell ref="A106:I106"/>
    <mergeCell ref="A107:I107"/>
    <mergeCell ref="A108:I108"/>
    <mergeCell ref="A109:I109"/>
    <mergeCell ref="A110:I110"/>
    <mergeCell ref="R70:U70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30"/>
  <sheetViews>
    <sheetView workbookViewId="0">
      <selection activeCell="A114" sqref="A114:I11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78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4" t="s">
        <v>145</v>
      </c>
      <c r="B3" s="154"/>
      <c r="C3" s="154"/>
      <c r="D3" s="154"/>
      <c r="E3" s="154"/>
      <c r="F3" s="154"/>
      <c r="G3" s="154"/>
      <c r="H3" s="154"/>
      <c r="I3" s="154"/>
      <c r="J3" s="2"/>
      <c r="K3" s="2"/>
      <c r="L3" s="2"/>
      <c r="M3" s="2"/>
    </row>
    <row r="4" spans="1:13" ht="33.75" customHeight="1">
      <c r="A4" s="155" t="s">
        <v>112</v>
      </c>
      <c r="B4" s="155"/>
      <c r="C4" s="155"/>
      <c r="D4" s="155"/>
      <c r="E4" s="155"/>
      <c r="F4" s="155"/>
      <c r="G4" s="155"/>
      <c r="H4" s="155"/>
      <c r="I4" s="155"/>
      <c r="J4" s="3"/>
      <c r="K4" s="3"/>
      <c r="L4" s="3"/>
      <c r="M4" s="3"/>
    </row>
    <row r="5" spans="1:13" ht="15.75" customHeight="1">
      <c r="A5" s="154" t="s">
        <v>175</v>
      </c>
      <c r="B5" s="156"/>
      <c r="C5" s="156"/>
      <c r="D5" s="156"/>
      <c r="E5" s="156"/>
      <c r="F5" s="156"/>
      <c r="G5" s="156"/>
      <c r="H5" s="156"/>
      <c r="I5" s="156"/>
      <c r="J5" s="4"/>
      <c r="K5" s="4"/>
      <c r="L5" s="4"/>
    </row>
    <row r="6" spans="1:13" ht="15.75" customHeight="1">
      <c r="A6" s="3"/>
      <c r="B6" s="95"/>
      <c r="C6" s="95"/>
      <c r="D6" s="95"/>
      <c r="E6" s="95"/>
      <c r="F6" s="95"/>
      <c r="G6" s="95"/>
      <c r="H6" s="95"/>
      <c r="I6" s="32">
        <v>43220</v>
      </c>
    </row>
    <row r="7" spans="1:13" ht="15.75">
      <c r="B7" s="93"/>
      <c r="C7" s="93"/>
      <c r="D7" s="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57" t="s">
        <v>149</v>
      </c>
      <c r="B8" s="157"/>
      <c r="C8" s="157"/>
      <c r="D8" s="157"/>
      <c r="E8" s="157"/>
      <c r="F8" s="157"/>
      <c r="G8" s="157"/>
      <c r="H8" s="157"/>
      <c r="I8" s="157"/>
      <c r="J8" s="3"/>
      <c r="K8" s="3"/>
      <c r="L8" s="3"/>
      <c r="M8" s="3"/>
    </row>
    <row r="9" spans="1:13" ht="8.25" customHeight="1">
      <c r="A9" s="5"/>
      <c r="J9" s="4"/>
      <c r="K9" s="4"/>
      <c r="L9" s="4"/>
      <c r="M9" s="4"/>
    </row>
    <row r="10" spans="1:13" ht="47.25" customHeight="1">
      <c r="A10" s="158" t="s">
        <v>166</v>
      </c>
      <c r="B10" s="158"/>
      <c r="C10" s="158"/>
      <c r="D10" s="158"/>
      <c r="E10" s="158"/>
      <c r="F10" s="158"/>
      <c r="G10" s="158"/>
      <c r="H10" s="158"/>
      <c r="I10" s="15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59" t="s">
        <v>57</v>
      </c>
      <c r="B14" s="159"/>
      <c r="C14" s="159"/>
      <c r="D14" s="159"/>
      <c r="E14" s="159"/>
      <c r="F14" s="159"/>
      <c r="G14" s="159"/>
      <c r="H14" s="159"/>
      <c r="I14" s="159"/>
    </row>
    <row r="15" spans="1:13">
      <c r="A15" s="161" t="s">
        <v>4</v>
      </c>
      <c r="B15" s="161"/>
      <c r="C15" s="161"/>
      <c r="D15" s="161"/>
      <c r="E15" s="161"/>
      <c r="F15" s="161"/>
      <c r="G15" s="161"/>
      <c r="H15" s="161"/>
      <c r="I15" s="161"/>
      <c r="J15" s="9"/>
      <c r="K15" s="9"/>
      <c r="L15" s="9"/>
      <c r="M15" s="9"/>
    </row>
    <row r="16" spans="1:13" ht="15.75" customHeight="1">
      <c r="A16" s="59">
        <v>1</v>
      </c>
      <c r="B16" s="64" t="s">
        <v>79</v>
      </c>
      <c r="C16" s="65" t="s">
        <v>83</v>
      </c>
      <c r="D16" s="64" t="s">
        <v>115</v>
      </c>
      <c r="E16" s="66">
        <v>54</v>
      </c>
      <c r="F16" s="67">
        <f>SUM(E16*156/100)</f>
        <v>84.24</v>
      </c>
      <c r="G16" s="67">
        <v>218.21</v>
      </c>
      <c r="H16" s="68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4" t="s">
        <v>113</v>
      </c>
      <c r="C17" s="65" t="s">
        <v>83</v>
      </c>
      <c r="D17" s="64" t="s">
        <v>116</v>
      </c>
      <c r="E17" s="66">
        <v>216</v>
      </c>
      <c r="F17" s="67">
        <f>SUM(E17*104/100)</f>
        <v>224.64</v>
      </c>
      <c r="G17" s="67">
        <v>218.21</v>
      </c>
      <c r="H17" s="68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4" t="s">
        <v>114</v>
      </c>
      <c r="C18" s="65" t="s">
        <v>83</v>
      </c>
      <c r="D18" s="64" t="s">
        <v>117</v>
      </c>
      <c r="E18" s="66">
        <f>SUM(E16+E17)</f>
        <v>270</v>
      </c>
      <c r="F18" s="67">
        <f>SUM(E18*24/100)</f>
        <v>64.8</v>
      </c>
      <c r="G18" s="67">
        <v>627.77</v>
      </c>
      <c r="H18" s="68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/>
      <c r="B19" s="64" t="s">
        <v>84</v>
      </c>
      <c r="C19" s="65" t="s">
        <v>85</v>
      </c>
      <c r="D19" s="64" t="s">
        <v>86</v>
      </c>
      <c r="E19" s="66">
        <v>40</v>
      </c>
      <c r="F19" s="67">
        <f>SUM(E19/10)</f>
        <v>4</v>
      </c>
      <c r="G19" s="67">
        <v>211.74</v>
      </c>
      <c r="H19" s="68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9"/>
      <c r="B20" s="64" t="s">
        <v>87</v>
      </c>
      <c r="C20" s="65" t="s">
        <v>83</v>
      </c>
      <c r="D20" s="64" t="s">
        <v>40</v>
      </c>
      <c r="E20" s="66">
        <v>10.5</v>
      </c>
      <c r="F20" s="67">
        <f>SUM(E20*2/100)</f>
        <v>0.21</v>
      </c>
      <c r="G20" s="67">
        <v>271.12</v>
      </c>
      <c r="H20" s="68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9"/>
      <c r="B21" s="64" t="s">
        <v>88</v>
      </c>
      <c r="C21" s="65" t="s">
        <v>83</v>
      </c>
      <c r="D21" s="64" t="s">
        <v>40</v>
      </c>
      <c r="E21" s="66">
        <v>2.7</v>
      </c>
      <c r="F21" s="67">
        <f>SUM(E21*2/100)</f>
        <v>5.4000000000000006E-2</v>
      </c>
      <c r="G21" s="67">
        <v>268.92</v>
      </c>
      <c r="H21" s="68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9"/>
      <c r="B22" s="64" t="s">
        <v>89</v>
      </c>
      <c r="C22" s="65" t="s">
        <v>50</v>
      </c>
      <c r="D22" s="64" t="s">
        <v>86</v>
      </c>
      <c r="E22" s="66">
        <v>357</v>
      </c>
      <c r="F22" s="67">
        <f t="shared" ref="F22:F25" si="1">SUM(E22/100)</f>
        <v>3.57</v>
      </c>
      <c r="G22" s="67">
        <v>335.05</v>
      </c>
      <c r="H22" s="68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9"/>
      <c r="B23" s="64" t="s">
        <v>90</v>
      </c>
      <c r="C23" s="65" t="s">
        <v>50</v>
      </c>
      <c r="D23" s="64" t="s">
        <v>86</v>
      </c>
      <c r="E23" s="69">
        <v>38.64</v>
      </c>
      <c r="F23" s="67">
        <f t="shared" si="1"/>
        <v>0.38640000000000002</v>
      </c>
      <c r="G23" s="67">
        <v>55.1</v>
      </c>
      <c r="H23" s="68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9"/>
      <c r="B24" s="64" t="s">
        <v>91</v>
      </c>
      <c r="C24" s="65" t="s">
        <v>50</v>
      </c>
      <c r="D24" s="70" t="s">
        <v>86</v>
      </c>
      <c r="E24" s="19">
        <v>15</v>
      </c>
      <c r="F24" s="71">
        <f t="shared" si="1"/>
        <v>0.15</v>
      </c>
      <c r="G24" s="67">
        <v>484.94</v>
      </c>
      <c r="H24" s="68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9"/>
      <c r="B25" s="64" t="s">
        <v>118</v>
      </c>
      <c r="C25" s="65" t="s">
        <v>50</v>
      </c>
      <c r="D25" s="64" t="s">
        <v>86</v>
      </c>
      <c r="E25" s="72">
        <v>6.38</v>
      </c>
      <c r="F25" s="67">
        <f t="shared" si="1"/>
        <v>6.3799999999999996E-2</v>
      </c>
      <c r="G25" s="67">
        <v>648.04999999999995</v>
      </c>
      <c r="H25" s="68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9">
        <v>4</v>
      </c>
      <c r="B26" s="64" t="s">
        <v>62</v>
      </c>
      <c r="C26" s="65" t="s">
        <v>31</v>
      </c>
      <c r="D26" s="64"/>
      <c r="E26" s="66">
        <v>0.1</v>
      </c>
      <c r="F26" s="67">
        <f>SUM(E26*365)</f>
        <v>36.5</v>
      </c>
      <c r="G26" s="67">
        <v>182.96</v>
      </c>
      <c r="H26" s="68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5" t="s">
        <v>23</v>
      </c>
      <c r="C27" s="65" t="s">
        <v>24</v>
      </c>
      <c r="D27" s="64"/>
      <c r="E27" s="66">
        <v>3216.2</v>
      </c>
      <c r="F27" s="67">
        <f>SUM(E27*12)</f>
        <v>38594.399999999994</v>
      </c>
      <c r="G27" s="67">
        <v>4.01</v>
      </c>
      <c r="H27" s="68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5" t="s">
        <v>150</v>
      </c>
      <c r="B28" s="166"/>
      <c r="C28" s="166"/>
      <c r="D28" s="166"/>
      <c r="E28" s="166"/>
      <c r="F28" s="166"/>
      <c r="G28" s="166"/>
      <c r="H28" s="166"/>
      <c r="I28" s="167"/>
      <c r="J28" s="24"/>
      <c r="K28" s="9"/>
      <c r="L28" s="9"/>
      <c r="M28" s="9"/>
    </row>
    <row r="29" spans="1:13" ht="15.75" hidden="1" customHeight="1">
      <c r="A29" s="104"/>
      <c r="B29" s="94" t="s">
        <v>27</v>
      </c>
      <c r="C29" s="105"/>
      <c r="D29" s="105"/>
      <c r="E29" s="105"/>
      <c r="F29" s="105"/>
      <c r="G29" s="105"/>
      <c r="H29" s="105"/>
      <c r="I29" s="105"/>
      <c r="J29" s="24"/>
      <c r="K29" s="9"/>
      <c r="L29" s="9"/>
      <c r="M29" s="9"/>
    </row>
    <row r="30" spans="1:13" ht="15.75" hidden="1" customHeight="1">
      <c r="A30" s="103"/>
      <c r="B30" s="64" t="s">
        <v>92</v>
      </c>
      <c r="C30" s="65" t="s">
        <v>93</v>
      </c>
      <c r="D30" s="64" t="s">
        <v>119</v>
      </c>
      <c r="E30" s="67">
        <v>191.65</v>
      </c>
      <c r="F30" s="67">
        <f>SUM(E30*52/1000)</f>
        <v>9.9658000000000015</v>
      </c>
      <c r="G30" s="67">
        <v>193.97</v>
      </c>
      <c r="H30" s="68">
        <f t="shared" ref="H30:H35" si="2">SUM(F30*G30/1000)</f>
        <v>1.9330662260000004</v>
      </c>
      <c r="I30" s="14">
        <v>0</v>
      </c>
      <c r="J30" s="24"/>
      <c r="K30" s="9"/>
      <c r="L30" s="9"/>
      <c r="M30" s="9"/>
    </row>
    <row r="31" spans="1:13" ht="31.5" hidden="1" customHeight="1">
      <c r="A31" s="59"/>
      <c r="B31" s="64" t="s">
        <v>151</v>
      </c>
      <c r="C31" s="65" t="s">
        <v>93</v>
      </c>
      <c r="D31" s="64" t="s">
        <v>120</v>
      </c>
      <c r="E31" s="67">
        <v>67.650000000000006</v>
      </c>
      <c r="F31" s="67">
        <f>SUM(E31*78/1000)</f>
        <v>5.2767000000000008</v>
      </c>
      <c r="G31" s="67">
        <v>321.82</v>
      </c>
      <c r="H31" s="68">
        <f t="shared" si="2"/>
        <v>1.6981475940000001</v>
      </c>
      <c r="I31" s="14">
        <v>0</v>
      </c>
      <c r="J31" s="24"/>
      <c r="K31" s="9"/>
      <c r="L31" s="9"/>
      <c r="M31" s="9"/>
    </row>
    <row r="32" spans="1:13" ht="15.75" hidden="1" customHeight="1">
      <c r="A32" s="59"/>
      <c r="B32" s="64" t="s">
        <v>26</v>
      </c>
      <c r="C32" s="65" t="s">
        <v>93</v>
      </c>
      <c r="D32" s="64" t="s">
        <v>51</v>
      </c>
      <c r="E32" s="67">
        <v>191.65</v>
      </c>
      <c r="F32" s="67">
        <f>SUM(E32/1000)</f>
        <v>0.19165000000000001</v>
      </c>
      <c r="G32" s="67">
        <v>3758.28</v>
      </c>
      <c r="H32" s="68">
        <f t="shared" si="2"/>
        <v>0.72027436200000006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4" t="s">
        <v>94</v>
      </c>
      <c r="C33" s="65" t="s">
        <v>29</v>
      </c>
      <c r="D33" s="64" t="s">
        <v>61</v>
      </c>
      <c r="E33" s="74">
        <f>1/3</f>
        <v>0.33333333333333331</v>
      </c>
      <c r="F33" s="67">
        <f>155/3</f>
        <v>51.666666666666664</v>
      </c>
      <c r="G33" s="67">
        <v>70.540000000000006</v>
      </c>
      <c r="H33" s="68">
        <f t="shared" si="2"/>
        <v>3.6445666666666665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4" t="s">
        <v>63</v>
      </c>
      <c r="C34" s="65" t="s">
        <v>31</v>
      </c>
      <c r="D34" s="64" t="s">
        <v>64</v>
      </c>
      <c r="E34" s="66"/>
      <c r="F34" s="67">
        <v>3</v>
      </c>
      <c r="G34" s="67">
        <v>238.07</v>
      </c>
      <c r="H34" s="68">
        <f t="shared" si="2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4" t="s">
        <v>137</v>
      </c>
      <c r="C35" s="65" t="s">
        <v>30</v>
      </c>
      <c r="D35" s="64" t="s">
        <v>64</v>
      </c>
      <c r="E35" s="66"/>
      <c r="F35" s="67">
        <v>2</v>
      </c>
      <c r="G35" s="67">
        <v>1413.96</v>
      </c>
      <c r="H35" s="68">
        <f t="shared" si="2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4"/>
      <c r="B36" s="94" t="s">
        <v>5</v>
      </c>
      <c r="C36" s="105"/>
      <c r="D36" s="105"/>
      <c r="E36" s="105"/>
      <c r="F36" s="105"/>
      <c r="G36" s="105"/>
      <c r="H36" s="105"/>
      <c r="I36" s="105"/>
      <c r="J36" s="25"/>
    </row>
    <row r="37" spans="1:14" ht="15.75" customHeight="1">
      <c r="A37" s="103">
        <v>6</v>
      </c>
      <c r="B37" s="64" t="s">
        <v>25</v>
      </c>
      <c r="C37" s="65" t="s">
        <v>30</v>
      </c>
      <c r="D37" s="64"/>
      <c r="E37" s="66"/>
      <c r="F37" s="67">
        <v>3</v>
      </c>
      <c r="G37" s="67">
        <v>1900.37</v>
      </c>
      <c r="H37" s="68">
        <f t="shared" ref="H37:H43" si="3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9">
        <v>7</v>
      </c>
      <c r="B38" s="64" t="s">
        <v>82</v>
      </c>
      <c r="C38" s="65" t="s">
        <v>28</v>
      </c>
      <c r="D38" s="64" t="s">
        <v>95</v>
      </c>
      <c r="E38" s="66">
        <v>67.650000000000006</v>
      </c>
      <c r="F38" s="67">
        <f>E38*30/1000</f>
        <v>2.0295000000000001</v>
      </c>
      <c r="G38" s="67">
        <v>2616.4899999999998</v>
      </c>
      <c r="H38" s="68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9">
        <v>8</v>
      </c>
      <c r="B39" s="64" t="s">
        <v>121</v>
      </c>
      <c r="C39" s="65" t="s">
        <v>28</v>
      </c>
      <c r="D39" s="64" t="s">
        <v>96</v>
      </c>
      <c r="E39" s="66">
        <v>67.650000000000006</v>
      </c>
      <c r="F39" s="67">
        <f>E39*155/1000</f>
        <v>10.485749999999999</v>
      </c>
      <c r="G39" s="67">
        <v>436.45</v>
      </c>
      <c r="H39" s="68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3">
        <v>9</v>
      </c>
      <c r="B40" s="64" t="s">
        <v>122</v>
      </c>
      <c r="C40" s="65" t="s">
        <v>123</v>
      </c>
      <c r="D40" s="64" t="s">
        <v>64</v>
      </c>
      <c r="E40" s="66"/>
      <c r="F40" s="67">
        <v>64</v>
      </c>
      <c r="G40" s="67">
        <v>226.84</v>
      </c>
      <c r="H40" s="68">
        <f>G40*F40/1000</f>
        <v>14.517760000000001</v>
      </c>
      <c r="I40" s="14">
        <f>G40*13</f>
        <v>2948.92</v>
      </c>
      <c r="J40" s="25"/>
    </row>
    <row r="41" spans="1:14" ht="47.25" customHeight="1">
      <c r="A41" s="59">
        <v>9</v>
      </c>
      <c r="B41" s="64" t="s">
        <v>77</v>
      </c>
      <c r="C41" s="65" t="s">
        <v>28</v>
      </c>
      <c r="D41" s="64" t="s">
        <v>124</v>
      </c>
      <c r="E41" s="67">
        <v>67.650000000000006</v>
      </c>
      <c r="F41" s="67">
        <f>SUM(E41*35/1000)</f>
        <v>2.36775</v>
      </c>
      <c r="G41" s="67">
        <v>7221.21</v>
      </c>
      <c r="H41" s="68">
        <f t="shared" si="3"/>
        <v>17.098019977500002</v>
      </c>
      <c r="I41" s="14">
        <f>F41/6*G41</f>
        <v>2849.6699962500002</v>
      </c>
      <c r="J41" s="25"/>
    </row>
    <row r="42" spans="1:14" ht="15.75" customHeight="1">
      <c r="A42" s="59">
        <v>10</v>
      </c>
      <c r="B42" s="64" t="s">
        <v>97</v>
      </c>
      <c r="C42" s="65" t="s">
        <v>93</v>
      </c>
      <c r="D42" s="64" t="s">
        <v>125</v>
      </c>
      <c r="E42" s="67">
        <v>67.650000000000006</v>
      </c>
      <c r="F42" s="67">
        <f>SUM(E42*20/1000)</f>
        <v>1.353</v>
      </c>
      <c r="G42" s="67">
        <v>533.45000000000005</v>
      </c>
      <c r="H42" s="68">
        <f t="shared" si="3"/>
        <v>0.72175785000000003</v>
      </c>
      <c r="I42" s="14">
        <f>F42/7.5*1.5*G42</f>
        <v>144.35157000000001</v>
      </c>
      <c r="J42" s="25"/>
    </row>
    <row r="43" spans="1:14" ht="15.75" customHeight="1">
      <c r="A43" s="103">
        <v>11</v>
      </c>
      <c r="B43" s="64" t="s">
        <v>65</v>
      </c>
      <c r="C43" s="65" t="s">
        <v>31</v>
      </c>
      <c r="D43" s="64"/>
      <c r="E43" s="66"/>
      <c r="F43" s="67">
        <v>0.8</v>
      </c>
      <c r="G43" s="67">
        <v>992.97</v>
      </c>
      <c r="H43" s="68">
        <f t="shared" si="3"/>
        <v>0.79437600000000008</v>
      </c>
      <c r="I43" s="14">
        <f>F43/7.5*1.5*G43</f>
        <v>158.87520000000001</v>
      </c>
      <c r="J43" s="25"/>
    </row>
    <row r="44" spans="1:14" ht="17.25" customHeight="1">
      <c r="A44" s="162" t="s">
        <v>141</v>
      </c>
      <c r="B44" s="163"/>
      <c r="C44" s="163"/>
      <c r="D44" s="163"/>
      <c r="E44" s="163"/>
      <c r="F44" s="163"/>
      <c r="G44" s="163"/>
      <c r="H44" s="163"/>
      <c r="I44" s="164"/>
      <c r="J44" s="25"/>
      <c r="L44" s="20"/>
      <c r="M44" s="21"/>
      <c r="N44" s="22"/>
    </row>
    <row r="45" spans="1:14" ht="24" hidden="1" customHeight="1">
      <c r="A45" s="59"/>
      <c r="B45" s="64" t="s">
        <v>98</v>
      </c>
      <c r="C45" s="65" t="s">
        <v>93</v>
      </c>
      <c r="D45" s="64" t="s">
        <v>40</v>
      </c>
      <c r="E45" s="66">
        <v>1114.75</v>
      </c>
      <c r="F45" s="67">
        <f>SUM(E45*2/1000)</f>
        <v>2.2294999999999998</v>
      </c>
      <c r="G45" s="14">
        <v>1283.46</v>
      </c>
      <c r="H45" s="68">
        <f t="shared" ref="H45:H54" si="4">SUM(F45*G45/1000)</f>
        <v>2.8614740699999999</v>
      </c>
      <c r="I45" s="14">
        <v>0</v>
      </c>
      <c r="J45" s="25"/>
      <c r="L45" s="20"/>
      <c r="M45" s="21"/>
      <c r="N45" s="22"/>
    </row>
    <row r="46" spans="1:14" ht="21.75" hidden="1" customHeight="1">
      <c r="A46" s="59"/>
      <c r="B46" s="64" t="s">
        <v>34</v>
      </c>
      <c r="C46" s="65" t="s">
        <v>93</v>
      </c>
      <c r="D46" s="64" t="s">
        <v>40</v>
      </c>
      <c r="E46" s="66">
        <v>1563.3</v>
      </c>
      <c r="F46" s="67">
        <f>SUM(E46*2/1000)</f>
        <v>3.1265999999999998</v>
      </c>
      <c r="G46" s="14">
        <v>1711.28</v>
      </c>
      <c r="H46" s="68">
        <f t="shared" si="4"/>
        <v>5.350488047999999</v>
      </c>
      <c r="I46" s="14">
        <v>0</v>
      </c>
      <c r="J46" s="25"/>
      <c r="L46" s="20"/>
      <c r="M46" s="21"/>
      <c r="N46" s="22"/>
    </row>
    <row r="47" spans="1:14" ht="24" hidden="1" customHeight="1">
      <c r="A47" s="59"/>
      <c r="B47" s="64" t="s">
        <v>35</v>
      </c>
      <c r="C47" s="65" t="s">
        <v>93</v>
      </c>
      <c r="D47" s="64" t="s">
        <v>40</v>
      </c>
      <c r="E47" s="66">
        <v>1619.6</v>
      </c>
      <c r="F47" s="67">
        <f>SUM(E47*2/1000)</f>
        <v>3.2391999999999999</v>
      </c>
      <c r="G47" s="14">
        <v>1179.73</v>
      </c>
      <c r="H47" s="68">
        <f t="shared" si="4"/>
        <v>3.8213814159999999</v>
      </c>
      <c r="I47" s="14">
        <v>0</v>
      </c>
      <c r="J47" s="25"/>
      <c r="L47" s="20"/>
      <c r="M47" s="21"/>
      <c r="N47" s="22"/>
    </row>
    <row r="48" spans="1:14" ht="24" hidden="1" customHeight="1">
      <c r="A48" s="59"/>
      <c r="B48" s="64" t="s">
        <v>32</v>
      </c>
      <c r="C48" s="65" t="s">
        <v>33</v>
      </c>
      <c r="D48" s="64" t="s">
        <v>40</v>
      </c>
      <c r="E48" s="66">
        <v>85.84</v>
      </c>
      <c r="F48" s="67">
        <f>SUM(E48*2/100)</f>
        <v>1.7168000000000001</v>
      </c>
      <c r="G48" s="14">
        <v>90.61</v>
      </c>
      <c r="H48" s="68">
        <f t="shared" si="4"/>
        <v>0.15555924799999998</v>
      </c>
      <c r="I48" s="14">
        <v>0</v>
      </c>
      <c r="J48" s="25"/>
      <c r="L48" s="20"/>
      <c r="M48" s="21"/>
      <c r="N48" s="22"/>
    </row>
    <row r="49" spans="1:14" ht="29.25" hidden="1" customHeight="1">
      <c r="A49" s="59">
        <v>12</v>
      </c>
      <c r="B49" s="64" t="s">
        <v>54</v>
      </c>
      <c r="C49" s="65" t="s">
        <v>93</v>
      </c>
      <c r="D49" s="64" t="s">
        <v>152</v>
      </c>
      <c r="E49" s="66">
        <v>3216.2</v>
      </c>
      <c r="F49" s="67">
        <f>SUM(E49*5/1000)</f>
        <v>16.081</v>
      </c>
      <c r="G49" s="14">
        <v>1711.28</v>
      </c>
      <c r="H49" s="68">
        <f t="shared" si="4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9" customHeight="1">
      <c r="A50" s="59">
        <v>12</v>
      </c>
      <c r="B50" s="64" t="s">
        <v>99</v>
      </c>
      <c r="C50" s="65" t="s">
        <v>93</v>
      </c>
      <c r="D50" s="64" t="s">
        <v>40</v>
      </c>
      <c r="E50" s="66">
        <v>3216.2</v>
      </c>
      <c r="F50" s="67">
        <f>SUM(E50*2/1000)</f>
        <v>6.4323999999999995</v>
      </c>
      <c r="G50" s="14">
        <v>1510.06</v>
      </c>
      <c r="H50" s="68">
        <f t="shared" si="4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8.25" customHeight="1">
      <c r="A51" s="59">
        <v>13</v>
      </c>
      <c r="B51" s="64" t="s">
        <v>100</v>
      </c>
      <c r="C51" s="65" t="s">
        <v>36</v>
      </c>
      <c r="D51" s="64" t="s">
        <v>40</v>
      </c>
      <c r="E51" s="66">
        <v>16</v>
      </c>
      <c r="F51" s="67">
        <f>SUM(E51*2/100)</f>
        <v>0.32</v>
      </c>
      <c r="G51" s="14">
        <v>3850.4</v>
      </c>
      <c r="H51" s="68">
        <f t="shared" si="4"/>
        <v>1.2321280000000001</v>
      </c>
      <c r="I51" s="14">
        <f t="shared" ref="I51:I52" si="5">F51/2*G51</f>
        <v>616.06400000000008</v>
      </c>
      <c r="J51" s="25"/>
      <c r="L51" s="20"/>
      <c r="M51" s="21"/>
      <c r="N51" s="22"/>
    </row>
    <row r="52" spans="1:14" ht="19.5" customHeight="1">
      <c r="A52" s="59">
        <v>14</v>
      </c>
      <c r="B52" s="64" t="s">
        <v>37</v>
      </c>
      <c r="C52" s="65" t="s">
        <v>38</v>
      </c>
      <c r="D52" s="64" t="s">
        <v>40</v>
      </c>
      <c r="E52" s="66">
        <v>1</v>
      </c>
      <c r="F52" s="67">
        <v>0.02</v>
      </c>
      <c r="G52" s="14">
        <v>7033.13</v>
      </c>
      <c r="H52" s="68">
        <f t="shared" si="4"/>
        <v>0.1406626</v>
      </c>
      <c r="I52" s="14">
        <f t="shared" si="5"/>
        <v>70.331299999999999</v>
      </c>
      <c r="J52" s="25"/>
      <c r="L52" s="20"/>
      <c r="M52" s="21"/>
      <c r="N52" s="22"/>
    </row>
    <row r="53" spans="1:14" ht="28.5" hidden="1" customHeight="1">
      <c r="A53" s="59"/>
      <c r="B53" s="138" t="s">
        <v>176</v>
      </c>
      <c r="C53" s="65"/>
      <c r="D53" s="64"/>
      <c r="E53" s="66"/>
      <c r="F53" s="67"/>
      <c r="G53" s="14"/>
      <c r="H53" s="68"/>
      <c r="I53" s="14"/>
      <c r="J53" s="25"/>
      <c r="L53" s="20"/>
      <c r="M53" s="21"/>
      <c r="N53" s="22"/>
    </row>
    <row r="54" spans="1:14" ht="27.75" hidden="1" customHeight="1">
      <c r="A54" s="59">
        <v>13</v>
      </c>
      <c r="B54" s="64" t="s">
        <v>39</v>
      </c>
      <c r="C54" s="65" t="s">
        <v>101</v>
      </c>
      <c r="D54" s="64" t="s">
        <v>66</v>
      </c>
      <c r="E54" s="66">
        <v>128</v>
      </c>
      <c r="F54" s="67">
        <f>SUM(E54)*3</f>
        <v>384</v>
      </c>
      <c r="G54" s="14">
        <v>81.73</v>
      </c>
      <c r="H54" s="68">
        <f t="shared" si="4"/>
        <v>31.384319999999999</v>
      </c>
      <c r="I54" s="14">
        <f>E54*G54</f>
        <v>10461.44</v>
      </c>
      <c r="J54" s="25"/>
      <c r="L54" s="20"/>
      <c r="M54" s="21"/>
      <c r="N54" s="22"/>
    </row>
    <row r="55" spans="1:14" ht="15.75" customHeight="1">
      <c r="A55" s="162" t="s">
        <v>80</v>
      </c>
      <c r="B55" s="172"/>
      <c r="C55" s="172"/>
      <c r="D55" s="172"/>
      <c r="E55" s="172"/>
      <c r="F55" s="172"/>
      <c r="G55" s="172"/>
      <c r="H55" s="172"/>
      <c r="I55" s="173"/>
      <c r="J55" s="25"/>
      <c r="L55" s="20"/>
      <c r="M55" s="21"/>
      <c r="N55" s="22"/>
    </row>
    <row r="56" spans="1:14" ht="15.75" customHeight="1">
      <c r="A56" s="59"/>
      <c r="B56" s="88" t="s">
        <v>41</v>
      </c>
      <c r="C56" s="65"/>
      <c r="D56" s="64"/>
      <c r="E56" s="66"/>
      <c r="F56" s="67"/>
      <c r="G56" s="67"/>
      <c r="H56" s="68"/>
      <c r="I56" s="14"/>
      <c r="J56" s="25"/>
      <c r="L56" s="20"/>
      <c r="M56" s="21"/>
      <c r="N56" s="22"/>
    </row>
    <row r="57" spans="1:14" ht="31.5" customHeight="1">
      <c r="A57" s="59">
        <v>15</v>
      </c>
      <c r="B57" s="64" t="s">
        <v>126</v>
      </c>
      <c r="C57" s="65" t="s">
        <v>83</v>
      </c>
      <c r="D57" s="64" t="s">
        <v>127</v>
      </c>
      <c r="E57" s="66">
        <v>123.31</v>
      </c>
      <c r="F57" s="67">
        <f>SUM(E57*6/100)</f>
        <v>7.3986000000000001</v>
      </c>
      <c r="G57" s="14">
        <v>2306.62</v>
      </c>
      <c r="H57" s="68">
        <f>SUM(F57*G57/1000)</f>
        <v>17.065758731999999</v>
      </c>
      <c r="I57" s="14">
        <f>G57*0.31</f>
        <v>715.05219999999997</v>
      </c>
      <c r="J57" s="25"/>
      <c r="L57" s="20"/>
      <c r="M57" s="21"/>
      <c r="N57" s="22"/>
    </row>
    <row r="58" spans="1:14" ht="18" customHeight="1">
      <c r="A58" s="60">
        <v>16</v>
      </c>
      <c r="B58" s="77" t="s">
        <v>128</v>
      </c>
      <c r="C58" s="76" t="s">
        <v>129</v>
      </c>
      <c r="D58" s="77" t="s">
        <v>64</v>
      </c>
      <c r="E58" s="78"/>
      <c r="F58" s="79">
        <v>3</v>
      </c>
      <c r="G58" s="14">
        <v>1501</v>
      </c>
      <c r="H58" s="68">
        <f>SUM(F58*G58/1000)</f>
        <v>4.5030000000000001</v>
      </c>
      <c r="I58" s="14">
        <f>G58</f>
        <v>1501</v>
      </c>
      <c r="J58" s="25"/>
      <c r="L58" s="20"/>
      <c r="M58" s="21"/>
      <c r="N58" s="22"/>
    </row>
    <row r="59" spans="1:14" ht="18.75" hidden="1" customHeight="1">
      <c r="A59" s="60"/>
      <c r="B59" s="89" t="s">
        <v>42</v>
      </c>
      <c r="C59" s="76"/>
      <c r="D59" s="77"/>
      <c r="E59" s="78"/>
      <c r="F59" s="79"/>
      <c r="G59" s="14"/>
      <c r="H59" s="80"/>
      <c r="I59" s="14"/>
      <c r="J59" s="25"/>
      <c r="L59" s="20"/>
      <c r="M59" s="21"/>
      <c r="N59" s="22"/>
    </row>
    <row r="60" spans="1:14" ht="18.75" hidden="1" customHeight="1">
      <c r="A60" s="60"/>
      <c r="B60" s="77" t="s">
        <v>139</v>
      </c>
      <c r="C60" s="76" t="s">
        <v>50</v>
      </c>
      <c r="D60" s="77" t="s">
        <v>51</v>
      </c>
      <c r="E60" s="78">
        <v>451</v>
      </c>
      <c r="F60" s="79">
        <v>8.9</v>
      </c>
      <c r="G60" s="14">
        <v>987.51</v>
      </c>
      <c r="H60" s="80">
        <f>F60*G60/1000</f>
        <v>8.7888389999999994</v>
      </c>
      <c r="I60" s="14">
        <v>0</v>
      </c>
      <c r="J60" s="25"/>
      <c r="L60" s="20"/>
      <c r="M60" s="21"/>
      <c r="N60" s="22"/>
    </row>
    <row r="61" spans="1:14" ht="15.75" customHeight="1">
      <c r="A61" s="60"/>
      <c r="B61" s="89" t="s">
        <v>43</v>
      </c>
      <c r="C61" s="76"/>
      <c r="D61" s="77"/>
      <c r="E61" s="108"/>
      <c r="F61" s="67"/>
      <c r="G61" s="111"/>
      <c r="H61" s="79" t="s">
        <v>138</v>
      </c>
      <c r="I61" s="14"/>
      <c r="J61" s="25"/>
      <c r="L61" s="20"/>
      <c r="M61" s="21"/>
      <c r="N61" s="22"/>
    </row>
    <row r="62" spans="1:14" ht="15.75" hidden="1" customHeight="1">
      <c r="A62" s="17"/>
      <c r="B62" s="15" t="s">
        <v>44</v>
      </c>
      <c r="C62" s="17" t="s">
        <v>101</v>
      </c>
      <c r="D62" s="15" t="s">
        <v>64</v>
      </c>
      <c r="E62" s="109">
        <v>10</v>
      </c>
      <c r="F62" s="67">
        <f>E62</f>
        <v>10</v>
      </c>
      <c r="G62" s="112">
        <v>276.74</v>
      </c>
      <c r="H62" s="63">
        <f t="shared" ref="H62:H70" si="6">SUM(F62*G62/1000)</f>
        <v>2.7674000000000003</v>
      </c>
      <c r="I62" s="14">
        <v>0</v>
      </c>
      <c r="J62" s="25"/>
      <c r="L62" s="20"/>
    </row>
    <row r="63" spans="1:14" ht="15.75" hidden="1" customHeight="1">
      <c r="A63" s="17"/>
      <c r="B63" s="15" t="s">
        <v>45</v>
      </c>
      <c r="C63" s="17" t="s">
        <v>101</v>
      </c>
      <c r="D63" s="15" t="s">
        <v>64</v>
      </c>
      <c r="E63" s="109">
        <v>10</v>
      </c>
      <c r="F63" s="67">
        <f>E63</f>
        <v>10</v>
      </c>
      <c r="G63" s="112">
        <v>94.89</v>
      </c>
      <c r="H63" s="63">
        <f t="shared" si="6"/>
        <v>0.94889999999999997</v>
      </c>
      <c r="I63" s="14">
        <v>0</v>
      </c>
      <c r="J63" s="25"/>
      <c r="L63" s="20"/>
    </row>
    <row r="64" spans="1:14" ht="15.75" hidden="1" customHeight="1">
      <c r="A64" s="17"/>
      <c r="B64" s="15" t="s">
        <v>46</v>
      </c>
      <c r="C64" s="17" t="s">
        <v>102</v>
      </c>
      <c r="D64" s="15" t="s">
        <v>51</v>
      </c>
      <c r="E64" s="110">
        <v>13447</v>
      </c>
      <c r="F64" s="67">
        <f>SUM(E64/100)</f>
        <v>134.47</v>
      </c>
      <c r="G64" s="112">
        <v>263.99</v>
      </c>
      <c r="H64" s="63">
        <f t="shared" si="6"/>
        <v>35.4987353</v>
      </c>
      <c r="I64" s="14">
        <v>0</v>
      </c>
      <c r="J64" s="25"/>
      <c r="L64" s="20"/>
    </row>
    <row r="65" spans="1:22" ht="15.75" hidden="1" customHeight="1">
      <c r="A65" s="17"/>
      <c r="B65" s="15" t="s">
        <v>47</v>
      </c>
      <c r="C65" s="17" t="s">
        <v>103</v>
      </c>
      <c r="D65" s="15"/>
      <c r="E65" s="110">
        <v>13447</v>
      </c>
      <c r="F65" s="67">
        <f>SUM(E65/1000)</f>
        <v>13.446999999999999</v>
      </c>
      <c r="G65" s="112">
        <v>205.57</v>
      </c>
      <c r="H65" s="63">
        <f t="shared" si="6"/>
        <v>2.7642997899999995</v>
      </c>
      <c r="I65" s="14">
        <v>0</v>
      </c>
    </row>
    <row r="66" spans="1:22" ht="15.75" hidden="1" customHeight="1">
      <c r="A66" s="17"/>
      <c r="B66" s="15" t="s">
        <v>48</v>
      </c>
      <c r="C66" s="17" t="s">
        <v>72</v>
      </c>
      <c r="D66" s="15" t="s">
        <v>51</v>
      </c>
      <c r="E66" s="110">
        <v>2200</v>
      </c>
      <c r="F66" s="67">
        <f>SUM(E66/100)</f>
        <v>22</v>
      </c>
      <c r="G66" s="112">
        <v>2581.5300000000002</v>
      </c>
      <c r="H66" s="63">
        <f t="shared" si="6"/>
        <v>56.793660000000003</v>
      </c>
      <c r="I66" s="14">
        <v>0</v>
      </c>
    </row>
    <row r="67" spans="1:22" ht="15.75" hidden="1" customHeight="1">
      <c r="A67" s="17"/>
      <c r="B67" s="81" t="s">
        <v>104</v>
      </c>
      <c r="C67" s="17" t="s">
        <v>31</v>
      </c>
      <c r="D67" s="15"/>
      <c r="E67" s="110">
        <v>12.1</v>
      </c>
      <c r="F67" s="67">
        <f>SUM(E67)</f>
        <v>12.1</v>
      </c>
      <c r="G67" s="112">
        <v>47.45</v>
      </c>
      <c r="H67" s="63">
        <f t="shared" si="6"/>
        <v>0.57414500000000002</v>
      </c>
      <c r="I67" s="14">
        <v>0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10"/>
    </row>
    <row r="68" spans="1:22" ht="15.75" hidden="1" customHeight="1">
      <c r="A68" s="106"/>
      <c r="B68" s="81" t="s">
        <v>105</v>
      </c>
      <c r="C68" s="17" t="s">
        <v>31</v>
      </c>
      <c r="D68" s="15"/>
      <c r="E68" s="110">
        <v>12.1</v>
      </c>
      <c r="F68" s="67">
        <f>SUM(E68)</f>
        <v>12.1</v>
      </c>
      <c r="G68" s="112">
        <v>44.27</v>
      </c>
      <c r="H68" s="63">
        <f t="shared" si="6"/>
        <v>0.535667</v>
      </c>
      <c r="I68" s="14">
        <v>0</v>
      </c>
      <c r="J68" s="27"/>
      <c r="K68" s="27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2" ht="15.75" hidden="1" customHeight="1">
      <c r="A69" s="17"/>
      <c r="B69" s="15" t="s">
        <v>55</v>
      </c>
      <c r="C69" s="17" t="s">
        <v>56</v>
      </c>
      <c r="D69" s="15" t="s">
        <v>51</v>
      </c>
      <c r="E69" s="109">
        <v>4</v>
      </c>
      <c r="F69" s="67">
        <v>4</v>
      </c>
      <c r="G69" s="112">
        <v>62.07</v>
      </c>
      <c r="H69" s="63">
        <f t="shared" si="6"/>
        <v>0.24828</v>
      </c>
      <c r="I69" s="14">
        <v>0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customHeight="1">
      <c r="A70" s="17">
        <v>17</v>
      </c>
      <c r="B70" s="15" t="s">
        <v>130</v>
      </c>
      <c r="C70" s="31" t="s">
        <v>131</v>
      </c>
      <c r="D70" s="15"/>
      <c r="E70" s="109">
        <v>3216.2</v>
      </c>
      <c r="F70" s="113">
        <v>38594.400000000001</v>
      </c>
      <c r="G70" s="112">
        <v>2.16</v>
      </c>
      <c r="H70" s="63">
        <f t="shared" si="6"/>
        <v>83.363904000000005</v>
      </c>
      <c r="I70" s="14">
        <f>F70/12*G70</f>
        <v>6946.9920000000011</v>
      </c>
      <c r="J70" s="4"/>
      <c r="K70" s="4"/>
      <c r="L70" s="4"/>
      <c r="M70" s="4"/>
      <c r="N70" s="4"/>
      <c r="O70" s="4"/>
      <c r="P70" s="4"/>
      <c r="Q70" s="4"/>
      <c r="S70" s="4"/>
      <c r="T70" s="4"/>
      <c r="U70" s="4"/>
    </row>
    <row r="71" spans="1:22" ht="15.75" hidden="1" customHeight="1">
      <c r="A71" s="106"/>
      <c r="B71" s="94" t="s">
        <v>67</v>
      </c>
      <c r="C71" s="17"/>
      <c r="D71" s="15"/>
      <c r="E71" s="19"/>
      <c r="F71" s="14"/>
      <c r="G71" s="14"/>
      <c r="H71" s="63" t="s">
        <v>138</v>
      </c>
      <c r="I71" s="14"/>
      <c r="J71" s="6"/>
      <c r="K71" s="6"/>
      <c r="L71" s="6"/>
      <c r="M71" s="6"/>
      <c r="N71" s="6"/>
      <c r="O71" s="6"/>
      <c r="P71" s="6"/>
      <c r="Q71" s="6"/>
      <c r="R71" s="152"/>
      <c r="S71" s="152"/>
      <c r="T71" s="152"/>
      <c r="U71" s="152"/>
    </row>
    <row r="72" spans="1:22" ht="15.75" hidden="1" customHeight="1">
      <c r="A72" s="17"/>
      <c r="B72" s="15" t="s">
        <v>132</v>
      </c>
      <c r="C72" s="17" t="s">
        <v>133</v>
      </c>
      <c r="D72" s="15" t="s">
        <v>64</v>
      </c>
      <c r="E72" s="19">
        <v>2</v>
      </c>
      <c r="F72" s="14">
        <f>E72</f>
        <v>2</v>
      </c>
      <c r="G72" s="14">
        <v>976.4</v>
      </c>
      <c r="H72" s="63">
        <f t="shared" ref="H72:H76" si="7">SUM(F72*G72/1000)</f>
        <v>1.9527999999999999</v>
      </c>
      <c r="I72" s="14"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2" ht="15.75" hidden="1" customHeight="1">
      <c r="A73" s="17"/>
      <c r="B73" s="15" t="s">
        <v>108</v>
      </c>
      <c r="C73" s="17" t="s">
        <v>134</v>
      </c>
      <c r="D73" s="15" t="s">
        <v>64</v>
      </c>
      <c r="E73" s="19">
        <v>1</v>
      </c>
      <c r="F73" s="14">
        <v>1</v>
      </c>
      <c r="G73" s="14">
        <v>735</v>
      </c>
      <c r="H73" s="63">
        <f t="shared" si="7"/>
        <v>0.73499999999999999</v>
      </c>
      <c r="I73" s="14">
        <v>0</v>
      </c>
    </row>
    <row r="74" spans="1:22" ht="15.75" hidden="1" customHeight="1">
      <c r="A74" s="17"/>
      <c r="B74" s="15" t="s">
        <v>68</v>
      </c>
      <c r="C74" s="17" t="s">
        <v>70</v>
      </c>
      <c r="D74" s="15" t="s">
        <v>64</v>
      </c>
      <c r="E74" s="19">
        <v>4</v>
      </c>
      <c r="F74" s="14">
        <f>E74/10</f>
        <v>0.4</v>
      </c>
      <c r="G74" s="14">
        <v>624.16999999999996</v>
      </c>
      <c r="H74" s="63">
        <f t="shared" si="7"/>
        <v>0.249668</v>
      </c>
      <c r="I74" s="14">
        <v>0</v>
      </c>
    </row>
    <row r="75" spans="1:22" ht="15.75" hidden="1" customHeight="1">
      <c r="A75" s="17"/>
      <c r="B75" s="15" t="s">
        <v>69</v>
      </c>
      <c r="C75" s="17" t="s">
        <v>29</v>
      </c>
      <c r="D75" s="15" t="s">
        <v>64</v>
      </c>
      <c r="E75" s="19">
        <v>1</v>
      </c>
      <c r="F75" s="55">
        <v>1</v>
      </c>
      <c r="G75" s="14">
        <v>1061.4100000000001</v>
      </c>
      <c r="H75" s="63">
        <f t="shared" si="7"/>
        <v>1.0614100000000002</v>
      </c>
      <c r="I75" s="14">
        <v>0</v>
      </c>
    </row>
    <row r="76" spans="1:22" ht="15.75" hidden="1" customHeight="1">
      <c r="A76" s="17"/>
      <c r="B76" s="15" t="s">
        <v>135</v>
      </c>
      <c r="C76" s="17" t="s">
        <v>133</v>
      </c>
      <c r="D76" s="15" t="s">
        <v>64</v>
      </c>
      <c r="E76" s="19">
        <v>1</v>
      </c>
      <c r="F76" s="14">
        <f>E76</f>
        <v>1</v>
      </c>
      <c r="G76" s="14">
        <v>976.1</v>
      </c>
      <c r="H76" s="63">
        <f t="shared" si="7"/>
        <v>0.97609999999999997</v>
      </c>
      <c r="I76" s="14">
        <v>0</v>
      </c>
    </row>
    <row r="77" spans="1:22" ht="15.75" hidden="1" customHeight="1">
      <c r="A77" s="106"/>
      <c r="B77" s="107" t="s">
        <v>71</v>
      </c>
      <c r="C77" s="17"/>
      <c r="D77" s="15"/>
      <c r="E77" s="19"/>
      <c r="F77" s="14"/>
      <c r="G77" s="14" t="s">
        <v>138</v>
      </c>
      <c r="H77" s="63" t="s">
        <v>138</v>
      </c>
      <c r="I77" s="14"/>
    </row>
    <row r="78" spans="1:22" ht="15.75" hidden="1" customHeight="1">
      <c r="A78" s="17"/>
      <c r="B78" s="43" t="s">
        <v>109</v>
      </c>
      <c r="C78" s="17" t="s">
        <v>72</v>
      </c>
      <c r="D78" s="15"/>
      <c r="E78" s="19"/>
      <c r="F78" s="14">
        <v>0.1</v>
      </c>
      <c r="G78" s="14">
        <v>3433.68</v>
      </c>
      <c r="H78" s="63">
        <f t="shared" ref="H78" si="8">SUM(F78*G78/1000)</f>
        <v>0.34336800000000001</v>
      </c>
      <c r="I78" s="14">
        <v>0</v>
      </c>
    </row>
    <row r="79" spans="1:22" ht="15.75" hidden="1" customHeight="1">
      <c r="A79" s="106"/>
      <c r="B79" s="96" t="s">
        <v>106</v>
      </c>
      <c r="C79" s="83"/>
      <c r="D79" s="33"/>
      <c r="E79" s="34"/>
      <c r="F79" s="73"/>
      <c r="G79" s="73"/>
      <c r="H79" s="84">
        <f>SUM(H57:H78)</f>
        <v>219.17093482199999</v>
      </c>
      <c r="I79" s="73"/>
    </row>
    <row r="80" spans="1:22" ht="15.75" hidden="1" customHeight="1">
      <c r="A80" s="17"/>
      <c r="B80" s="64" t="s">
        <v>107</v>
      </c>
      <c r="C80" s="17"/>
      <c r="D80" s="15"/>
      <c r="E80" s="85"/>
      <c r="F80" s="14">
        <v>1</v>
      </c>
      <c r="G80" s="14">
        <v>14133</v>
      </c>
      <c r="H80" s="63">
        <f>G80*F80/1000</f>
        <v>14.132999999999999</v>
      </c>
      <c r="I80" s="14">
        <v>0</v>
      </c>
    </row>
    <row r="81" spans="1:9" ht="15.75" customHeight="1">
      <c r="A81" s="162" t="s">
        <v>148</v>
      </c>
      <c r="B81" s="172"/>
      <c r="C81" s="172"/>
      <c r="D81" s="172"/>
      <c r="E81" s="172"/>
      <c r="F81" s="172"/>
      <c r="G81" s="172"/>
      <c r="H81" s="172"/>
      <c r="I81" s="173"/>
    </row>
    <row r="82" spans="1:9" ht="15.75" customHeight="1">
      <c r="A82" s="17">
        <v>18</v>
      </c>
      <c r="B82" s="64" t="s">
        <v>111</v>
      </c>
      <c r="C82" s="17" t="s">
        <v>52</v>
      </c>
      <c r="D82" s="86" t="s">
        <v>53</v>
      </c>
      <c r="E82" s="14">
        <v>3216.2</v>
      </c>
      <c r="F82" s="14">
        <f>SUM(E82*12)</f>
        <v>38594.399999999994</v>
      </c>
      <c r="G82" s="14">
        <v>2.95</v>
      </c>
      <c r="H82" s="63">
        <f>SUM(F82*G82/1000)</f>
        <v>113.85347999999999</v>
      </c>
      <c r="I82" s="14">
        <f>F82/12*G82</f>
        <v>9487.7899999999991</v>
      </c>
    </row>
    <row r="83" spans="1:9" ht="31.5" customHeight="1">
      <c r="A83" s="87">
        <v>19</v>
      </c>
      <c r="B83" s="15" t="s">
        <v>73</v>
      </c>
      <c r="C83" s="17"/>
      <c r="D83" s="86" t="s">
        <v>53</v>
      </c>
      <c r="E83" s="66">
        <v>3216.2</v>
      </c>
      <c r="F83" s="14">
        <f>E83*12</f>
        <v>38594.399999999994</v>
      </c>
      <c r="G83" s="14">
        <v>3.05</v>
      </c>
      <c r="H83" s="63">
        <f>F83*G83/1000</f>
        <v>117.71291999999997</v>
      </c>
      <c r="I83" s="14">
        <f>F83/12*G83</f>
        <v>9809.409999999998</v>
      </c>
    </row>
    <row r="84" spans="1:9" ht="15.75" customHeight="1">
      <c r="A84" s="61"/>
      <c r="B84" s="36" t="s">
        <v>75</v>
      </c>
      <c r="C84" s="83"/>
      <c r="D84" s="82"/>
      <c r="E84" s="73"/>
      <c r="F84" s="73"/>
      <c r="G84" s="73"/>
      <c r="H84" s="84">
        <f>H83</f>
        <v>117.71291999999997</v>
      </c>
      <c r="I84" s="73">
        <f>I83+I82+I70+I58+I57+I52+I51+I50+I43+I42+I41+I39+I38+I37+I27+I26+I18+I17+I16</f>
        <v>62214.303645333312</v>
      </c>
    </row>
    <row r="85" spans="1:9" ht="15.75" customHeight="1">
      <c r="A85" s="168" t="s">
        <v>58</v>
      </c>
      <c r="B85" s="169"/>
      <c r="C85" s="169"/>
      <c r="D85" s="169"/>
      <c r="E85" s="169"/>
      <c r="F85" s="169"/>
      <c r="G85" s="169"/>
      <c r="H85" s="169"/>
      <c r="I85" s="170"/>
    </row>
    <row r="86" spans="1:9" ht="16.5" customHeight="1">
      <c r="A86" s="116">
        <v>20</v>
      </c>
      <c r="B86" s="133" t="s">
        <v>167</v>
      </c>
      <c r="C86" s="134" t="s">
        <v>168</v>
      </c>
      <c r="D86" s="43"/>
      <c r="E86" s="14"/>
      <c r="F86" s="14">
        <v>2</v>
      </c>
      <c r="G86" s="141">
        <v>1.2</v>
      </c>
      <c r="H86" s="63">
        <f t="shared" ref="H86:H88" si="9">G86*F86/1000</f>
        <v>2.3999999999999998E-3</v>
      </c>
      <c r="I86" s="115">
        <f>G86*100</f>
        <v>120</v>
      </c>
    </row>
    <row r="87" spans="1:9" ht="17.25" customHeight="1">
      <c r="A87" s="62">
        <v>21</v>
      </c>
      <c r="B87" s="142" t="s">
        <v>177</v>
      </c>
      <c r="C87" s="143" t="s">
        <v>93</v>
      </c>
      <c r="D87" s="43"/>
      <c r="E87" s="14"/>
      <c r="F87" s="14">
        <v>1</v>
      </c>
      <c r="G87" s="126">
        <v>1283.46</v>
      </c>
      <c r="H87" s="63">
        <f t="shared" si="9"/>
        <v>1.28346</v>
      </c>
      <c r="I87" s="115">
        <f>G87*0.04</f>
        <v>51.3384</v>
      </c>
    </row>
    <row r="88" spans="1:9" ht="15.75" customHeight="1">
      <c r="A88" s="62">
        <v>22</v>
      </c>
      <c r="B88" s="144" t="s">
        <v>178</v>
      </c>
      <c r="C88" s="124" t="s">
        <v>101</v>
      </c>
      <c r="D88" s="43"/>
      <c r="E88" s="14"/>
      <c r="F88" s="14">
        <v>1</v>
      </c>
      <c r="G88" s="126">
        <v>197.26</v>
      </c>
      <c r="H88" s="63">
        <f t="shared" si="9"/>
        <v>0.19725999999999999</v>
      </c>
      <c r="I88" s="115">
        <f>G88*1</f>
        <v>197.26</v>
      </c>
    </row>
    <row r="89" spans="1:9" ht="15.75" customHeight="1">
      <c r="A89" s="62">
        <v>23</v>
      </c>
      <c r="B89" s="123" t="s">
        <v>179</v>
      </c>
      <c r="C89" s="124" t="s">
        <v>160</v>
      </c>
      <c r="D89" s="43"/>
      <c r="E89" s="14"/>
      <c r="F89" s="14"/>
      <c r="G89" s="126">
        <f>157.79+764.7</f>
        <v>922.49</v>
      </c>
      <c r="H89" s="63"/>
      <c r="I89" s="115">
        <f>G89*16</f>
        <v>14759.84</v>
      </c>
    </row>
    <row r="90" spans="1:9" ht="15.75" customHeight="1">
      <c r="A90" s="62">
        <v>24</v>
      </c>
      <c r="B90" s="123" t="s">
        <v>180</v>
      </c>
      <c r="C90" s="124" t="s">
        <v>101</v>
      </c>
      <c r="D90" s="43"/>
      <c r="E90" s="14"/>
      <c r="F90" s="14"/>
      <c r="G90" s="126">
        <v>4.58</v>
      </c>
      <c r="H90" s="63"/>
      <c r="I90" s="115">
        <f>G90*1</f>
        <v>4.58</v>
      </c>
    </row>
    <row r="91" spans="1:9" ht="15.75" customHeight="1">
      <c r="A91" s="62">
        <v>25</v>
      </c>
      <c r="B91" s="123" t="s">
        <v>181</v>
      </c>
      <c r="C91" s="124" t="s">
        <v>101</v>
      </c>
      <c r="D91" s="43"/>
      <c r="E91" s="14"/>
      <c r="F91" s="14"/>
      <c r="G91" s="126">
        <v>9.77</v>
      </c>
      <c r="H91" s="63"/>
      <c r="I91" s="115">
        <f>G91*3</f>
        <v>29.31</v>
      </c>
    </row>
    <row r="92" spans="1:9" ht="15.75" customHeight="1">
      <c r="A92" s="62">
        <v>26</v>
      </c>
      <c r="B92" s="123" t="s">
        <v>182</v>
      </c>
      <c r="C92" s="124" t="s">
        <v>101</v>
      </c>
      <c r="D92" s="43"/>
      <c r="E92" s="14"/>
      <c r="F92" s="14"/>
      <c r="G92" s="126">
        <v>14.36</v>
      </c>
      <c r="H92" s="63"/>
      <c r="I92" s="115">
        <f>G92*2</f>
        <v>28.72</v>
      </c>
    </row>
    <row r="93" spans="1:9" ht="15.75" customHeight="1">
      <c r="A93" s="31">
        <v>27</v>
      </c>
      <c r="B93" s="123" t="s">
        <v>183</v>
      </c>
      <c r="C93" s="124" t="s">
        <v>101</v>
      </c>
      <c r="D93" s="44"/>
      <c r="E93" s="37">
        <v>1</v>
      </c>
      <c r="F93" s="37"/>
      <c r="G93" s="126">
        <v>196.01</v>
      </c>
      <c r="H93" s="37"/>
      <c r="I93" s="19">
        <f>G93*2</f>
        <v>392.02</v>
      </c>
    </row>
    <row r="94" spans="1:9" ht="15.75" customHeight="1">
      <c r="A94" s="31">
        <v>28</v>
      </c>
      <c r="B94" s="123" t="s">
        <v>184</v>
      </c>
      <c r="C94" s="124" t="s">
        <v>160</v>
      </c>
      <c r="D94" s="44"/>
      <c r="E94" s="37"/>
      <c r="F94" s="37"/>
      <c r="G94" s="126">
        <v>1092.5999999999999</v>
      </c>
      <c r="H94" s="37"/>
      <c r="I94" s="19">
        <f>G94*32</f>
        <v>34963.199999999997</v>
      </c>
    </row>
    <row r="95" spans="1:9" ht="15.75" customHeight="1">
      <c r="A95" s="31">
        <v>29</v>
      </c>
      <c r="B95" s="123" t="s">
        <v>185</v>
      </c>
      <c r="C95" s="124" t="s">
        <v>101</v>
      </c>
      <c r="D95" s="44"/>
      <c r="E95" s="37"/>
      <c r="F95" s="37"/>
      <c r="G95" s="126">
        <v>26.67</v>
      </c>
      <c r="H95" s="37"/>
      <c r="I95" s="19">
        <f>G95*4</f>
        <v>106.68</v>
      </c>
    </row>
    <row r="96" spans="1:9" ht="15.75" customHeight="1">
      <c r="A96" s="31">
        <v>30</v>
      </c>
      <c r="B96" s="123" t="s">
        <v>186</v>
      </c>
      <c r="C96" s="124" t="s">
        <v>101</v>
      </c>
      <c r="D96" s="44"/>
      <c r="E96" s="37"/>
      <c r="F96" s="37"/>
      <c r="G96" s="126">
        <v>15.46</v>
      </c>
      <c r="H96" s="37"/>
      <c r="I96" s="19">
        <f>G96*3</f>
        <v>46.38</v>
      </c>
    </row>
    <row r="97" spans="1:9" ht="15.75" customHeight="1">
      <c r="A97" s="31">
        <v>31</v>
      </c>
      <c r="B97" s="123" t="s">
        <v>187</v>
      </c>
      <c r="C97" s="124" t="s">
        <v>101</v>
      </c>
      <c r="D97" s="44"/>
      <c r="E97" s="37"/>
      <c r="F97" s="37"/>
      <c r="G97" s="126">
        <v>14.31</v>
      </c>
      <c r="H97" s="37"/>
      <c r="I97" s="19">
        <f>G97*4</f>
        <v>57.24</v>
      </c>
    </row>
    <row r="98" spans="1:9" ht="15.75" customHeight="1">
      <c r="A98" s="31">
        <v>32</v>
      </c>
      <c r="B98" s="123" t="s">
        <v>188</v>
      </c>
      <c r="C98" s="124" t="s">
        <v>101</v>
      </c>
      <c r="D98" s="44"/>
      <c r="E98" s="37"/>
      <c r="F98" s="37"/>
      <c r="G98" s="126">
        <v>33.94</v>
      </c>
      <c r="H98" s="37"/>
      <c r="I98" s="19">
        <f>G98*1</f>
        <v>33.94</v>
      </c>
    </row>
    <row r="99" spans="1:9" ht="15.75" customHeight="1">
      <c r="A99" s="31">
        <v>33</v>
      </c>
      <c r="B99" s="123" t="s">
        <v>170</v>
      </c>
      <c r="C99" s="124" t="s">
        <v>171</v>
      </c>
      <c r="D99" s="44"/>
      <c r="E99" s="37"/>
      <c r="F99" s="37"/>
      <c r="G99" s="126">
        <v>134.12</v>
      </c>
      <c r="H99" s="37"/>
      <c r="I99" s="19">
        <f>G99*14</f>
        <v>1877.68</v>
      </c>
    </row>
    <row r="100" spans="1:9" ht="15.75" customHeight="1">
      <c r="A100" s="31">
        <v>34</v>
      </c>
      <c r="B100" s="123" t="s">
        <v>189</v>
      </c>
      <c r="C100" s="145" t="s">
        <v>52</v>
      </c>
      <c r="D100" s="44"/>
      <c r="E100" s="37"/>
      <c r="F100" s="37"/>
      <c r="G100" s="126">
        <v>2390.31</v>
      </c>
      <c r="H100" s="37"/>
      <c r="I100" s="19">
        <f>G100*6</f>
        <v>14341.86</v>
      </c>
    </row>
    <row r="101" spans="1:9" ht="30.75" customHeight="1">
      <c r="A101" s="31">
        <v>35</v>
      </c>
      <c r="B101" s="123" t="s">
        <v>190</v>
      </c>
      <c r="C101" s="124" t="s">
        <v>52</v>
      </c>
      <c r="D101" s="44"/>
      <c r="E101" s="37"/>
      <c r="F101" s="37"/>
      <c r="G101" s="126">
        <v>280</v>
      </c>
      <c r="H101" s="37"/>
      <c r="I101" s="19">
        <f>G101*0.25</f>
        <v>70</v>
      </c>
    </row>
    <row r="102" spans="1:9" ht="32.25" customHeight="1">
      <c r="A102" s="31">
        <v>36</v>
      </c>
      <c r="B102" s="46" t="s">
        <v>155</v>
      </c>
      <c r="C102" s="47" t="s">
        <v>36</v>
      </c>
      <c r="D102" s="44"/>
      <c r="E102" s="37"/>
      <c r="F102" s="37"/>
      <c r="G102" s="126">
        <v>3724.37</v>
      </c>
      <c r="H102" s="37"/>
      <c r="I102" s="19">
        <f>G102*0.02</f>
        <v>74.487399999999994</v>
      </c>
    </row>
    <row r="103" spans="1:9" ht="34.5" customHeight="1">
      <c r="A103" s="31">
        <v>37</v>
      </c>
      <c r="B103" s="142" t="s">
        <v>191</v>
      </c>
      <c r="C103" s="143" t="s">
        <v>93</v>
      </c>
      <c r="D103" s="44"/>
      <c r="E103" s="37"/>
      <c r="F103" s="37"/>
      <c r="G103" s="126">
        <v>1510.06</v>
      </c>
      <c r="H103" s="37"/>
      <c r="I103" s="19">
        <f>G103*0.8</f>
        <v>1208.048</v>
      </c>
    </row>
    <row r="104" spans="1:9" ht="15.75" hidden="1" customHeight="1">
      <c r="A104" s="31">
        <v>37</v>
      </c>
      <c r="B104" s="142" t="s">
        <v>192</v>
      </c>
      <c r="C104" s="143" t="s">
        <v>38</v>
      </c>
      <c r="D104" s="44"/>
      <c r="E104" s="37"/>
      <c r="F104" s="37"/>
      <c r="G104" s="126">
        <v>7033.13</v>
      </c>
      <c r="H104" s="37"/>
      <c r="I104" s="19">
        <f>G104*0.01</f>
        <v>70.331299999999999</v>
      </c>
    </row>
    <row r="105" spans="1:9" ht="15.75" customHeight="1">
      <c r="A105" s="31">
        <v>38</v>
      </c>
      <c r="B105" s="123" t="s">
        <v>193</v>
      </c>
      <c r="C105" s="124" t="s">
        <v>101</v>
      </c>
      <c r="D105" s="44"/>
      <c r="E105" s="37"/>
      <c r="F105" s="37"/>
      <c r="G105" s="126">
        <v>1503.2</v>
      </c>
      <c r="H105" s="37"/>
      <c r="I105" s="19">
        <f>G105*1</f>
        <v>1503.2</v>
      </c>
    </row>
    <row r="106" spans="1:9" ht="33.75" customHeight="1">
      <c r="A106" s="31">
        <v>39</v>
      </c>
      <c r="B106" s="123" t="s">
        <v>194</v>
      </c>
      <c r="C106" s="124" t="s">
        <v>101</v>
      </c>
      <c r="D106" s="44"/>
      <c r="E106" s="37"/>
      <c r="F106" s="37"/>
      <c r="G106" s="126">
        <v>2388.9</v>
      </c>
      <c r="H106" s="37"/>
      <c r="I106" s="19">
        <f>G106*1</f>
        <v>2388.9</v>
      </c>
    </row>
    <row r="107" spans="1:9" ht="17.25" customHeight="1">
      <c r="A107" s="31"/>
      <c r="B107" s="41" t="s">
        <v>49</v>
      </c>
      <c r="C107" s="140"/>
      <c r="D107" s="44"/>
      <c r="E107" s="37"/>
      <c r="F107" s="37"/>
      <c r="G107" s="139"/>
      <c r="H107" s="37"/>
      <c r="I107" s="34">
        <f>I106+I105+I103+I102+I101+I100+I99+I98+I97+I96+I95+I94+I93+I92+I91+I90+I89+I88+I87+I86</f>
        <v>72254.683799999984</v>
      </c>
    </row>
    <row r="108" spans="1:9" ht="15.75" customHeight="1">
      <c r="A108" s="31"/>
      <c r="B108" s="43" t="s">
        <v>74</v>
      </c>
      <c r="C108" s="16"/>
      <c r="D108" s="16"/>
      <c r="E108" s="38"/>
      <c r="F108" s="38"/>
      <c r="G108" s="39"/>
      <c r="H108" s="39"/>
      <c r="I108" s="18">
        <v>0</v>
      </c>
    </row>
    <row r="109" spans="1:9" ht="15.75" customHeight="1">
      <c r="A109" s="45"/>
      <c r="B109" s="42" t="s">
        <v>153</v>
      </c>
      <c r="C109" s="35"/>
      <c r="D109" s="35"/>
      <c r="E109" s="35"/>
      <c r="F109" s="35"/>
      <c r="G109" s="35"/>
      <c r="H109" s="35"/>
      <c r="I109" s="40">
        <f>I84+I107</f>
        <v>134468.9874453333</v>
      </c>
    </row>
    <row r="110" spans="1:9" ht="15.75" customHeight="1">
      <c r="A110" s="153" t="s">
        <v>228</v>
      </c>
      <c r="B110" s="153"/>
      <c r="C110" s="153"/>
      <c r="D110" s="153"/>
      <c r="E110" s="153"/>
      <c r="F110" s="153"/>
      <c r="G110" s="153"/>
      <c r="H110" s="153"/>
      <c r="I110" s="153"/>
    </row>
    <row r="111" spans="1:9" ht="15.75" customHeight="1">
      <c r="A111" s="54"/>
      <c r="B111" s="178" t="s">
        <v>229</v>
      </c>
      <c r="C111" s="178"/>
      <c r="D111" s="178"/>
      <c r="E111" s="178"/>
      <c r="F111" s="178"/>
      <c r="G111" s="178"/>
      <c r="H111" s="58"/>
      <c r="I111" s="4"/>
    </row>
    <row r="112" spans="1:9" ht="15.75" customHeight="1">
      <c r="A112" s="92"/>
      <c r="B112" s="175" t="s">
        <v>6</v>
      </c>
      <c r="C112" s="175"/>
      <c r="D112" s="175"/>
      <c r="E112" s="175"/>
      <c r="F112" s="175"/>
      <c r="G112" s="175"/>
      <c r="H112" s="26"/>
      <c r="I112" s="6"/>
    </row>
    <row r="113" spans="1:9" ht="8.25" customHeight="1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ht="15.75" customHeight="1">
      <c r="A114" s="179" t="s">
        <v>7</v>
      </c>
      <c r="B114" s="179"/>
      <c r="C114" s="179"/>
      <c r="D114" s="179"/>
      <c r="E114" s="179"/>
      <c r="F114" s="179"/>
      <c r="G114" s="179"/>
      <c r="H114" s="179"/>
      <c r="I114" s="179"/>
    </row>
    <row r="115" spans="1:9" ht="15.75" customHeight="1">
      <c r="A115" s="179" t="s">
        <v>8</v>
      </c>
      <c r="B115" s="179"/>
      <c r="C115" s="179"/>
      <c r="D115" s="179"/>
      <c r="E115" s="179"/>
      <c r="F115" s="179"/>
      <c r="G115" s="179"/>
      <c r="H115" s="179"/>
      <c r="I115" s="179"/>
    </row>
    <row r="116" spans="1:9" ht="15.75" customHeight="1">
      <c r="A116" s="180" t="s">
        <v>59</v>
      </c>
      <c r="B116" s="180"/>
      <c r="C116" s="180"/>
      <c r="D116" s="180"/>
      <c r="E116" s="180"/>
      <c r="F116" s="180"/>
      <c r="G116" s="180"/>
      <c r="H116" s="180"/>
      <c r="I116" s="180"/>
    </row>
    <row r="117" spans="1:9" ht="15.75" customHeight="1">
      <c r="A117" s="12"/>
    </row>
    <row r="118" spans="1:9" ht="15.75" customHeight="1">
      <c r="A118" s="160" t="s">
        <v>9</v>
      </c>
      <c r="B118" s="160"/>
      <c r="C118" s="160"/>
      <c r="D118" s="160"/>
      <c r="E118" s="160"/>
      <c r="F118" s="160"/>
      <c r="G118" s="160"/>
      <c r="H118" s="160"/>
      <c r="I118" s="160"/>
    </row>
    <row r="119" spans="1:9" ht="15.75" customHeight="1">
      <c r="A119" s="5"/>
    </row>
    <row r="120" spans="1:9" ht="15.75" customHeight="1">
      <c r="B120" s="93" t="s">
        <v>10</v>
      </c>
      <c r="C120" s="174" t="s">
        <v>81</v>
      </c>
      <c r="D120" s="174"/>
      <c r="E120" s="174"/>
      <c r="F120" s="56"/>
      <c r="I120" s="91"/>
    </row>
    <row r="121" spans="1:9" ht="15.75" customHeight="1">
      <c r="A121" s="92"/>
      <c r="C121" s="175" t="s">
        <v>11</v>
      </c>
      <c r="D121" s="175"/>
      <c r="E121" s="175"/>
      <c r="F121" s="26"/>
      <c r="I121" s="90" t="s">
        <v>12</v>
      </c>
    </row>
    <row r="122" spans="1:9" ht="15.75" customHeight="1">
      <c r="A122" s="27"/>
      <c r="C122" s="13"/>
      <c r="D122" s="13"/>
      <c r="G122" s="13"/>
      <c r="H122" s="13"/>
    </row>
    <row r="123" spans="1:9" ht="15.75" customHeight="1">
      <c r="B123" s="93" t="s">
        <v>13</v>
      </c>
      <c r="C123" s="176"/>
      <c r="D123" s="176"/>
      <c r="E123" s="176"/>
      <c r="F123" s="57"/>
      <c r="I123" s="91"/>
    </row>
    <row r="124" spans="1:9" ht="15.75" customHeight="1">
      <c r="A124" s="92"/>
      <c r="C124" s="152" t="s">
        <v>11</v>
      </c>
      <c r="D124" s="152"/>
      <c r="E124" s="152"/>
      <c r="F124" s="92"/>
      <c r="I124" s="90" t="s">
        <v>12</v>
      </c>
    </row>
    <row r="125" spans="1:9" ht="15.75" customHeight="1">
      <c r="A125" s="5" t="s">
        <v>14</v>
      </c>
    </row>
    <row r="126" spans="1:9" ht="15" customHeight="1">
      <c r="A126" s="177" t="s">
        <v>15</v>
      </c>
      <c r="B126" s="177"/>
      <c r="C126" s="177"/>
      <c r="D126" s="177"/>
      <c r="E126" s="177"/>
      <c r="F126" s="177"/>
      <c r="G126" s="177"/>
      <c r="H126" s="177"/>
      <c r="I126" s="177"/>
    </row>
    <row r="127" spans="1:9" ht="45" customHeight="1">
      <c r="A127" s="171" t="s">
        <v>16</v>
      </c>
      <c r="B127" s="171"/>
      <c r="C127" s="171"/>
      <c r="D127" s="171"/>
      <c r="E127" s="171"/>
      <c r="F127" s="171"/>
      <c r="G127" s="171"/>
      <c r="H127" s="171"/>
      <c r="I127" s="171"/>
    </row>
    <row r="128" spans="1:9" ht="30" customHeight="1">
      <c r="A128" s="171" t="s">
        <v>17</v>
      </c>
      <c r="B128" s="171"/>
      <c r="C128" s="171"/>
      <c r="D128" s="171"/>
      <c r="E128" s="171"/>
      <c r="F128" s="171"/>
      <c r="G128" s="171"/>
      <c r="H128" s="171"/>
      <c r="I128" s="171"/>
    </row>
    <row r="129" spans="1:9" ht="30" customHeight="1">
      <c r="A129" s="171" t="s">
        <v>21</v>
      </c>
      <c r="B129" s="171"/>
      <c r="C129" s="171"/>
      <c r="D129" s="171"/>
      <c r="E129" s="171"/>
      <c r="F129" s="171"/>
      <c r="G129" s="171"/>
      <c r="H129" s="171"/>
      <c r="I129" s="171"/>
    </row>
    <row r="130" spans="1:9" ht="15" customHeight="1">
      <c r="A130" s="171" t="s">
        <v>20</v>
      </c>
      <c r="B130" s="171"/>
      <c r="C130" s="171"/>
      <c r="D130" s="171"/>
      <c r="E130" s="171"/>
      <c r="F130" s="171"/>
      <c r="G130" s="171"/>
      <c r="H130" s="171"/>
      <c r="I130" s="171"/>
    </row>
  </sheetData>
  <autoFilter ref="I14:I65"/>
  <mergeCells count="29">
    <mergeCell ref="A126:I126"/>
    <mergeCell ref="A127:I127"/>
    <mergeCell ref="A128:I128"/>
    <mergeCell ref="A129:I129"/>
    <mergeCell ref="A130:I130"/>
    <mergeCell ref="R71:U71"/>
    <mergeCell ref="C124:E124"/>
    <mergeCell ref="A85:I85"/>
    <mergeCell ref="A110:I110"/>
    <mergeCell ref="B111:G111"/>
    <mergeCell ref="B112:G112"/>
    <mergeCell ref="A114:I114"/>
    <mergeCell ref="A115:I115"/>
    <mergeCell ref="A116:I116"/>
    <mergeCell ref="A118:I118"/>
    <mergeCell ref="C120:E120"/>
    <mergeCell ref="C121:E121"/>
    <mergeCell ref="C123:E123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5:I5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4"/>
  <sheetViews>
    <sheetView topLeftCell="A24" workbookViewId="0">
      <selection activeCell="B85" sqref="B85:I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78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4" t="s">
        <v>146</v>
      </c>
      <c r="B3" s="154"/>
      <c r="C3" s="154"/>
      <c r="D3" s="154"/>
      <c r="E3" s="154"/>
      <c r="F3" s="154"/>
      <c r="G3" s="154"/>
      <c r="H3" s="154"/>
      <c r="I3" s="154"/>
      <c r="J3" s="2"/>
      <c r="K3" s="2"/>
      <c r="L3" s="2"/>
      <c r="M3" s="2"/>
    </row>
    <row r="4" spans="1:13" ht="33.75" customHeight="1">
      <c r="A4" s="155" t="s">
        <v>112</v>
      </c>
      <c r="B4" s="155"/>
      <c r="C4" s="155"/>
      <c r="D4" s="155"/>
      <c r="E4" s="155"/>
      <c r="F4" s="155"/>
      <c r="G4" s="155"/>
      <c r="H4" s="155"/>
      <c r="I4" s="155"/>
      <c r="J4" s="3"/>
      <c r="K4" s="3"/>
      <c r="L4" s="3"/>
      <c r="M4" s="3"/>
    </row>
    <row r="5" spans="1:13" ht="15.75" customHeight="1">
      <c r="A5" s="154" t="s">
        <v>195</v>
      </c>
      <c r="B5" s="156"/>
      <c r="C5" s="156"/>
      <c r="D5" s="156"/>
      <c r="E5" s="156"/>
      <c r="F5" s="156"/>
      <c r="G5" s="156"/>
      <c r="H5" s="156"/>
      <c r="I5" s="156"/>
      <c r="J5" s="4"/>
      <c r="K5" s="4"/>
      <c r="L5" s="4"/>
    </row>
    <row r="6" spans="1:13" ht="15.75" customHeight="1">
      <c r="A6" s="3"/>
      <c r="B6" s="95"/>
      <c r="C6" s="95"/>
      <c r="D6" s="95"/>
      <c r="E6" s="95"/>
      <c r="F6" s="95"/>
      <c r="G6" s="95"/>
      <c r="H6" s="95"/>
      <c r="I6" s="32">
        <v>43251</v>
      </c>
    </row>
    <row r="7" spans="1:13" ht="15.75">
      <c r="B7" s="93"/>
      <c r="C7" s="93"/>
      <c r="D7" s="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57" t="s">
        <v>149</v>
      </c>
      <c r="B8" s="157"/>
      <c r="C8" s="157"/>
      <c r="D8" s="157"/>
      <c r="E8" s="157"/>
      <c r="F8" s="157"/>
      <c r="G8" s="157"/>
      <c r="H8" s="157"/>
      <c r="I8" s="15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58" t="s">
        <v>166</v>
      </c>
      <c r="B10" s="158"/>
      <c r="C10" s="158"/>
      <c r="D10" s="158"/>
      <c r="E10" s="158"/>
      <c r="F10" s="158"/>
      <c r="G10" s="158"/>
      <c r="H10" s="158"/>
      <c r="I10" s="15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59" t="s">
        <v>57</v>
      </c>
      <c r="B14" s="159"/>
      <c r="C14" s="159"/>
      <c r="D14" s="159"/>
      <c r="E14" s="159"/>
      <c r="F14" s="159"/>
      <c r="G14" s="159"/>
      <c r="H14" s="159"/>
      <c r="I14" s="159"/>
    </row>
    <row r="15" spans="1:13">
      <c r="A15" s="161" t="s">
        <v>4</v>
      </c>
      <c r="B15" s="161"/>
      <c r="C15" s="161"/>
      <c r="D15" s="161"/>
      <c r="E15" s="161"/>
      <c r="F15" s="161"/>
      <c r="G15" s="161"/>
      <c r="H15" s="161"/>
      <c r="I15" s="161"/>
      <c r="J15" s="9"/>
      <c r="K15" s="9"/>
      <c r="L15" s="9"/>
      <c r="M15" s="9"/>
    </row>
    <row r="16" spans="1:13" ht="15.75" customHeight="1">
      <c r="A16" s="59">
        <v>1</v>
      </c>
      <c r="B16" s="64" t="s">
        <v>79</v>
      </c>
      <c r="C16" s="65" t="s">
        <v>83</v>
      </c>
      <c r="D16" s="64" t="s">
        <v>115</v>
      </c>
      <c r="E16" s="66">
        <v>54</v>
      </c>
      <c r="F16" s="67">
        <f>SUM(E16*156/100)</f>
        <v>84.24</v>
      </c>
      <c r="G16" s="67">
        <v>218.21</v>
      </c>
      <c r="H16" s="68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4" t="s">
        <v>113</v>
      </c>
      <c r="C17" s="65" t="s">
        <v>83</v>
      </c>
      <c r="D17" s="64" t="s">
        <v>116</v>
      </c>
      <c r="E17" s="66">
        <v>216</v>
      </c>
      <c r="F17" s="67">
        <f>SUM(E17*104/100)</f>
        <v>224.64</v>
      </c>
      <c r="G17" s="67">
        <v>218.21</v>
      </c>
      <c r="H17" s="68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4" t="s">
        <v>114</v>
      </c>
      <c r="C18" s="65" t="s">
        <v>83</v>
      </c>
      <c r="D18" s="64" t="s">
        <v>117</v>
      </c>
      <c r="E18" s="66">
        <f>SUM(E16+E17)</f>
        <v>270</v>
      </c>
      <c r="F18" s="67">
        <f>SUM(E18*24/100)</f>
        <v>64.8</v>
      </c>
      <c r="G18" s="67">
        <v>627.77</v>
      </c>
      <c r="H18" s="68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customHeight="1">
      <c r="A19" s="59">
        <v>4</v>
      </c>
      <c r="B19" s="64" t="s">
        <v>84</v>
      </c>
      <c r="C19" s="65" t="s">
        <v>85</v>
      </c>
      <c r="D19" s="64" t="s">
        <v>86</v>
      </c>
      <c r="E19" s="66">
        <v>40</v>
      </c>
      <c r="F19" s="67">
        <f>SUM(E19/10)</f>
        <v>4</v>
      </c>
      <c r="G19" s="67">
        <v>211.74</v>
      </c>
      <c r="H19" s="68">
        <f t="shared" si="0"/>
        <v>0.84696000000000005</v>
      </c>
      <c r="I19" s="14">
        <f>F19*G19</f>
        <v>846.96</v>
      </c>
      <c r="J19" s="24"/>
      <c r="K19" s="9"/>
      <c r="L19" s="9"/>
      <c r="M19" s="9"/>
    </row>
    <row r="20" spans="1:13" ht="15.75" customHeight="1">
      <c r="A20" s="59">
        <v>5</v>
      </c>
      <c r="B20" s="64" t="s">
        <v>87</v>
      </c>
      <c r="C20" s="65" t="s">
        <v>83</v>
      </c>
      <c r="D20" s="64" t="s">
        <v>40</v>
      </c>
      <c r="E20" s="66">
        <v>10.5</v>
      </c>
      <c r="F20" s="67">
        <f>SUM(E20*2/100)</f>
        <v>0.21</v>
      </c>
      <c r="G20" s="67">
        <v>271.12</v>
      </c>
      <c r="H20" s="68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customHeight="1">
      <c r="A21" s="59">
        <v>6</v>
      </c>
      <c r="B21" s="64" t="s">
        <v>88</v>
      </c>
      <c r="C21" s="65" t="s">
        <v>83</v>
      </c>
      <c r="D21" s="64" t="s">
        <v>40</v>
      </c>
      <c r="E21" s="66">
        <v>2.7</v>
      </c>
      <c r="F21" s="67">
        <f>SUM(E21*2/100)</f>
        <v>5.4000000000000006E-2</v>
      </c>
      <c r="G21" s="67">
        <v>268.92</v>
      </c>
      <c r="H21" s="68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customHeight="1">
      <c r="A22" s="59">
        <v>7</v>
      </c>
      <c r="B22" s="64" t="s">
        <v>89</v>
      </c>
      <c r="C22" s="65" t="s">
        <v>50</v>
      </c>
      <c r="D22" s="64" t="s">
        <v>86</v>
      </c>
      <c r="E22" s="66">
        <v>357</v>
      </c>
      <c r="F22" s="67">
        <f t="shared" ref="F22:F25" si="2">SUM(E22/100)</f>
        <v>3.57</v>
      </c>
      <c r="G22" s="67">
        <v>335.05</v>
      </c>
      <c r="H22" s="68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customHeight="1">
      <c r="A23" s="59">
        <v>8</v>
      </c>
      <c r="B23" s="64" t="s">
        <v>90</v>
      </c>
      <c r="C23" s="65" t="s">
        <v>50</v>
      </c>
      <c r="D23" s="64" t="s">
        <v>86</v>
      </c>
      <c r="E23" s="69">
        <v>38.64</v>
      </c>
      <c r="F23" s="67">
        <f t="shared" si="2"/>
        <v>0.38640000000000002</v>
      </c>
      <c r="G23" s="67">
        <v>55.1</v>
      </c>
      <c r="H23" s="68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customHeight="1">
      <c r="A24" s="59">
        <v>9</v>
      </c>
      <c r="B24" s="64" t="s">
        <v>91</v>
      </c>
      <c r="C24" s="65" t="s">
        <v>50</v>
      </c>
      <c r="D24" s="70" t="s">
        <v>86</v>
      </c>
      <c r="E24" s="19">
        <v>15</v>
      </c>
      <c r="F24" s="71">
        <f t="shared" si="2"/>
        <v>0.15</v>
      </c>
      <c r="G24" s="67">
        <v>484.94</v>
      </c>
      <c r="H24" s="68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customHeight="1">
      <c r="A25" s="59">
        <v>10</v>
      </c>
      <c r="B25" s="64" t="s">
        <v>118</v>
      </c>
      <c r="C25" s="65" t="s">
        <v>50</v>
      </c>
      <c r="D25" s="64" t="s">
        <v>86</v>
      </c>
      <c r="E25" s="72">
        <v>6.38</v>
      </c>
      <c r="F25" s="67">
        <f t="shared" si="2"/>
        <v>6.3799999999999996E-2</v>
      </c>
      <c r="G25" s="67">
        <v>648.04999999999995</v>
      </c>
      <c r="H25" s="68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11</v>
      </c>
      <c r="B26" s="64" t="s">
        <v>62</v>
      </c>
      <c r="C26" s="65" t="s">
        <v>31</v>
      </c>
      <c r="D26" s="64"/>
      <c r="E26" s="66">
        <v>0.1</v>
      </c>
      <c r="F26" s="67">
        <f>SUM(E26*365)</f>
        <v>36.5</v>
      </c>
      <c r="G26" s="67">
        <v>182.96</v>
      </c>
      <c r="H26" s="68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12</v>
      </c>
      <c r="B27" s="75" t="s">
        <v>23</v>
      </c>
      <c r="C27" s="65" t="s">
        <v>24</v>
      </c>
      <c r="D27" s="64"/>
      <c r="E27" s="66">
        <v>3216.2</v>
      </c>
      <c r="F27" s="67">
        <f>SUM(E27*12)</f>
        <v>38594.399999999994</v>
      </c>
      <c r="G27" s="67">
        <v>4.01</v>
      </c>
      <c r="H27" s="68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5" t="s">
        <v>150</v>
      </c>
      <c r="B28" s="166"/>
      <c r="C28" s="166"/>
      <c r="D28" s="166"/>
      <c r="E28" s="166"/>
      <c r="F28" s="166"/>
      <c r="G28" s="166"/>
      <c r="H28" s="166"/>
      <c r="I28" s="167"/>
      <c r="J28" s="24"/>
      <c r="K28" s="9"/>
      <c r="L28" s="9"/>
      <c r="M28" s="9"/>
    </row>
    <row r="29" spans="1:13" ht="15.75" customHeight="1">
      <c r="A29" s="104"/>
      <c r="B29" s="94" t="s">
        <v>27</v>
      </c>
      <c r="C29" s="105"/>
      <c r="D29" s="105"/>
      <c r="E29" s="105"/>
      <c r="F29" s="105"/>
      <c r="G29" s="105"/>
      <c r="H29" s="105"/>
      <c r="I29" s="105"/>
      <c r="J29" s="24"/>
      <c r="K29" s="9"/>
      <c r="L29" s="9"/>
      <c r="M29" s="9"/>
    </row>
    <row r="30" spans="1:13" ht="15.75" customHeight="1">
      <c r="A30" s="103">
        <v>13</v>
      </c>
      <c r="B30" s="64" t="s">
        <v>92</v>
      </c>
      <c r="C30" s="65" t="s">
        <v>93</v>
      </c>
      <c r="D30" s="64" t="s">
        <v>119</v>
      </c>
      <c r="E30" s="67">
        <v>191.65</v>
      </c>
      <c r="F30" s="67">
        <f>SUM(E30*52/1000)</f>
        <v>9.9658000000000015</v>
      </c>
      <c r="G30" s="67">
        <v>193.97</v>
      </c>
      <c r="H30" s="68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9">
        <v>14</v>
      </c>
      <c r="B31" s="64" t="s">
        <v>151</v>
      </c>
      <c r="C31" s="65" t="s">
        <v>93</v>
      </c>
      <c r="D31" s="64" t="s">
        <v>120</v>
      </c>
      <c r="E31" s="67">
        <v>67.650000000000006</v>
      </c>
      <c r="F31" s="67">
        <f>SUM(E31*78/1000)</f>
        <v>5.2767000000000008</v>
      </c>
      <c r="G31" s="67">
        <v>321.82</v>
      </c>
      <c r="H31" s="68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customHeight="1">
      <c r="A32" s="59">
        <v>15</v>
      </c>
      <c r="B32" s="64" t="s">
        <v>26</v>
      </c>
      <c r="C32" s="65" t="s">
        <v>93</v>
      </c>
      <c r="D32" s="64" t="s">
        <v>51</v>
      </c>
      <c r="E32" s="67">
        <v>191.65</v>
      </c>
      <c r="F32" s="67">
        <f>SUM(E32/1000)</f>
        <v>0.19165000000000001</v>
      </c>
      <c r="G32" s="67">
        <v>3758.28</v>
      </c>
      <c r="H32" s="68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customHeight="1">
      <c r="A33" s="59">
        <v>16</v>
      </c>
      <c r="B33" s="64" t="s">
        <v>94</v>
      </c>
      <c r="C33" s="65" t="s">
        <v>29</v>
      </c>
      <c r="D33" s="64" t="s">
        <v>61</v>
      </c>
      <c r="E33" s="74">
        <f>1/3</f>
        <v>0.33333333333333331</v>
      </c>
      <c r="F33" s="67">
        <f>155/3</f>
        <v>51.666666666666664</v>
      </c>
      <c r="G33" s="67">
        <v>70.540000000000006</v>
      </c>
      <c r="H33" s="68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4" t="s">
        <v>63</v>
      </c>
      <c r="C34" s="65" t="s">
        <v>31</v>
      </c>
      <c r="D34" s="64" t="s">
        <v>64</v>
      </c>
      <c r="E34" s="66"/>
      <c r="F34" s="67">
        <v>3</v>
      </c>
      <c r="G34" s="67">
        <v>238.07</v>
      </c>
      <c r="H34" s="68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4" t="s">
        <v>137</v>
      </c>
      <c r="C35" s="65" t="s">
        <v>30</v>
      </c>
      <c r="D35" s="64" t="s">
        <v>64</v>
      </c>
      <c r="E35" s="66"/>
      <c r="F35" s="67">
        <v>2</v>
      </c>
      <c r="G35" s="67">
        <v>1413.96</v>
      </c>
      <c r="H35" s="68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hidden="1" customHeight="1">
      <c r="A36" s="104"/>
      <c r="B36" s="94" t="s">
        <v>5</v>
      </c>
      <c r="C36" s="105"/>
      <c r="D36" s="105"/>
      <c r="E36" s="105"/>
      <c r="F36" s="105"/>
      <c r="G36" s="105"/>
      <c r="H36" s="105"/>
      <c r="I36" s="105"/>
      <c r="J36" s="25"/>
    </row>
    <row r="37" spans="1:14" ht="15.75" hidden="1" customHeight="1">
      <c r="A37" s="103">
        <v>6</v>
      </c>
      <c r="B37" s="64" t="s">
        <v>25</v>
      </c>
      <c r="C37" s="65" t="s">
        <v>30</v>
      </c>
      <c r="D37" s="64"/>
      <c r="E37" s="66"/>
      <c r="F37" s="67">
        <v>3</v>
      </c>
      <c r="G37" s="67">
        <v>1900.37</v>
      </c>
      <c r="H37" s="68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hidden="1" customHeight="1">
      <c r="A38" s="59">
        <v>7</v>
      </c>
      <c r="B38" s="64" t="s">
        <v>82</v>
      </c>
      <c r="C38" s="65" t="s">
        <v>28</v>
      </c>
      <c r="D38" s="64" t="s">
        <v>95</v>
      </c>
      <c r="E38" s="66">
        <v>67.650000000000006</v>
      </c>
      <c r="F38" s="67">
        <f>E38*30/1000</f>
        <v>2.0295000000000001</v>
      </c>
      <c r="G38" s="67">
        <v>2616.4899999999998</v>
      </c>
      <c r="H38" s="68">
        <f>G38*F38/1000</f>
        <v>5.3101664549999992</v>
      </c>
      <c r="I38" s="14">
        <f>F38/6*G38</f>
        <v>885.02774249999993</v>
      </c>
      <c r="J38" s="25"/>
    </row>
    <row r="39" spans="1:14" ht="15.75" hidden="1" customHeight="1">
      <c r="A39" s="59">
        <v>8</v>
      </c>
      <c r="B39" s="64" t="s">
        <v>121</v>
      </c>
      <c r="C39" s="65" t="s">
        <v>28</v>
      </c>
      <c r="D39" s="64" t="s">
        <v>96</v>
      </c>
      <c r="E39" s="66">
        <v>67.650000000000006</v>
      </c>
      <c r="F39" s="67">
        <f>E39*155/1000</f>
        <v>10.485749999999999</v>
      </c>
      <c r="G39" s="67">
        <v>436.45</v>
      </c>
      <c r="H39" s="68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3">
        <v>9</v>
      </c>
      <c r="B40" s="64" t="s">
        <v>122</v>
      </c>
      <c r="C40" s="65" t="s">
        <v>123</v>
      </c>
      <c r="D40" s="64" t="s">
        <v>64</v>
      </c>
      <c r="E40" s="66"/>
      <c r="F40" s="67">
        <v>64</v>
      </c>
      <c r="G40" s="67">
        <v>226.84</v>
      </c>
      <c r="H40" s="68">
        <f>G40*F40/1000</f>
        <v>14.517760000000001</v>
      </c>
      <c r="I40" s="14">
        <f>G40*13</f>
        <v>2948.92</v>
      </c>
      <c r="J40" s="25"/>
    </row>
    <row r="41" spans="1:14" ht="47.25" hidden="1" customHeight="1">
      <c r="A41" s="59">
        <v>10</v>
      </c>
      <c r="B41" s="64" t="s">
        <v>77</v>
      </c>
      <c r="C41" s="65" t="s">
        <v>28</v>
      </c>
      <c r="D41" s="64" t="s">
        <v>124</v>
      </c>
      <c r="E41" s="67">
        <v>67.650000000000006</v>
      </c>
      <c r="F41" s="67">
        <f>SUM(E41*35/1000)</f>
        <v>2.36775</v>
      </c>
      <c r="G41" s="67">
        <v>7221.21</v>
      </c>
      <c r="H41" s="68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11</v>
      </c>
      <c r="B42" s="64" t="s">
        <v>97</v>
      </c>
      <c r="C42" s="65" t="s">
        <v>93</v>
      </c>
      <c r="D42" s="64" t="s">
        <v>125</v>
      </c>
      <c r="E42" s="67">
        <v>67.650000000000006</v>
      </c>
      <c r="F42" s="67">
        <f>SUM(E42*20/1000)</f>
        <v>1.353</v>
      </c>
      <c r="G42" s="67">
        <v>533.45000000000005</v>
      </c>
      <c r="H42" s="68">
        <f t="shared" si="6"/>
        <v>0.72175785000000003</v>
      </c>
      <c r="I42" s="14">
        <f>F42/6*G42</f>
        <v>120.29297500000001</v>
      </c>
      <c r="J42" s="25"/>
    </row>
    <row r="43" spans="1:14" ht="15.75" hidden="1" customHeight="1">
      <c r="A43" s="103">
        <v>12</v>
      </c>
      <c r="B43" s="64" t="s">
        <v>65</v>
      </c>
      <c r="C43" s="65" t="s">
        <v>31</v>
      </c>
      <c r="D43" s="64"/>
      <c r="E43" s="66"/>
      <c r="F43" s="67">
        <v>0.8</v>
      </c>
      <c r="G43" s="67">
        <v>992.97</v>
      </c>
      <c r="H43" s="68">
        <f t="shared" si="6"/>
        <v>0.79437600000000008</v>
      </c>
      <c r="I43" s="14">
        <f>F43/6*G43</f>
        <v>132.39600000000002</v>
      </c>
      <c r="J43" s="25"/>
    </row>
    <row r="44" spans="1:14" ht="15.75" customHeight="1">
      <c r="A44" s="162" t="s">
        <v>141</v>
      </c>
      <c r="B44" s="163"/>
      <c r="C44" s="163"/>
      <c r="D44" s="163"/>
      <c r="E44" s="163"/>
      <c r="F44" s="163"/>
      <c r="G44" s="163"/>
      <c r="H44" s="163"/>
      <c r="I44" s="164"/>
      <c r="J44" s="25"/>
      <c r="L44" s="20"/>
      <c r="M44" s="21"/>
      <c r="N44" s="22"/>
    </row>
    <row r="45" spans="1:14" ht="15.75" customHeight="1">
      <c r="A45" s="59">
        <v>17</v>
      </c>
      <c r="B45" s="64" t="s">
        <v>98</v>
      </c>
      <c r="C45" s="65" t="s">
        <v>93</v>
      </c>
      <c r="D45" s="64" t="s">
        <v>40</v>
      </c>
      <c r="E45" s="66">
        <v>1114.75</v>
      </c>
      <c r="F45" s="67">
        <f>SUM(E45*2/1000)</f>
        <v>2.2294999999999998</v>
      </c>
      <c r="G45" s="14">
        <v>1283.46</v>
      </c>
      <c r="H45" s="68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customHeight="1">
      <c r="A46" s="59">
        <v>18</v>
      </c>
      <c r="B46" s="64" t="s">
        <v>34</v>
      </c>
      <c r="C46" s="65" t="s">
        <v>93</v>
      </c>
      <c r="D46" s="64" t="s">
        <v>40</v>
      </c>
      <c r="E46" s="66">
        <v>1563.3</v>
      </c>
      <c r="F46" s="67">
        <f>SUM(E46*2/1000)</f>
        <v>3.1265999999999998</v>
      </c>
      <c r="G46" s="14">
        <v>1711.28</v>
      </c>
      <c r="H46" s="68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customHeight="1">
      <c r="A47" s="59">
        <v>19</v>
      </c>
      <c r="B47" s="64" t="s">
        <v>35</v>
      </c>
      <c r="C47" s="65" t="s">
        <v>93</v>
      </c>
      <c r="D47" s="64" t="s">
        <v>40</v>
      </c>
      <c r="E47" s="66">
        <v>1619.6</v>
      </c>
      <c r="F47" s="67">
        <f>SUM(E47*2/1000)</f>
        <v>3.2391999999999999</v>
      </c>
      <c r="G47" s="14">
        <v>1179.73</v>
      </c>
      <c r="H47" s="68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customHeight="1">
      <c r="A48" s="59">
        <v>20</v>
      </c>
      <c r="B48" s="64" t="s">
        <v>32</v>
      </c>
      <c r="C48" s="65" t="s">
        <v>33</v>
      </c>
      <c r="D48" s="64" t="s">
        <v>40</v>
      </c>
      <c r="E48" s="66">
        <v>85.84</v>
      </c>
      <c r="F48" s="67">
        <f>SUM(E48*2/100)</f>
        <v>1.7168000000000001</v>
      </c>
      <c r="G48" s="14">
        <v>90.61</v>
      </c>
      <c r="H48" s="68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customHeight="1">
      <c r="A49" s="59">
        <v>21</v>
      </c>
      <c r="B49" s="64" t="s">
        <v>54</v>
      </c>
      <c r="C49" s="65" t="s">
        <v>93</v>
      </c>
      <c r="D49" s="64" t="s">
        <v>152</v>
      </c>
      <c r="E49" s="66">
        <v>3216.2</v>
      </c>
      <c r="F49" s="67">
        <f>SUM(E49*5/1000)</f>
        <v>16.081</v>
      </c>
      <c r="G49" s="14">
        <v>1711.28</v>
      </c>
      <c r="H49" s="68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4" t="s">
        <v>99</v>
      </c>
      <c r="C50" s="65" t="s">
        <v>93</v>
      </c>
      <c r="D50" s="64" t="s">
        <v>40</v>
      </c>
      <c r="E50" s="66">
        <v>3216.2</v>
      </c>
      <c r="F50" s="67">
        <f>SUM(E50*2/1000)</f>
        <v>6.4323999999999995</v>
      </c>
      <c r="G50" s="14">
        <v>1510.06</v>
      </c>
      <c r="H50" s="68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14</v>
      </c>
      <c r="B51" s="64" t="s">
        <v>100</v>
      </c>
      <c r="C51" s="65" t="s">
        <v>36</v>
      </c>
      <c r="D51" s="64" t="s">
        <v>40</v>
      </c>
      <c r="E51" s="66">
        <v>16</v>
      </c>
      <c r="F51" s="67">
        <f>SUM(E51*2/100)</f>
        <v>0.32</v>
      </c>
      <c r="G51" s="14">
        <v>3850.4</v>
      </c>
      <c r="H51" s="68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15</v>
      </c>
      <c r="B52" s="64" t="s">
        <v>37</v>
      </c>
      <c r="C52" s="65" t="s">
        <v>38</v>
      </c>
      <c r="D52" s="64" t="s">
        <v>40</v>
      </c>
      <c r="E52" s="66">
        <v>1</v>
      </c>
      <c r="F52" s="67">
        <v>0.02</v>
      </c>
      <c r="G52" s="14">
        <v>7033.13</v>
      </c>
      <c r="H52" s="68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customHeight="1">
      <c r="A53" s="59">
        <v>22</v>
      </c>
      <c r="B53" s="64" t="s">
        <v>39</v>
      </c>
      <c r="C53" s="65" t="s">
        <v>101</v>
      </c>
      <c r="D53" s="64" t="s">
        <v>66</v>
      </c>
      <c r="E53" s="66">
        <v>128</v>
      </c>
      <c r="F53" s="67">
        <f>SUM(E53)*3</f>
        <v>384</v>
      </c>
      <c r="G53" s="14">
        <v>81.73</v>
      </c>
      <c r="H53" s="68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2" t="s">
        <v>140</v>
      </c>
      <c r="B54" s="172"/>
      <c r="C54" s="172"/>
      <c r="D54" s="172"/>
      <c r="E54" s="172"/>
      <c r="F54" s="172"/>
      <c r="G54" s="172"/>
      <c r="H54" s="172"/>
      <c r="I54" s="173"/>
      <c r="J54" s="25"/>
      <c r="L54" s="20"/>
      <c r="M54" s="21"/>
      <c r="N54" s="22"/>
    </row>
    <row r="55" spans="1:14" ht="15.75" hidden="1" customHeight="1">
      <c r="A55" s="59"/>
      <c r="B55" s="88" t="s">
        <v>41</v>
      </c>
      <c r="C55" s="65"/>
      <c r="D55" s="64"/>
      <c r="E55" s="66"/>
      <c r="F55" s="67"/>
      <c r="G55" s="67"/>
      <c r="H55" s="68"/>
      <c r="I55" s="14"/>
      <c r="J55" s="25"/>
      <c r="L55" s="20"/>
      <c r="M55" s="21"/>
      <c r="N55" s="22"/>
    </row>
    <row r="56" spans="1:14" ht="31.5" hidden="1" customHeight="1">
      <c r="A56" s="59">
        <v>13</v>
      </c>
      <c r="B56" s="64" t="s">
        <v>126</v>
      </c>
      <c r="C56" s="65" t="s">
        <v>83</v>
      </c>
      <c r="D56" s="64" t="s">
        <v>127</v>
      </c>
      <c r="E56" s="66">
        <v>123.31</v>
      </c>
      <c r="F56" s="67">
        <f>SUM(E56*6/100)</f>
        <v>7.3986000000000001</v>
      </c>
      <c r="G56" s="14">
        <v>2306.62</v>
      </c>
      <c r="H56" s="68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77" t="s">
        <v>128</v>
      </c>
      <c r="C57" s="76" t="s">
        <v>129</v>
      </c>
      <c r="D57" s="77" t="s">
        <v>64</v>
      </c>
      <c r="E57" s="78"/>
      <c r="F57" s="79">
        <v>3</v>
      </c>
      <c r="G57" s="14">
        <v>1501</v>
      </c>
      <c r="H57" s="68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89" t="s">
        <v>42</v>
      </c>
      <c r="C58" s="76"/>
      <c r="D58" s="77"/>
      <c r="E58" s="78"/>
      <c r="F58" s="79"/>
      <c r="G58" s="14"/>
      <c r="H58" s="80"/>
      <c r="I58" s="14"/>
      <c r="J58" s="25"/>
      <c r="L58" s="20"/>
      <c r="M58" s="21"/>
      <c r="N58" s="22"/>
    </row>
    <row r="59" spans="1:14" ht="15.75" hidden="1" customHeight="1">
      <c r="A59" s="60"/>
      <c r="B59" s="77" t="s">
        <v>139</v>
      </c>
      <c r="C59" s="76" t="s">
        <v>50</v>
      </c>
      <c r="D59" s="77" t="s">
        <v>51</v>
      </c>
      <c r="E59" s="78">
        <v>451</v>
      </c>
      <c r="F59" s="79">
        <v>8.9</v>
      </c>
      <c r="G59" s="14">
        <v>987.51</v>
      </c>
      <c r="H59" s="80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89" t="s">
        <v>43</v>
      </c>
      <c r="C60" s="76"/>
      <c r="D60" s="77"/>
      <c r="E60" s="108"/>
      <c r="F60" s="67"/>
      <c r="G60" s="111"/>
      <c r="H60" s="79" t="s">
        <v>138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44</v>
      </c>
      <c r="C61" s="17" t="s">
        <v>101</v>
      </c>
      <c r="D61" s="15" t="s">
        <v>64</v>
      </c>
      <c r="E61" s="109">
        <v>10</v>
      </c>
      <c r="F61" s="67">
        <f>E61</f>
        <v>10</v>
      </c>
      <c r="G61" s="112">
        <v>276.74</v>
      </c>
      <c r="H61" s="63">
        <f t="shared" ref="H61:H69" si="10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45</v>
      </c>
      <c r="C62" s="17" t="s">
        <v>101</v>
      </c>
      <c r="D62" s="15" t="s">
        <v>64</v>
      </c>
      <c r="E62" s="109">
        <v>10</v>
      </c>
      <c r="F62" s="67">
        <f>E62</f>
        <v>10</v>
      </c>
      <c r="G62" s="112">
        <v>94.89</v>
      </c>
      <c r="H62" s="63">
        <f t="shared" si="10"/>
        <v>0.94889999999999997</v>
      </c>
      <c r="I62" s="14">
        <v>0</v>
      </c>
      <c r="J62" s="25"/>
      <c r="L62" s="20"/>
    </row>
    <row r="63" spans="1:14" ht="15.75" customHeight="1">
      <c r="A63" s="17">
        <v>23</v>
      </c>
      <c r="B63" s="15" t="s">
        <v>46</v>
      </c>
      <c r="C63" s="17" t="s">
        <v>102</v>
      </c>
      <c r="D63" s="15" t="s">
        <v>51</v>
      </c>
      <c r="E63" s="110">
        <v>13447</v>
      </c>
      <c r="F63" s="67">
        <f>SUM(E63/100)</f>
        <v>134.47</v>
      </c>
      <c r="G63" s="112">
        <v>263.99</v>
      </c>
      <c r="H63" s="63">
        <f t="shared" si="10"/>
        <v>35.4987353</v>
      </c>
      <c r="I63" s="14">
        <f>F63*G63</f>
        <v>35498.7353</v>
      </c>
      <c r="J63" s="25"/>
      <c r="L63" s="20"/>
    </row>
    <row r="64" spans="1:14" ht="15.75" customHeight="1">
      <c r="A64" s="17">
        <v>24</v>
      </c>
      <c r="B64" s="15" t="s">
        <v>47</v>
      </c>
      <c r="C64" s="17" t="s">
        <v>103</v>
      </c>
      <c r="D64" s="15"/>
      <c r="E64" s="110">
        <v>13447</v>
      </c>
      <c r="F64" s="67">
        <f>SUM(E64/1000)</f>
        <v>13.446999999999999</v>
      </c>
      <c r="G64" s="112">
        <v>205.57</v>
      </c>
      <c r="H64" s="63">
        <f t="shared" si="10"/>
        <v>2.7642997899999995</v>
      </c>
      <c r="I64" s="14">
        <f t="shared" ref="I64:I67" si="11">F64*G64</f>
        <v>2764.2997899999996</v>
      </c>
    </row>
    <row r="65" spans="1:22" ht="15.75" customHeight="1">
      <c r="A65" s="17">
        <v>25</v>
      </c>
      <c r="B65" s="15" t="s">
        <v>48</v>
      </c>
      <c r="C65" s="17" t="s">
        <v>72</v>
      </c>
      <c r="D65" s="15" t="s">
        <v>51</v>
      </c>
      <c r="E65" s="110">
        <v>2200</v>
      </c>
      <c r="F65" s="67">
        <f>SUM(E65/100)</f>
        <v>22</v>
      </c>
      <c r="G65" s="112">
        <v>2581.5300000000002</v>
      </c>
      <c r="H65" s="63">
        <f t="shared" si="10"/>
        <v>56.793660000000003</v>
      </c>
      <c r="I65" s="14">
        <f t="shared" si="11"/>
        <v>56793.66</v>
      </c>
    </row>
    <row r="66" spans="1:22" ht="15.75" customHeight="1">
      <c r="A66" s="17">
        <v>26</v>
      </c>
      <c r="B66" s="81" t="s">
        <v>104</v>
      </c>
      <c r="C66" s="17" t="s">
        <v>31</v>
      </c>
      <c r="D66" s="15"/>
      <c r="E66" s="110">
        <v>12.1</v>
      </c>
      <c r="F66" s="67">
        <f>SUM(E66)</f>
        <v>12.1</v>
      </c>
      <c r="G66" s="112">
        <v>47.45</v>
      </c>
      <c r="H66" s="63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customHeight="1">
      <c r="A67" s="17">
        <v>27</v>
      </c>
      <c r="B67" s="81" t="s">
        <v>105</v>
      </c>
      <c r="C67" s="17" t="s">
        <v>31</v>
      </c>
      <c r="D67" s="15"/>
      <c r="E67" s="110">
        <v>12.1</v>
      </c>
      <c r="F67" s="67">
        <f>SUM(E67)</f>
        <v>12.1</v>
      </c>
      <c r="G67" s="112">
        <v>44.27</v>
      </c>
      <c r="H67" s="63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55</v>
      </c>
      <c r="C68" s="17" t="s">
        <v>56</v>
      </c>
      <c r="D68" s="15" t="s">
        <v>51</v>
      </c>
      <c r="E68" s="109">
        <v>4</v>
      </c>
      <c r="F68" s="67">
        <v>4</v>
      </c>
      <c r="G68" s="112">
        <v>62.07</v>
      </c>
      <c r="H68" s="63">
        <f t="shared" si="10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28</v>
      </c>
      <c r="B69" s="15" t="s">
        <v>130</v>
      </c>
      <c r="C69" s="31" t="s">
        <v>131</v>
      </c>
      <c r="D69" s="15"/>
      <c r="E69" s="109">
        <v>3216.2</v>
      </c>
      <c r="F69" s="113">
        <v>38594.400000000001</v>
      </c>
      <c r="G69" s="112">
        <v>2.16</v>
      </c>
      <c r="H69" s="63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6"/>
      <c r="B70" s="94" t="s">
        <v>67</v>
      </c>
      <c r="C70" s="17"/>
      <c r="D70" s="15"/>
      <c r="E70" s="19"/>
      <c r="F70" s="14"/>
      <c r="G70" s="14"/>
      <c r="H70" s="63" t="s">
        <v>138</v>
      </c>
      <c r="I70" s="14"/>
      <c r="J70" s="6"/>
      <c r="K70" s="6"/>
      <c r="L70" s="6"/>
      <c r="M70" s="6"/>
      <c r="N70" s="6"/>
      <c r="O70" s="6"/>
      <c r="P70" s="6"/>
      <c r="Q70" s="6"/>
      <c r="R70" s="152"/>
      <c r="S70" s="152"/>
      <c r="T70" s="152"/>
      <c r="U70" s="152"/>
    </row>
    <row r="71" spans="1:22" ht="15.75" hidden="1" customHeight="1">
      <c r="A71" s="17"/>
      <c r="B71" s="15" t="s">
        <v>132</v>
      </c>
      <c r="C71" s="17" t="s">
        <v>133</v>
      </c>
      <c r="D71" s="15" t="s">
        <v>64</v>
      </c>
      <c r="E71" s="19">
        <v>2</v>
      </c>
      <c r="F71" s="14">
        <f>E71</f>
        <v>2</v>
      </c>
      <c r="G71" s="14">
        <v>976.4</v>
      </c>
      <c r="H71" s="63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108</v>
      </c>
      <c r="C72" s="17" t="s">
        <v>134</v>
      </c>
      <c r="D72" s="15" t="s">
        <v>64</v>
      </c>
      <c r="E72" s="19">
        <v>1</v>
      </c>
      <c r="F72" s="14">
        <v>1</v>
      </c>
      <c r="G72" s="14">
        <v>735</v>
      </c>
      <c r="H72" s="63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68</v>
      </c>
      <c r="C73" s="17" t="s">
        <v>70</v>
      </c>
      <c r="D73" s="15" t="s">
        <v>64</v>
      </c>
      <c r="E73" s="19">
        <v>4</v>
      </c>
      <c r="F73" s="14">
        <f>E73/10</f>
        <v>0.4</v>
      </c>
      <c r="G73" s="14">
        <v>624.16999999999996</v>
      </c>
      <c r="H73" s="63">
        <f t="shared" si="12"/>
        <v>0.249668</v>
      </c>
      <c r="I73" s="14">
        <v>0</v>
      </c>
    </row>
    <row r="74" spans="1:22" ht="15.75" hidden="1" customHeight="1">
      <c r="A74" s="17"/>
      <c r="B74" s="15" t="s">
        <v>69</v>
      </c>
      <c r="C74" s="17" t="s">
        <v>29</v>
      </c>
      <c r="D74" s="15" t="s">
        <v>64</v>
      </c>
      <c r="E74" s="19">
        <v>1</v>
      </c>
      <c r="F74" s="55">
        <v>1</v>
      </c>
      <c r="G74" s="14">
        <v>1061.4100000000001</v>
      </c>
      <c r="H74" s="63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135</v>
      </c>
      <c r="C75" s="17" t="s">
        <v>133</v>
      </c>
      <c r="D75" s="15" t="s">
        <v>64</v>
      </c>
      <c r="E75" s="19">
        <v>1</v>
      </c>
      <c r="F75" s="14">
        <f>E75</f>
        <v>1</v>
      </c>
      <c r="G75" s="14">
        <v>976.1</v>
      </c>
      <c r="H75" s="63">
        <f t="shared" si="12"/>
        <v>0.97609999999999997</v>
      </c>
      <c r="I75" s="14">
        <v>0</v>
      </c>
    </row>
    <row r="76" spans="1:22" ht="15.75" hidden="1" customHeight="1">
      <c r="A76" s="106"/>
      <c r="B76" s="107" t="s">
        <v>71</v>
      </c>
      <c r="C76" s="17"/>
      <c r="D76" s="15"/>
      <c r="E76" s="19"/>
      <c r="F76" s="14"/>
      <c r="G76" s="14" t="s">
        <v>138</v>
      </c>
      <c r="H76" s="63" t="s">
        <v>138</v>
      </c>
      <c r="I76" s="14"/>
    </row>
    <row r="77" spans="1:22" ht="15.75" hidden="1" customHeight="1">
      <c r="A77" s="17"/>
      <c r="B77" s="43" t="s">
        <v>109</v>
      </c>
      <c r="C77" s="17" t="s">
        <v>72</v>
      </c>
      <c r="D77" s="15"/>
      <c r="E77" s="19"/>
      <c r="F77" s="14">
        <v>0.1</v>
      </c>
      <c r="G77" s="14">
        <v>3433.68</v>
      </c>
      <c r="H77" s="63">
        <f t="shared" ref="H77" si="13">SUM(F77*G77/1000)</f>
        <v>0.34336800000000001</v>
      </c>
      <c r="I77" s="14">
        <v>0</v>
      </c>
    </row>
    <row r="78" spans="1:22" ht="15.75" hidden="1" customHeight="1">
      <c r="A78" s="106"/>
      <c r="B78" s="96" t="s">
        <v>106</v>
      </c>
      <c r="C78" s="83"/>
      <c r="D78" s="33"/>
      <c r="E78" s="34"/>
      <c r="F78" s="73"/>
      <c r="G78" s="73"/>
      <c r="H78" s="84">
        <f>SUM(H56:H77)</f>
        <v>219.17093482199999</v>
      </c>
      <c r="I78" s="73"/>
    </row>
    <row r="79" spans="1:22" ht="15.75" hidden="1" customHeight="1">
      <c r="A79" s="17"/>
      <c r="B79" s="64" t="s">
        <v>107</v>
      </c>
      <c r="C79" s="17"/>
      <c r="D79" s="15"/>
      <c r="E79" s="85"/>
      <c r="F79" s="14">
        <v>1</v>
      </c>
      <c r="G79" s="14">
        <v>14133</v>
      </c>
      <c r="H79" s="63">
        <f>G79*F79/1000</f>
        <v>14.132999999999999</v>
      </c>
      <c r="I79" s="14">
        <v>0</v>
      </c>
    </row>
    <row r="80" spans="1:22" ht="15.75" customHeight="1">
      <c r="A80" s="162" t="s">
        <v>142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17">
        <v>29</v>
      </c>
      <c r="B81" s="64" t="s">
        <v>111</v>
      </c>
      <c r="C81" s="17" t="s">
        <v>52</v>
      </c>
      <c r="D81" s="86" t="s">
        <v>53</v>
      </c>
      <c r="E81" s="14">
        <v>3216.2</v>
      </c>
      <c r="F81" s="14">
        <f>SUM(E81*12)</f>
        <v>38594.399999999994</v>
      </c>
      <c r="G81" s="14">
        <v>2.95</v>
      </c>
      <c r="H81" s="63">
        <f>SUM(F81*G81/1000)</f>
        <v>113.85347999999999</v>
      </c>
      <c r="I81" s="14">
        <f>F81/12*G81</f>
        <v>9487.7899999999991</v>
      </c>
    </row>
    <row r="82" spans="1:9" ht="31.5" customHeight="1">
      <c r="A82" s="87">
        <v>30</v>
      </c>
      <c r="B82" s="15" t="s">
        <v>73</v>
      </c>
      <c r="C82" s="17"/>
      <c r="D82" s="86" t="s">
        <v>53</v>
      </c>
      <c r="E82" s="66">
        <v>3216.2</v>
      </c>
      <c r="F82" s="14">
        <f>E82*12</f>
        <v>38594.399999999994</v>
      </c>
      <c r="G82" s="14">
        <v>3.05</v>
      </c>
      <c r="H82" s="63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75</v>
      </c>
      <c r="C83" s="83"/>
      <c r="D83" s="82"/>
      <c r="E83" s="73"/>
      <c r="F83" s="73"/>
      <c r="G83" s="73"/>
      <c r="H83" s="84">
        <f>H82</f>
        <v>117.71291999999997</v>
      </c>
      <c r="I83" s="73">
        <f>I16+I17+I18+I19+I20+I21+I22+I23+I24+I25+I26+I27+I30+I31+I32+I33+I45+I46+I47+I48+I49+I53+I63+I64+I65+I66+I67+I69+I81+I82</f>
        <v>171077.65656344444</v>
      </c>
    </row>
    <row r="84" spans="1:9" ht="15.75" customHeight="1">
      <c r="A84" s="168" t="s">
        <v>58</v>
      </c>
      <c r="B84" s="169"/>
      <c r="C84" s="169"/>
      <c r="D84" s="169"/>
      <c r="E84" s="169"/>
      <c r="F84" s="169"/>
      <c r="G84" s="169"/>
      <c r="H84" s="169"/>
      <c r="I84" s="170"/>
    </row>
    <row r="85" spans="1:9" ht="15.75" customHeight="1">
      <c r="A85" s="116">
        <v>31</v>
      </c>
      <c r="B85" s="133" t="s">
        <v>167</v>
      </c>
      <c r="C85" s="134" t="s">
        <v>168</v>
      </c>
      <c r="D85" s="43"/>
      <c r="E85" s="14"/>
      <c r="F85" s="14">
        <v>2</v>
      </c>
      <c r="G85" s="141">
        <v>1.2</v>
      </c>
      <c r="H85" s="63">
        <f t="shared" ref="H85" si="14">G85*F85/1000</f>
        <v>2.3999999999999998E-3</v>
      </c>
      <c r="I85" s="115">
        <f>G85*100</f>
        <v>120</v>
      </c>
    </row>
    <row r="86" spans="1:9" ht="15.75" customHeight="1">
      <c r="A86" s="62">
        <v>32</v>
      </c>
      <c r="B86" s="123" t="s">
        <v>170</v>
      </c>
      <c r="C86" s="124" t="s">
        <v>171</v>
      </c>
      <c r="D86" s="17" t="s">
        <v>110</v>
      </c>
      <c r="E86" s="14"/>
      <c r="F86" s="14">
        <v>2</v>
      </c>
      <c r="G86" s="126">
        <v>134.12</v>
      </c>
      <c r="H86" s="63">
        <f>G86*F86/1000</f>
        <v>0.26824000000000003</v>
      </c>
      <c r="I86" s="115">
        <f>G86*3</f>
        <v>402.36</v>
      </c>
    </row>
    <row r="87" spans="1:9" ht="15.75" customHeight="1">
      <c r="A87" s="62">
        <v>33</v>
      </c>
      <c r="B87" s="123" t="s">
        <v>196</v>
      </c>
      <c r="C87" s="124" t="s">
        <v>197</v>
      </c>
      <c r="D87" s="43"/>
      <c r="E87" s="14"/>
      <c r="F87" s="14">
        <f>1/10</f>
        <v>0.1</v>
      </c>
      <c r="G87" s="126">
        <v>208</v>
      </c>
      <c r="H87" s="63">
        <f t="shared" ref="H87" si="15">G87*F87/1000</f>
        <v>2.0799999999999999E-2</v>
      </c>
      <c r="I87" s="115">
        <f>G87*1</f>
        <v>208</v>
      </c>
    </row>
    <row r="88" spans="1:9" ht="30.75" customHeight="1">
      <c r="A88" s="62">
        <v>34</v>
      </c>
      <c r="B88" s="46" t="s">
        <v>155</v>
      </c>
      <c r="C88" s="47" t="s">
        <v>36</v>
      </c>
      <c r="D88" s="43"/>
      <c r="E88" s="14"/>
      <c r="F88" s="14"/>
      <c r="G88" s="126">
        <v>3724.37</v>
      </c>
      <c r="H88" s="63"/>
      <c r="I88" s="115">
        <f>G88*0.02</f>
        <v>74.487399999999994</v>
      </c>
    </row>
    <row r="89" spans="1:9" ht="19.5" customHeight="1">
      <c r="A89" s="62">
        <v>35</v>
      </c>
      <c r="B89" s="123" t="s">
        <v>198</v>
      </c>
      <c r="C89" s="145" t="s">
        <v>160</v>
      </c>
      <c r="D89" s="43"/>
      <c r="E89" s="14"/>
      <c r="F89" s="14"/>
      <c r="G89" s="126">
        <v>19.73</v>
      </c>
      <c r="H89" s="63"/>
      <c r="I89" s="115">
        <f>G89*1</f>
        <v>19.73</v>
      </c>
    </row>
    <row r="90" spans="1:9" ht="19.5" customHeight="1">
      <c r="A90" s="62">
        <v>36</v>
      </c>
      <c r="B90" s="123" t="s">
        <v>76</v>
      </c>
      <c r="C90" s="124" t="s">
        <v>101</v>
      </c>
      <c r="D90" s="43"/>
      <c r="E90" s="14"/>
      <c r="F90" s="14"/>
      <c r="G90" s="126">
        <v>197.48</v>
      </c>
      <c r="H90" s="63"/>
      <c r="I90" s="115">
        <f>G90*1</f>
        <v>197.48</v>
      </c>
    </row>
    <row r="91" spans="1:9" ht="15.75" customHeight="1">
      <c r="A91" s="31"/>
      <c r="B91" s="41" t="s">
        <v>49</v>
      </c>
      <c r="C91" s="37"/>
      <c r="D91" s="44"/>
      <c r="E91" s="37">
        <v>1</v>
      </c>
      <c r="F91" s="37"/>
      <c r="G91" s="37"/>
      <c r="H91" s="37"/>
      <c r="I91" s="34">
        <f>SUM(I85:I90)</f>
        <v>1022.0574</v>
      </c>
    </row>
    <row r="92" spans="1:9" ht="15.75" customHeight="1">
      <c r="A92" s="31"/>
      <c r="B92" s="43" t="s">
        <v>74</v>
      </c>
      <c r="C92" s="16"/>
      <c r="D92" s="16"/>
      <c r="E92" s="38"/>
      <c r="F92" s="38"/>
      <c r="G92" s="39"/>
      <c r="H92" s="39"/>
      <c r="I92" s="18">
        <v>0</v>
      </c>
    </row>
    <row r="93" spans="1:9" ht="15.75" customHeight="1">
      <c r="A93" s="45"/>
      <c r="B93" s="42" t="s">
        <v>153</v>
      </c>
      <c r="C93" s="35"/>
      <c r="D93" s="35"/>
      <c r="E93" s="35"/>
      <c r="F93" s="35"/>
      <c r="G93" s="35"/>
      <c r="H93" s="35"/>
      <c r="I93" s="40">
        <f>I83+I91</f>
        <v>172099.71396344443</v>
      </c>
    </row>
    <row r="94" spans="1:9" ht="15.75" customHeight="1">
      <c r="A94" s="153" t="s">
        <v>199</v>
      </c>
      <c r="B94" s="153"/>
      <c r="C94" s="153"/>
      <c r="D94" s="153"/>
      <c r="E94" s="153"/>
      <c r="F94" s="153"/>
      <c r="G94" s="153"/>
      <c r="H94" s="153"/>
      <c r="I94" s="153"/>
    </row>
    <row r="95" spans="1:9" ht="15.75" customHeight="1">
      <c r="A95" s="54"/>
      <c r="B95" s="178" t="s">
        <v>200</v>
      </c>
      <c r="C95" s="178"/>
      <c r="D95" s="178"/>
      <c r="E95" s="178"/>
      <c r="F95" s="178"/>
      <c r="G95" s="178"/>
      <c r="H95" s="58"/>
      <c r="I95" s="4"/>
    </row>
    <row r="96" spans="1:9" ht="15.75" customHeight="1">
      <c r="A96" s="92"/>
      <c r="B96" s="175" t="s">
        <v>6</v>
      </c>
      <c r="C96" s="175"/>
      <c r="D96" s="175"/>
      <c r="E96" s="175"/>
      <c r="F96" s="175"/>
      <c r="G96" s="175"/>
      <c r="H96" s="26"/>
      <c r="I96" s="6"/>
    </row>
    <row r="97" spans="1:9" ht="15.75" customHeight="1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 customHeight="1">
      <c r="A98" s="179" t="s">
        <v>7</v>
      </c>
      <c r="B98" s="179"/>
      <c r="C98" s="179"/>
      <c r="D98" s="179"/>
      <c r="E98" s="179"/>
      <c r="F98" s="179"/>
      <c r="G98" s="179"/>
      <c r="H98" s="179"/>
      <c r="I98" s="179"/>
    </row>
    <row r="99" spans="1:9" ht="15.75" customHeight="1">
      <c r="A99" s="179" t="s">
        <v>8</v>
      </c>
      <c r="B99" s="179"/>
      <c r="C99" s="179"/>
      <c r="D99" s="179"/>
      <c r="E99" s="179"/>
      <c r="F99" s="179"/>
      <c r="G99" s="179"/>
      <c r="H99" s="179"/>
      <c r="I99" s="179"/>
    </row>
    <row r="100" spans="1:9" ht="15.75" customHeight="1">
      <c r="A100" s="180" t="s">
        <v>59</v>
      </c>
      <c r="B100" s="180"/>
      <c r="C100" s="180"/>
      <c r="D100" s="180"/>
      <c r="E100" s="180"/>
      <c r="F100" s="180"/>
      <c r="G100" s="180"/>
      <c r="H100" s="180"/>
      <c r="I100" s="180"/>
    </row>
    <row r="101" spans="1:9" ht="15.75" customHeight="1">
      <c r="A101" s="12"/>
    </row>
    <row r="102" spans="1:9" ht="15.75" customHeight="1">
      <c r="A102" s="160" t="s">
        <v>9</v>
      </c>
      <c r="B102" s="160"/>
      <c r="C102" s="160"/>
      <c r="D102" s="160"/>
      <c r="E102" s="160"/>
      <c r="F102" s="160"/>
      <c r="G102" s="160"/>
      <c r="H102" s="160"/>
      <c r="I102" s="160"/>
    </row>
    <row r="103" spans="1:9" ht="15.75" customHeight="1">
      <c r="A103" s="5"/>
    </row>
    <row r="104" spans="1:9" ht="15.75" customHeight="1">
      <c r="B104" s="93" t="s">
        <v>10</v>
      </c>
      <c r="C104" s="174" t="s">
        <v>81</v>
      </c>
      <c r="D104" s="174"/>
      <c r="E104" s="174"/>
      <c r="F104" s="56"/>
      <c r="I104" s="91"/>
    </row>
    <row r="105" spans="1:9" ht="15.75" customHeight="1">
      <c r="A105" s="92"/>
      <c r="C105" s="175" t="s">
        <v>11</v>
      </c>
      <c r="D105" s="175"/>
      <c r="E105" s="175"/>
      <c r="F105" s="26"/>
      <c r="I105" s="90" t="s">
        <v>12</v>
      </c>
    </row>
    <row r="106" spans="1:9" ht="15.75" customHeight="1">
      <c r="A106" s="27"/>
      <c r="C106" s="13"/>
      <c r="D106" s="13"/>
      <c r="G106" s="13"/>
      <c r="H106" s="13"/>
    </row>
    <row r="107" spans="1:9" ht="15.75" customHeight="1">
      <c r="B107" s="93" t="s">
        <v>13</v>
      </c>
      <c r="C107" s="176"/>
      <c r="D107" s="176"/>
      <c r="E107" s="176"/>
      <c r="F107" s="57"/>
      <c r="I107" s="91"/>
    </row>
    <row r="108" spans="1:9" ht="15.75" customHeight="1">
      <c r="A108" s="92"/>
      <c r="C108" s="152" t="s">
        <v>11</v>
      </c>
      <c r="D108" s="152"/>
      <c r="E108" s="152"/>
      <c r="F108" s="92"/>
      <c r="I108" s="90" t="s">
        <v>12</v>
      </c>
    </row>
    <row r="109" spans="1:9" ht="15.75" customHeight="1">
      <c r="A109" s="5" t="s">
        <v>14</v>
      </c>
    </row>
    <row r="110" spans="1:9" ht="15" customHeight="1">
      <c r="A110" s="177" t="s">
        <v>15</v>
      </c>
      <c r="B110" s="177"/>
      <c r="C110" s="177"/>
      <c r="D110" s="177"/>
      <c r="E110" s="177"/>
      <c r="F110" s="177"/>
      <c r="G110" s="177"/>
      <c r="H110" s="177"/>
      <c r="I110" s="177"/>
    </row>
    <row r="111" spans="1:9" ht="45" customHeight="1">
      <c r="A111" s="171" t="s">
        <v>16</v>
      </c>
      <c r="B111" s="171"/>
      <c r="C111" s="171"/>
      <c r="D111" s="171"/>
      <c r="E111" s="171"/>
      <c r="F111" s="171"/>
      <c r="G111" s="171"/>
      <c r="H111" s="171"/>
      <c r="I111" s="171"/>
    </row>
    <row r="112" spans="1:9" ht="30" customHeight="1">
      <c r="A112" s="171" t="s">
        <v>17</v>
      </c>
      <c r="B112" s="171"/>
      <c r="C112" s="171"/>
      <c r="D112" s="171"/>
      <c r="E112" s="171"/>
      <c r="F112" s="171"/>
      <c r="G112" s="171"/>
      <c r="H112" s="171"/>
      <c r="I112" s="171"/>
    </row>
    <row r="113" spans="1:9" ht="30" customHeight="1">
      <c r="A113" s="171" t="s">
        <v>21</v>
      </c>
      <c r="B113" s="171"/>
      <c r="C113" s="171"/>
      <c r="D113" s="171"/>
      <c r="E113" s="171"/>
      <c r="F113" s="171"/>
      <c r="G113" s="171"/>
      <c r="H113" s="171"/>
      <c r="I113" s="171"/>
    </row>
    <row r="114" spans="1:9" ht="15" customHeight="1">
      <c r="A114" s="171" t="s">
        <v>20</v>
      </c>
      <c r="B114" s="171"/>
      <c r="C114" s="171"/>
      <c r="D114" s="171"/>
      <c r="E114" s="171"/>
      <c r="F114" s="171"/>
      <c r="G114" s="171"/>
      <c r="H114" s="171"/>
      <c r="I114" s="171"/>
    </row>
  </sheetData>
  <autoFilter ref="I14:I64"/>
  <mergeCells count="29">
    <mergeCell ref="A110:I110"/>
    <mergeCell ref="A111:I111"/>
    <mergeCell ref="A112:I112"/>
    <mergeCell ref="A113:I113"/>
    <mergeCell ref="A114:I114"/>
    <mergeCell ref="R70:U70"/>
    <mergeCell ref="C108:E108"/>
    <mergeCell ref="A84:I84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58" orientation="portrait" r:id="rId1"/>
  <rowBreaks count="1" manualBreakCount="1">
    <brk id="108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B85" sqref="B85:I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78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4" t="s">
        <v>147</v>
      </c>
      <c r="B3" s="154"/>
      <c r="C3" s="154"/>
      <c r="D3" s="154"/>
      <c r="E3" s="154"/>
      <c r="F3" s="154"/>
      <c r="G3" s="154"/>
      <c r="H3" s="154"/>
      <c r="I3" s="154"/>
      <c r="J3" s="2"/>
      <c r="K3" s="2"/>
      <c r="L3" s="2"/>
      <c r="M3" s="2"/>
    </row>
    <row r="4" spans="1:13" ht="33.75" customHeight="1">
      <c r="A4" s="155" t="s">
        <v>112</v>
      </c>
      <c r="B4" s="155"/>
      <c r="C4" s="155"/>
      <c r="D4" s="155"/>
      <c r="E4" s="155"/>
      <c r="F4" s="155"/>
      <c r="G4" s="155"/>
      <c r="H4" s="155"/>
      <c r="I4" s="155"/>
      <c r="J4" s="3"/>
      <c r="K4" s="3"/>
      <c r="L4" s="3"/>
      <c r="M4" s="3"/>
    </row>
    <row r="5" spans="1:13" ht="15.75" customHeight="1">
      <c r="A5" s="154" t="s">
        <v>201</v>
      </c>
      <c r="B5" s="156"/>
      <c r="C5" s="156"/>
      <c r="D5" s="156"/>
      <c r="E5" s="156"/>
      <c r="F5" s="156"/>
      <c r="G5" s="156"/>
      <c r="H5" s="156"/>
      <c r="I5" s="156"/>
      <c r="J5" s="4"/>
      <c r="K5" s="4"/>
      <c r="L5" s="4"/>
    </row>
    <row r="6" spans="1:13" ht="15.75" customHeight="1">
      <c r="A6" s="3"/>
      <c r="B6" s="95"/>
      <c r="C6" s="95"/>
      <c r="D6" s="95"/>
      <c r="E6" s="95"/>
      <c r="F6" s="95"/>
      <c r="G6" s="95"/>
      <c r="H6" s="95"/>
      <c r="I6" s="32">
        <v>43281</v>
      </c>
    </row>
    <row r="7" spans="1:13" ht="15.75">
      <c r="B7" s="93"/>
      <c r="C7" s="93"/>
      <c r="D7" s="93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57" t="s">
        <v>149</v>
      </c>
      <c r="B8" s="157"/>
      <c r="C8" s="157"/>
      <c r="D8" s="157"/>
      <c r="E8" s="157"/>
      <c r="F8" s="157"/>
      <c r="G8" s="157"/>
      <c r="H8" s="157"/>
      <c r="I8" s="15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58" t="s">
        <v>166</v>
      </c>
      <c r="B10" s="158"/>
      <c r="C10" s="158"/>
      <c r="D10" s="158"/>
      <c r="E10" s="158"/>
      <c r="F10" s="158"/>
      <c r="G10" s="158"/>
      <c r="H10" s="158"/>
      <c r="I10" s="15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59" t="s">
        <v>57</v>
      </c>
      <c r="B14" s="159"/>
      <c r="C14" s="159"/>
      <c r="D14" s="159"/>
      <c r="E14" s="159"/>
      <c r="F14" s="159"/>
      <c r="G14" s="159"/>
      <c r="H14" s="159"/>
      <c r="I14" s="159"/>
    </row>
    <row r="15" spans="1:13">
      <c r="A15" s="161" t="s">
        <v>4</v>
      </c>
      <c r="B15" s="161"/>
      <c r="C15" s="161"/>
      <c r="D15" s="161"/>
      <c r="E15" s="161"/>
      <c r="F15" s="161"/>
      <c r="G15" s="161"/>
      <c r="H15" s="161"/>
      <c r="I15" s="161"/>
      <c r="J15" s="9"/>
      <c r="K15" s="9"/>
      <c r="L15" s="9"/>
      <c r="M15" s="9"/>
    </row>
    <row r="16" spans="1:13" ht="15.75" customHeight="1">
      <c r="A16" s="59">
        <v>1</v>
      </c>
      <c r="B16" s="64" t="s">
        <v>79</v>
      </c>
      <c r="C16" s="65" t="s">
        <v>83</v>
      </c>
      <c r="D16" s="64" t="s">
        <v>115</v>
      </c>
      <c r="E16" s="66">
        <v>54</v>
      </c>
      <c r="F16" s="67">
        <f>SUM(E16*156/100)</f>
        <v>84.24</v>
      </c>
      <c r="G16" s="67">
        <v>218.21</v>
      </c>
      <c r="H16" s="68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4" t="s">
        <v>113</v>
      </c>
      <c r="C17" s="65" t="s">
        <v>83</v>
      </c>
      <c r="D17" s="64" t="s">
        <v>116</v>
      </c>
      <c r="E17" s="66">
        <v>216</v>
      </c>
      <c r="F17" s="67">
        <f>SUM(E17*104/100)</f>
        <v>224.64</v>
      </c>
      <c r="G17" s="67">
        <v>218.21</v>
      </c>
      <c r="H17" s="68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4" t="s">
        <v>114</v>
      </c>
      <c r="C18" s="65" t="s">
        <v>83</v>
      </c>
      <c r="D18" s="64" t="s">
        <v>117</v>
      </c>
      <c r="E18" s="66">
        <f>SUM(E16+E17)</f>
        <v>270</v>
      </c>
      <c r="F18" s="67">
        <f>SUM(E18*24/100)</f>
        <v>64.8</v>
      </c>
      <c r="G18" s="67">
        <v>627.77</v>
      </c>
      <c r="H18" s="68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4" t="s">
        <v>84</v>
      </c>
      <c r="C19" s="65" t="s">
        <v>85</v>
      </c>
      <c r="D19" s="64" t="s">
        <v>86</v>
      </c>
      <c r="E19" s="66">
        <v>40</v>
      </c>
      <c r="F19" s="67">
        <f>SUM(E19/10)</f>
        <v>4</v>
      </c>
      <c r="G19" s="67">
        <v>211.74</v>
      </c>
      <c r="H19" s="68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9">
        <v>5</v>
      </c>
      <c r="B20" s="64" t="s">
        <v>87</v>
      </c>
      <c r="C20" s="65" t="s">
        <v>83</v>
      </c>
      <c r="D20" s="64" t="s">
        <v>40</v>
      </c>
      <c r="E20" s="66">
        <v>10.5</v>
      </c>
      <c r="F20" s="67">
        <f>SUM(E20*2/100)</f>
        <v>0.21</v>
      </c>
      <c r="G20" s="67">
        <v>271.12</v>
      </c>
      <c r="H20" s="68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9">
        <v>6</v>
      </c>
      <c r="B21" s="64" t="s">
        <v>88</v>
      </c>
      <c r="C21" s="65" t="s">
        <v>83</v>
      </c>
      <c r="D21" s="64" t="s">
        <v>40</v>
      </c>
      <c r="E21" s="66">
        <v>2.7</v>
      </c>
      <c r="F21" s="67">
        <f>SUM(E21*2/100)</f>
        <v>5.4000000000000006E-2</v>
      </c>
      <c r="G21" s="67">
        <v>268.92</v>
      </c>
      <c r="H21" s="68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4" t="s">
        <v>89</v>
      </c>
      <c r="C22" s="65" t="s">
        <v>50</v>
      </c>
      <c r="D22" s="64" t="s">
        <v>86</v>
      </c>
      <c r="E22" s="66">
        <v>357</v>
      </c>
      <c r="F22" s="67">
        <f t="shared" ref="F22:F25" si="2">SUM(E22/100)</f>
        <v>3.57</v>
      </c>
      <c r="G22" s="67">
        <v>335.05</v>
      </c>
      <c r="H22" s="68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4" t="s">
        <v>90</v>
      </c>
      <c r="C23" s="65" t="s">
        <v>50</v>
      </c>
      <c r="D23" s="64" t="s">
        <v>86</v>
      </c>
      <c r="E23" s="69">
        <v>38.64</v>
      </c>
      <c r="F23" s="67">
        <f t="shared" si="2"/>
        <v>0.38640000000000002</v>
      </c>
      <c r="G23" s="67">
        <v>55.1</v>
      </c>
      <c r="H23" s="68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4" t="s">
        <v>91</v>
      </c>
      <c r="C24" s="65" t="s">
        <v>50</v>
      </c>
      <c r="D24" s="70" t="s">
        <v>86</v>
      </c>
      <c r="E24" s="19">
        <v>15</v>
      </c>
      <c r="F24" s="71">
        <f t="shared" si="2"/>
        <v>0.15</v>
      </c>
      <c r="G24" s="67">
        <v>484.94</v>
      </c>
      <c r="H24" s="68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4" t="s">
        <v>118</v>
      </c>
      <c r="C25" s="65" t="s">
        <v>50</v>
      </c>
      <c r="D25" s="64" t="s">
        <v>86</v>
      </c>
      <c r="E25" s="72">
        <v>6.38</v>
      </c>
      <c r="F25" s="67">
        <f t="shared" si="2"/>
        <v>6.3799999999999996E-2</v>
      </c>
      <c r="G25" s="67">
        <v>648.04999999999995</v>
      </c>
      <c r="H25" s="68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4</v>
      </c>
      <c r="B26" s="64" t="s">
        <v>62</v>
      </c>
      <c r="C26" s="65" t="s">
        <v>31</v>
      </c>
      <c r="D26" s="64"/>
      <c r="E26" s="66">
        <v>0.1</v>
      </c>
      <c r="F26" s="67">
        <f>SUM(E26*365)</f>
        <v>36.5</v>
      </c>
      <c r="G26" s="67">
        <v>182.96</v>
      </c>
      <c r="H26" s="68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5" t="s">
        <v>23</v>
      </c>
      <c r="C27" s="65" t="s">
        <v>24</v>
      </c>
      <c r="D27" s="64"/>
      <c r="E27" s="66">
        <v>3216.2</v>
      </c>
      <c r="F27" s="67">
        <f>SUM(E27*12)</f>
        <v>38594.399999999994</v>
      </c>
      <c r="G27" s="67">
        <v>4.01</v>
      </c>
      <c r="H27" s="68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5" t="s">
        <v>150</v>
      </c>
      <c r="B28" s="166"/>
      <c r="C28" s="166"/>
      <c r="D28" s="166"/>
      <c r="E28" s="166"/>
      <c r="F28" s="166"/>
      <c r="G28" s="166"/>
      <c r="H28" s="166"/>
      <c r="I28" s="167"/>
      <c r="J28" s="24"/>
      <c r="K28" s="9"/>
      <c r="L28" s="9"/>
      <c r="M28" s="9"/>
    </row>
    <row r="29" spans="1:13" ht="15.75" customHeight="1">
      <c r="A29" s="104"/>
      <c r="B29" s="94" t="s">
        <v>27</v>
      </c>
      <c r="C29" s="105"/>
      <c r="D29" s="105"/>
      <c r="E29" s="105"/>
      <c r="F29" s="105"/>
      <c r="G29" s="105"/>
      <c r="H29" s="105"/>
      <c r="I29" s="105"/>
      <c r="J29" s="24"/>
      <c r="K29" s="9"/>
      <c r="L29" s="9"/>
      <c r="M29" s="9"/>
    </row>
    <row r="30" spans="1:13" ht="15.75" customHeight="1">
      <c r="A30" s="103">
        <v>6</v>
      </c>
      <c r="B30" s="64" t="s">
        <v>92</v>
      </c>
      <c r="C30" s="65" t="s">
        <v>93</v>
      </c>
      <c r="D30" s="64" t="s">
        <v>119</v>
      </c>
      <c r="E30" s="67">
        <v>191.65</v>
      </c>
      <c r="F30" s="67">
        <f>SUM(E30*52/1000)</f>
        <v>9.9658000000000015</v>
      </c>
      <c r="G30" s="67">
        <v>193.97</v>
      </c>
      <c r="H30" s="68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9">
        <v>7</v>
      </c>
      <c r="B31" s="64" t="s">
        <v>151</v>
      </c>
      <c r="C31" s="65" t="s">
        <v>93</v>
      </c>
      <c r="D31" s="64" t="s">
        <v>120</v>
      </c>
      <c r="E31" s="67">
        <v>67.650000000000006</v>
      </c>
      <c r="F31" s="67">
        <f>SUM(E31*78/1000)</f>
        <v>5.2767000000000008</v>
      </c>
      <c r="G31" s="67">
        <v>321.82</v>
      </c>
      <c r="H31" s="68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4" t="s">
        <v>26</v>
      </c>
      <c r="C32" s="65" t="s">
        <v>93</v>
      </c>
      <c r="D32" s="64" t="s">
        <v>51</v>
      </c>
      <c r="E32" s="67">
        <v>191.65</v>
      </c>
      <c r="F32" s="67">
        <f>SUM(E32/1000)</f>
        <v>0.19165000000000001</v>
      </c>
      <c r="G32" s="67">
        <v>3758.28</v>
      </c>
      <c r="H32" s="68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customHeight="1">
      <c r="A33" s="59">
        <v>8</v>
      </c>
      <c r="B33" s="64" t="s">
        <v>94</v>
      </c>
      <c r="C33" s="65" t="s">
        <v>29</v>
      </c>
      <c r="D33" s="64" t="s">
        <v>61</v>
      </c>
      <c r="E33" s="74">
        <f>1/3</f>
        <v>0.33333333333333331</v>
      </c>
      <c r="F33" s="67">
        <f>155/3</f>
        <v>51.666666666666664</v>
      </c>
      <c r="G33" s="67">
        <v>70.540000000000006</v>
      </c>
      <c r="H33" s="68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4" t="s">
        <v>63</v>
      </c>
      <c r="C34" s="65" t="s">
        <v>31</v>
      </c>
      <c r="D34" s="64" t="s">
        <v>64</v>
      </c>
      <c r="E34" s="66"/>
      <c r="F34" s="67">
        <v>3</v>
      </c>
      <c r="G34" s="67">
        <v>238.07</v>
      </c>
      <c r="H34" s="68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4" t="s">
        <v>137</v>
      </c>
      <c r="C35" s="65" t="s">
        <v>30</v>
      </c>
      <c r="D35" s="64" t="s">
        <v>64</v>
      </c>
      <c r="E35" s="66"/>
      <c r="F35" s="67">
        <v>2</v>
      </c>
      <c r="G35" s="67">
        <v>1413.96</v>
      </c>
      <c r="H35" s="68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hidden="1" customHeight="1">
      <c r="A36" s="104"/>
      <c r="B36" s="94" t="s">
        <v>5</v>
      </c>
      <c r="C36" s="105"/>
      <c r="D36" s="105"/>
      <c r="E36" s="105"/>
      <c r="F36" s="105"/>
      <c r="G36" s="105"/>
      <c r="H36" s="105"/>
      <c r="I36" s="105"/>
      <c r="J36" s="25"/>
    </row>
    <row r="37" spans="1:14" ht="15.75" hidden="1" customHeight="1">
      <c r="A37" s="103">
        <v>6</v>
      </c>
      <c r="B37" s="64" t="s">
        <v>25</v>
      </c>
      <c r="C37" s="65" t="s">
        <v>30</v>
      </c>
      <c r="D37" s="64"/>
      <c r="E37" s="66"/>
      <c r="F37" s="67">
        <v>3</v>
      </c>
      <c r="G37" s="67">
        <v>1900.37</v>
      </c>
      <c r="H37" s="68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hidden="1" customHeight="1">
      <c r="A38" s="59">
        <v>7</v>
      </c>
      <c r="B38" s="64" t="s">
        <v>82</v>
      </c>
      <c r="C38" s="65" t="s">
        <v>28</v>
      </c>
      <c r="D38" s="64" t="s">
        <v>95</v>
      </c>
      <c r="E38" s="66">
        <v>67.650000000000006</v>
      </c>
      <c r="F38" s="67">
        <f>E38*30/1000</f>
        <v>2.0295000000000001</v>
      </c>
      <c r="G38" s="67">
        <v>2616.4899999999998</v>
      </c>
      <c r="H38" s="68">
        <f>G38*F38/1000</f>
        <v>5.3101664549999992</v>
      </c>
      <c r="I38" s="14">
        <f>F38/6*G38</f>
        <v>885.02774249999993</v>
      </c>
      <c r="J38" s="25"/>
    </row>
    <row r="39" spans="1:14" ht="15.75" hidden="1" customHeight="1">
      <c r="A39" s="59">
        <v>8</v>
      </c>
      <c r="B39" s="64" t="s">
        <v>121</v>
      </c>
      <c r="C39" s="65" t="s">
        <v>28</v>
      </c>
      <c r="D39" s="64" t="s">
        <v>96</v>
      </c>
      <c r="E39" s="66">
        <v>67.650000000000006</v>
      </c>
      <c r="F39" s="67">
        <f>E39*155/1000</f>
        <v>10.485749999999999</v>
      </c>
      <c r="G39" s="67">
        <v>436.45</v>
      </c>
      <c r="H39" s="68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3">
        <v>9</v>
      </c>
      <c r="B40" s="64" t="s">
        <v>122</v>
      </c>
      <c r="C40" s="65" t="s">
        <v>123</v>
      </c>
      <c r="D40" s="64" t="s">
        <v>64</v>
      </c>
      <c r="E40" s="66"/>
      <c r="F40" s="67">
        <v>64</v>
      </c>
      <c r="G40" s="67">
        <v>226.84</v>
      </c>
      <c r="H40" s="68">
        <f>G40*F40/1000</f>
        <v>14.517760000000001</v>
      </c>
      <c r="I40" s="14">
        <f>G40*13</f>
        <v>2948.92</v>
      </c>
      <c r="J40" s="25"/>
    </row>
    <row r="41" spans="1:14" ht="47.25" hidden="1" customHeight="1">
      <c r="A41" s="59">
        <v>10</v>
      </c>
      <c r="B41" s="64" t="s">
        <v>77</v>
      </c>
      <c r="C41" s="65" t="s">
        <v>28</v>
      </c>
      <c r="D41" s="64" t="s">
        <v>124</v>
      </c>
      <c r="E41" s="67">
        <v>67.650000000000006</v>
      </c>
      <c r="F41" s="67">
        <f>SUM(E41*35/1000)</f>
        <v>2.36775</v>
      </c>
      <c r="G41" s="67">
        <v>7221.21</v>
      </c>
      <c r="H41" s="68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11</v>
      </c>
      <c r="B42" s="64" t="s">
        <v>97</v>
      </c>
      <c r="C42" s="65" t="s">
        <v>93</v>
      </c>
      <c r="D42" s="64" t="s">
        <v>125</v>
      </c>
      <c r="E42" s="67">
        <v>67.650000000000006</v>
      </c>
      <c r="F42" s="67">
        <f>SUM(E42*20/1000)</f>
        <v>1.353</v>
      </c>
      <c r="G42" s="67">
        <v>533.45000000000005</v>
      </c>
      <c r="H42" s="68">
        <f t="shared" si="6"/>
        <v>0.72175785000000003</v>
      </c>
      <c r="I42" s="14">
        <f>F42/6*G42</f>
        <v>120.29297500000001</v>
      </c>
      <c r="J42" s="25"/>
    </row>
    <row r="43" spans="1:14" ht="15.75" hidden="1" customHeight="1">
      <c r="A43" s="103">
        <v>12</v>
      </c>
      <c r="B43" s="64" t="s">
        <v>65</v>
      </c>
      <c r="C43" s="65" t="s">
        <v>31</v>
      </c>
      <c r="D43" s="64"/>
      <c r="E43" s="66"/>
      <c r="F43" s="67">
        <v>0.8</v>
      </c>
      <c r="G43" s="67">
        <v>992.97</v>
      </c>
      <c r="H43" s="68">
        <f t="shared" si="6"/>
        <v>0.79437600000000008</v>
      </c>
      <c r="I43" s="14">
        <f>F43/6*G43</f>
        <v>132.39600000000002</v>
      </c>
      <c r="J43" s="25"/>
    </row>
    <row r="44" spans="1:14" ht="15.75" hidden="1" customHeight="1">
      <c r="A44" s="162" t="s">
        <v>141</v>
      </c>
      <c r="B44" s="163"/>
      <c r="C44" s="163"/>
      <c r="D44" s="163"/>
      <c r="E44" s="163"/>
      <c r="F44" s="163"/>
      <c r="G44" s="163"/>
      <c r="H44" s="163"/>
      <c r="I44" s="164"/>
      <c r="J44" s="25"/>
      <c r="L44" s="20"/>
      <c r="M44" s="21"/>
      <c r="N44" s="22"/>
    </row>
    <row r="45" spans="1:14" ht="15.75" hidden="1" customHeight="1">
      <c r="A45" s="59">
        <v>17</v>
      </c>
      <c r="B45" s="64" t="s">
        <v>98</v>
      </c>
      <c r="C45" s="65" t="s">
        <v>93</v>
      </c>
      <c r="D45" s="64" t="s">
        <v>40</v>
      </c>
      <c r="E45" s="66">
        <v>1114.75</v>
      </c>
      <c r="F45" s="67">
        <f>SUM(E45*2/1000)</f>
        <v>2.2294999999999998</v>
      </c>
      <c r="G45" s="14">
        <v>1283.46</v>
      </c>
      <c r="H45" s="68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9">
        <v>18</v>
      </c>
      <c r="B46" s="64" t="s">
        <v>34</v>
      </c>
      <c r="C46" s="65" t="s">
        <v>93</v>
      </c>
      <c r="D46" s="64" t="s">
        <v>40</v>
      </c>
      <c r="E46" s="66">
        <v>1563.3</v>
      </c>
      <c r="F46" s="67">
        <f>SUM(E46*2/1000)</f>
        <v>3.1265999999999998</v>
      </c>
      <c r="G46" s="14">
        <v>1711.28</v>
      </c>
      <c r="H46" s="68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hidden="1" customHeight="1">
      <c r="A47" s="59">
        <v>19</v>
      </c>
      <c r="B47" s="64" t="s">
        <v>35</v>
      </c>
      <c r="C47" s="65" t="s">
        <v>93</v>
      </c>
      <c r="D47" s="64" t="s">
        <v>40</v>
      </c>
      <c r="E47" s="66">
        <v>1619.6</v>
      </c>
      <c r="F47" s="67">
        <f>SUM(E47*2/1000)</f>
        <v>3.2391999999999999</v>
      </c>
      <c r="G47" s="14">
        <v>1179.73</v>
      </c>
      <c r="H47" s="68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hidden="1" customHeight="1">
      <c r="A48" s="59">
        <v>20</v>
      </c>
      <c r="B48" s="64" t="s">
        <v>32</v>
      </c>
      <c r="C48" s="65" t="s">
        <v>33</v>
      </c>
      <c r="D48" s="64" t="s">
        <v>40</v>
      </c>
      <c r="E48" s="66">
        <v>85.84</v>
      </c>
      <c r="F48" s="67">
        <f>SUM(E48*2/100)</f>
        <v>1.7168000000000001</v>
      </c>
      <c r="G48" s="14">
        <v>90.61</v>
      </c>
      <c r="H48" s="68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hidden="1" customHeight="1">
      <c r="A49" s="59">
        <v>21</v>
      </c>
      <c r="B49" s="64" t="s">
        <v>54</v>
      </c>
      <c r="C49" s="65" t="s">
        <v>93</v>
      </c>
      <c r="D49" s="64" t="s">
        <v>152</v>
      </c>
      <c r="E49" s="66">
        <v>3216.2</v>
      </c>
      <c r="F49" s="67">
        <f>SUM(E49*5/1000)</f>
        <v>16.081</v>
      </c>
      <c r="G49" s="14">
        <v>1711.28</v>
      </c>
      <c r="H49" s="68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4" t="s">
        <v>99</v>
      </c>
      <c r="C50" s="65" t="s">
        <v>93</v>
      </c>
      <c r="D50" s="64" t="s">
        <v>40</v>
      </c>
      <c r="E50" s="66">
        <v>3216.2</v>
      </c>
      <c r="F50" s="67">
        <f>SUM(E50*2/1000)</f>
        <v>6.4323999999999995</v>
      </c>
      <c r="G50" s="14">
        <v>1510.06</v>
      </c>
      <c r="H50" s="68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14</v>
      </c>
      <c r="B51" s="64" t="s">
        <v>100</v>
      </c>
      <c r="C51" s="65" t="s">
        <v>36</v>
      </c>
      <c r="D51" s="64" t="s">
        <v>40</v>
      </c>
      <c r="E51" s="66">
        <v>16</v>
      </c>
      <c r="F51" s="67">
        <f>SUM(E51*2/100)</f>
        <v>0.32</v>
      </c>
      <c r="G51" s="14">
        <v>3850.4</v>
      </c>
      <c r="H51" s="68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15</v>
      </c>
      <c r="B52" s="64" t="s">
        <v>37</v>
      </c>
      <c r="C52" s="65" t="s">
        <v>38</v>
      </c>
      <c r="D52" s="64" t="s">
        <v>40</v>
      </c>
      <c r="E52" s="66">
        <v>1</v>
      </c>
      <c r="F52" s="67">
        <v>0.02</v>
      </c>
      <c r="G52" s="14">
        <v>7033.13</v>
      </c>
      <c r="H52" s="68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hidden="1" customHeight="1">
      <c r="A53" s="59">
        <v>22</v>
      </c>
      <c r="B53" s="64" t="s">
        <v>39</v>
      </c>
      <c r="C53" s="65" t="s">
        <v>101</v>
      </c>
      <c r="D53" s="64" t="s">
        <v>66</v>
      </c>
      <c r="E53" s="66">
        <v>128</v>
      </c>
      <c r="F53" s="67">
        <f>SUM(E53)*3</f>
        <v>384</v>
      </c>
      <c r="G53" s="14">
        <v>81.73</v>
      </c>
      <c r="H53" s="68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2" t="s">
        <v>80</v>
      </c>
      <c r="B54" s="172"/>
      <c r="C54" s="172"/>
      <c r="D54" s="172"/>
      <c r="E54" s="172"/>
      <c r="F54" s="172"/>
      <c r="G54" s="172"/>
      <c r="H54" s="172"/>
      <c r="I54" s="173"/>
      <c r="J54" s="25"/>
      <c r="L54" s="20"/>
      <c r="M54" s="21"/>
      <c r="N54" s="22"/>
    </row>
    <row r="55" spans="1:14" ht="15.75" hidden="1" customHeight="1">
      <c r="A55" s="59"/>
      <c r="B55" s="88" t="s">
        <v>41</v>
      </c>
      <c r="C55" s="65"/>
      <c r="D55" s="64"/>
      <c r="E55" s="66"/>
      <c r="F55" s="67"/>
      <c r="G55" s="67"/>
      <c r="H55" s="68"/>
      <c r="I55" s="14"/>
      <c r="J55" s="25"/>
      <c r="L55" s="20"/>
      <c r="M55" s="21"/>
      <c r="N55" s="22"/>
    </row>
    <row r="56" spans="1:14" ht="31.5" hidden="1" customHeight="1">
      <c r="A56" s="59">
        <v>13</v>
      </c>
      <c r="B56" s="64" t="s">
        <v>126</v>
      </c>
      <c r="C56" s="65" t="s">
        <v>83</v>
      </c>
      <c r="D56" s="64" t="s">
        <v>127</v>
      </c>
      <c r="E56" s="66">
        <v>123.31</v>
      </c>
      <c r="F56" s="67">
        <f>SUM(E56*6/100)</f>
        <v>7.3986000000000001</v>
      </c>
      <c r="G56" s="14">
        <v>2306.62</v>
      </c>
      <c r="H56" s="68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77" t="s">
        <v>128</v>
      </c>
      <c r="C57" s="76" t="s">
        <v>129</v>
      </c>
      <c r="D57" s="77" t="s">
        <v>64</v>
      </c>
      <c r="E57" s="78"/>
      <c r="F57" s="79">
        <v>3</v>
      </c>
      <c r="G57" s="14">
        <v>1501</v>
      </c>
      <c r="H57" s="68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89" t="s">
        <v>42</v>
      </c>
      <c r="C58" s="76"/>
      <c r="D58" s="77"/>
      <c r="E58" s="78"/>
      <c r="F58" s="79"/>
      <c r="G58" s="14"/>
      <c r="H58" s="80"/>
      <c r="I58" s="14"/>
      <c r="J58" s="25"/>
      <c r="L58" s="20"/>
      <c r="M58" s="21"/>
      <c r="N58" s="22"/>
    </row>
    <row r="59" spans="1:14" ht="15.75" hidden="1" customHeight="1">
      <c r="A59" s="60"/>
      <c r="B59" s="77" t="s">
        <v>139</v>
      </c>
      <c r="C59" s="76" t="s">
        <v>50</v>
      </c>
      <c r="D59" s="77" t="s">
        <v>51</v>
      </c>
      <c r="E59" s="78">
        <v>451</v>
      </c>
      <c r="F59" s="79">
        <v>8.9</v>
      </c>
      <c r="G59" s="14">
        <v>987.51</v>
      </c>
      <c r="H59" s="80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89" t="s">
        <v>43</v>
      </c>
      <c r="C60" s="76"/>
      <c r="D60" s="77"/>
      <c r="E60" s="108"/>
      <c r="F60" s="67"/>
      <c r="G60" s="111"/>
      <c r="H60" s="79" t="s">
        <v>138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44</v>
      </c>
      <c r="C61" s="17" t="s">
        <v>101</v>
      </c>
      <c r="D61" s="15" t="s">
        <v>64</v>
      </c>
      <c r="E61" s="109">
        <v>10</v>
      </c>
      <c r="F61" s="67">
        <f>E61</f>
        <v>10</v>
      </c>
      <c r="G61" s="112">
        <v>276.74</v>
      </c>
      <c r="H61" s="63">
        <f t="shared" ref="H61:H69" si="10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45</v>
      </c>
      <c r="C62" s="17" t="s">
        <v>101</v>
      </c>
      <c r="D62" s="15" t="s">
        <v>64</v>
      </c>
      <c r="E62" s="109">
        <v>10</v>
      </c>
      <c r="F62" s="67">
        <f>E62</f>
        <v>10</v>
      </c>
      <c r="G62" s="112">
        <v>94.89</v>
      </c>
      <c r="H62" s="63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46</v>
      </c>
      <c r="C63" s="17" t="s">
        <v>102</v>
      </c>
      <c r="D63" s="15" t="s">
        <v>51</v>
      </c>
      <c r="E63" s="110">
        <v>13447</v>
      </c>
      <c r="F63" s="67">
        <f>SUM(E63/100)</f>
        <v>134.47</v>
      </c>
      <c r="G63" s="112">
        <v>263.99</v>
      </c>
      <c r="H63" s="63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47</v>
      </c>
      <c r="C64" s="17" t="s">
        <v>103</v>
      </c>
      <c r="D64" s="15"/>
      <c r="E64" s="110">
        <v>13447</v>
      </c>
      <c r="F64" s="67">
        <f>SUM(E64/1000)</f>
        <v>13.446999999999999</v>
      </c>
      <c r="G64" s="112">
        <v>205.57</v>
      </c>
      <c r="H64" s="63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48</v>
      </c>
      <c r="C65" s="17" t="s">
        <v>72</v>
      </c>
      <c r="D65" s="15" t="s">
        <v>51</v>
      </c>
      <c r="E65" s="110">
        <v>2200</v>
      </c>
      <c r="F65" s="67">
        <f>SUM(E65/100)</f>
        <v>22</v>
      </c>
      <c r="G65" s="112">
        <v>2581.5300000000002</v>
      </c>
      <c r="H65" s="63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1" t="s">
        <v>104</v>
      </c>
      <c r="C66" s="17" t="s">
        <v>31</v>
      </c>
      <c r="D66" s="15"/>
      <c r="E66" s="110">
        <v>12.1</v>
      </c>
      <c r="F66" s="67">
        <f>SUM(E66)</f>
        <v>12.1</v>
      </c>
      <c r="G66" s="112">
        <v>47.45</v>
      </c>
      <c r="H66" s="63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1" t="s">
        <v>105</v>
      </c>
      <c r="C67" s="17" t="s">
        <v>31</v>
      </c>
      <c r="D67" s="15"/>
      <c r="E67" s="110">
        <v>12.1</v>
      </c>
      <c r="F67" s="67">
        <f>SUM(E67)</f>
        <v>12.1</v>
      </c>
      <c r="G67" s="112">
        <v>44.27</v>
      </c>
      <c r="H67" s="63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55</v>
      </c>
      <c r="C68" s="17" t="s">
        <v>56</v>
      </c>
      <c r="D68" s="15" t="s">
        <v>51</v>
      </c>
      <c r="E68" s="109">
        <v>4</v>
      </c>
      <c r="F68" s="67">
        <v>4</v>
      </c>
      <c r="G68" s="112">
        <v>62.07</v>
      </c>
      <c r="H68" s="63">
        <f t="shared" si="10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9</v>
      </c>
      <c r="B69" s="15" t="s">
        <v>130</v>
      </c>
      <c r="C69" s="31" t="s">
        <v>131</v>
      </c>
      <c r="D69" s="15"/>
      <c r="E69" s="109">
        <v>3216.2</v>
      </c>
      <c r="F69" s="113">
        <v>38594.400000000001</v>
      </c>
      <c r="G69" s="112">
        <v>2.16</v>
      </c>
      <c r="H69" s="63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6"/>
      <c r="B70" s="94" t="s">
        <v>67</v>
      </c>
      <c r="C70" s="17"/>
      <c r="D70" s="15"/>
      <c r="E70" s="19"/>
      <c r="F70" s="14"/>
      <c r="G70" s="14"/>
      <c r="H70" s="63" t="s">
        <v>138</v>
      </c>
      <c r="I70" s="14"/>
      <c r="J70" s="6"/>
      <c r="K70" s="6"/>
      <c r="L70" s="6"/>
      <c r="M70" s="6"/>
      <c r="N70" s="6"/>
      <c r="O70" s="6"/>
      <c r="P70" s="6"/>
      <c r="Q70" s="6"/>
      <c r="R70" s="152"/>
      <c r="S70" s="152"/>
      <c r="T70" s="152"/>
      <c r="U70" s="152"/>
    </row>
    <row r="71" spans="1:22" ht="15.75" hidden="1" customHeight="1">
      <c r="A71" s="17"/>
      <c r="B71" s="15" t="s">
        <v>132</v>
      </c>
      <c r="C71" s="17" t="s">
        <v>133</v>
      </c>
      <c r="D71" s="15" t="s">
        <v>64</v>
      </c>
      <c r="E71" s="19">
        <v>2</v>
      </c>
      <c r="F71" s="14">
        <f>E71</f>
        <v>2</v>
      </c>
      <c r="G71" s="14">
        <v>976.4</v>
      </c>
      <c r="H71" s="63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108</v>
      </c>
      <c r="C72" s="17" t="s">
        <v>134</v>
      </c>
      <c r="D72" s="15" t="s">
        <v>64</v>
      </c>
      <c r="E72" s="19">
        <v>1</v>
      </c>
      <c r="F72" s="14">
        <v>1</v>
      </c>
      <c r="G72" s="14">
        <v>735</v>
      </c>
      <c r="H72" s="63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68</v>
      </c>
      <c r="C73" s="17" t="s">
        <v>70</v>
      </c>
      <c r="D73" s="15" t="s">
        <v>64</v>
      </c>
      <c r="E73" s="19">
        <v>4</v>
      </c>
      <c r="F73" s="14">
        <f>E73/10</f>
        <v>0.4</v>
      </c>
      <c r="G73" s="14">
        <v>624.16999999999996</v>
      </c>
      <c r="H73" s="63">
        <f t="shared" si="12"/>
        <v>0.249668</v>
      </c>
      <c r="I73" s="14">
        <v>0</v>
      </c>
    </row>
    <row r="74" spans="1:22" ht="15.75" hidden="1" customHeight="1">
      <c r="A74" s="17"/>
      <c r="B74" s="15" t="s">
        <v>69</v>
      </c>
      <c r="C74" s="17" t="s">
        <v>29</v>
      </c>
      <c r="D74" s="15" t="s">
        <v>64</v>
      </c>
      <c r="E74" s="19">
        <v>1</v>
      </c>
      <c r="F74" s="55">
        <v>1</v>
      </c>
      <c r="G74" s="14">
        <v>1061.4100000000001</v>
      </c>
      <c r="H74" s="63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135</v>
      </c>
      <c r="C75" s="17" t="s">
        <v>133</v>
      </c>
      <c r="D75" s="15" t="s">
        <v>64</v>
      </c>
      <c r="E75" s="19">
        <v>1</v>
      </c>
      <c r="F75" s="14">
        <f>E75</f>
        <v>1</v>
      </c>
      <c r="G75" s="14">
        <v>976.1</v>
      </c>
      <c r="H75" s="63">
        <f t="shared" si="12"/>
        <v>0.97609999999999997</v>
      </c>
      <c r="I75" s="14">
        <v>0</v>
      </c>
    </row>
    <row r="76" spans="1:22" ht="15.75" hidden="1" customHeight="1">
      <c r="A76" s="106"/>
      <c r="B76" s="107" t="s">
        <v>71</v>
      </c>
      <c r="C76" s="17"/>
      <c r="D76" s="15"/>
      <c r="E76" s="19"/>
      <c r="F76" s="14"/>
      <c r="G76" s="14" t="s">
        <v>138</v>
      </c>
      <c r="H76" s="63" t="s">
        <v>138</v>
      </c>
      <c r="I76" s="14"/>
    </row>
    <row r="77" spans="1:22" ht="15.75" hidden="1" customHeight="1">
      <c r="A77" s="17"/>
      <c r="B77" s="43" t="s">
        <v>109</v>
      </c>
      <c r="C77" s="17" t="s">
        <v>72</v>
      </c>
      <c r="D77" s="15"/>
      <c r="E77" s="19"/>
      <c r="F77" s="14">
        <v>0.1</v>
      </c>
      <c r="G77" s="14">
        <v>3433.68</v>
      </c>
      <c r="H77" s="63">
        <f t="shared" ref="H77" si="13">SUM(F77*G77/1000)</f>
        <v>0.34336800000000001</v>
      </c>
      <c r="I77" s="14">
        <v>0</v>
      </c>
    </row>
    <row r="78" spans="1:22" ht="15.75" hidden="1" customHeight="1">
      <c r="A78" s="106"/>
      <c r="B78" s="96" t="s">
        <v>106</v>
      </c>
      <c r="C78" s="83"/>
      <c r="D78" s="33"/>
      <c r="E78" s="34"/>
      <c r="F78" s="73"/>
      <c r="G78" s="73"/>
      <c r="H78" s="84">
        <f>SUM(H56:H77)</f>
        <v>219.17093482199999</v>
      </c>
      <c r="I78" s="73"/>
    </row>
    <row r="79" spans="1:22" ht="15.75" hidden="1" customHeight="1">
      <c r="A79" s="17"/>
      <c r="B79" s="64" t="s">
        <v>107</v>
      </c>
      <c r="C79" s="17"/>
      <c r="D79" s="15"/>
      <c r="E79" s="85"/>
      <c r="F79" s="14">
        <v>1</v>
      </c>
      <c r="G79" s="14">
        <v>14133</v>
      </c>
      <c r="H79" s="63">
        <f>G79*F79/1000</f>
        <v>14.132999999999999</v>
      </c>
      <c r="I79" s="14">
        <v>0</v>
      </c>
    </row>
    <row r="80" spans="1:22" ht="15.75" customHeight="1">
      <c r="A80" s="162" t="s">
        <v>148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17">
        <v>10</v>
      </c>
      <c r="B81" s="64" t="s">
        <v>111</v>
      </c>
      <c r="C81" s="17" t="s">
        <v>52</v>
      </c>
      <c r="D81" s="86" t="s">
        <v>53</v>
      </c>
      <c r="E81" s="14">
        <v>3216.2</v>
      </c>
      <c r="F81" s="14">
        <f>SUM(E81*12)</f>
        <v>38594.399999999994</v>
      </c>
      <c r="G81" s="14">
        <v>2.95</v>
      </c>
      <c r="H81" s="63">
        <f>SUM(F81*G81/1000)</f>
        <v>113.85347999999999</v>
      </c>
      <c r="I81" s="14">
        <f>F81/12*G81</f>
        <v>9487.7899999999991</v>
      </c>
    </row>
    <row r="82" spans="1:9" ht="31.5" customHeight="1">
      <c r="A82" s="87">
        <v>11</v>
      </c>
      <c r="B82" s="15" t="s">
        <v>73</v>
      </c>
      <c r="C82" s="17"/>
      <c r="D82" s="86" t="s">
        <v>53</v>
      </c>
      <c r="E82" s="66">
        <v>3216.2</v>
      </c>
      <c r="F82" s="14">
        <f>E82*12</f>
        <v>38594.399999999994</v>
      </c>
      <c r="G82" s="14">
        <v>3.05</v>
      </c>
      <c r="H82" s="63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75</v>
      </c>
      <c r="C83" s="83"/>
      <c r="D83" s="82"/>
      <c r="E83" s="73"/>
      <c r="F83" s="73"/>
      <c r="G83" s="73"/>
      <c r="H83" s="84">
        <f>H82</f>
        <v>117.71291999999997</v>
      </c>
      <c r="I83" s="73">
        <f>I16+I17+I18+I26+I27+I30+I31+I33+I69+I81+I82</f>
        <v>49916.970814444438</v>
      </c>
    </row>
    <row r="84" spans="1:9" ht="15.75" customHeight="1">
      <c r="A84" s="168" t="s">
        <v>58</v>
      </c>
      <c r="B84" s="169"/>
      <c r="C84" s="169"/>
      <c r="D84" s="169"/>
      <c r="E84" s="169"/>
      <c r="F84" s="169"/>
      <c r="G84" s="169"/>
      <c r="H84" s="169"/>
      <c r="I84" s="170"/>
    </row>
    <row r="85" spans="1:9" ht="15.75" customHeight="1">
      <c r="A85" s="116">
        <v>12</v>
      </c>
      <c r="B85" s="133" t="s">
        <v>167</v>
      </c>
      <c r="C85" s="134" t="s">
        <v>168</v>
      </c>
      <c r="D85" s="43"/>
      <c r="E85" s="14"/>
      <c r="F85" s="14">
        <v>2</v>
      </c>
      <c r="G85" s="141">
        <v>1.2</v>
      </c>
      <c r="H85" s="63">
        <f t="shared" ref="H85" si="14">G85*F85/1000</f>
        <v>2.3999999999999998E-3</v>
      </c>
      <c r="I85" s="115">
        <f>G85*100</f>
        <v>120</v>
      </c>
    </row>
    <row r="86" spans="1:9" ht="15.75" customHeight="1">
      <c r="A86" s="116">
        <v>13</v>
      </c>
      <c r="B86" s="123" t="s">
        <v>202</v>
      </c>
      <c r="C86" s="124" t="s">
        <v>158</v>
      </c>
      <c r="D86" s="15"/>
      <c r="E86" s="19"/>
      <c r="F86" s="14"/>
      <c r="G86" s="126">
        <v>1272</v>
      </c>
      <c r="H86" s="63"/>
      <c r="I86" s="115">
        <f>G86*2</f>
        <v>2544</v>
      </c>
    </row>
    <row r="87" spans="1:9" ht="15.75" customHeight="1">
      <c r="A87" s="116">
        <v>14</v>
      </c>
      <c r="B87" s="123" t="s">
        <v>203</v>
      </c>
      <c r="C87" s="124" t="s">
        <v>101</v>
      </c>
      <c r="D87" s="15"/>
      <c r="E87" s="19"/>
      <c r="F87" s="14"/>
      <c r="G87" s="126">
        <v>5.42</v>
      </c>
      <c r="H87" s="63"/>
      <c r="I87" s="115">
        <f>G87*1</f>
        <v>5.42</v>
      </c>
    </row>
    <row r="88" spans="1:9" ht="15.75" customHeight="1">
      <c r="A88" s="116">
        <v>15</v>
      </c>
      <c r="B88" s="123" t="s">
        <v>204</v>
      </c>
      <c r="C88" s="124" t="s">
        <v>101</v>
      </c>
      <c r="D88" s="15"/>
      <c r="E88" s="19"/>
      <c r="F88" s="14"/>
      <c r="G88" s="126">
        <v>151.31</v>
      </c>
      <c r="H88" s="63"/>
      <c r="I88" s="115">
        <f>G88*1</f>
        <v>151.31</v>
      </c>
    </row>
    <row r="89" spans="1:9" ht="15.75" customHeight="1">
      <c r="A89" s="116">
        <v>16</v>
      </c>
      <c r="B89" s="123" t="s">
        <v>205</v>
      </c>
      <c r="C89" s="124" t="s">
        <v>101</v>
      </c>
      <c r="D89" s="15"/>
      <c r="E89" s="19"/>
      <c r="F89" s="14"/>
      <c r="G89" s="126">
        <v>169.24</v>
      </c>
      <c r="H89" s="63"/>
      <c r="I89" s="115">
        <f>G89*1</f>
        <v>169.24</v>
      </c>
    </row>
    <row r="90" spans="1:9" ht="30" customHeight="1">
      <c r="A90" s="116">
        <v>17</v>
      </c>
      <c r="B90" s="46" t="s">
        <v>155</v>
      </c>
      <c r="C90" s="47" t="s">
        <v>36</v>
      </c>
      <c r="D90" s="15"/>
      <c r="E90" s="19"/>
      <c r="F90" s="14"/>
      <c r="G90" s="126">
        <v>3724.37</v>
      </c>
      <c r="H90" s="63"/>
      <c r="I90" s="115">
        <f>G90*0.01</f>
        <v>37.243699999999997</v>
      </c>
    </row>
    <row r="91" spans="1:9" ht="18.75" customHeight="1">
      <c r="A91" s="116">
        <v>18</v>
      </c>
      <c r="B91" s="123" t="s">
        <v>206</v>
      </c>
      <c r="C91" s="47"/>
      <c r="D91" s="15"/>
      <c r="E91" s="19"/>
      <c r="F91" s="14"/>
      <c r="G91" s="126">
        <v>24829.08</v>
      </c>
      <c r="H91" s="63"/>
      <c r="I91" s="115">
        <f>G91*0.01</f>
        <v>248.29080000000002</v>
      </c>
    </row>
    <row r="92" spans="1:9" ht="18.75" customHeight="1">
      <c r="A92" s="116">
        <v>19</v>
      </c>
      <c r="B92" s="123" t="s">
        <v>207</v>
      </c>
      <c r="C92" s="124" t="s">
        <v>28</v>
      </c>
      <c r="D92" s="15"/>
      <c r="E92" s="19"/>
      <c r="F92" s="14"/>
      <c r="G92" s="146">
        <v>827.65</v>
      </c>
      <c r="H92" s="63"/>
      <c r="I92" s="115">
        <f>G92*0.01596</f>
        <v>13.209293999999998</v>
      </c>
    </row>
    <row r="93" spans="1:9" ht="18.75" customHeight="1">
      <c r="A93" s="116">
        <v>20</v>
      </c>
      <c r="B93" s="123" t="s">
        <v>208</v>
      </c>
      <c r="C93" s="124" t="s">
        <v>101</v>
      </c>
      <c r="D93" s="15"/>
      <c r="E93" s="19"/>
      <c r="F93" s="14"/>
      <c r="G93" s="126">
        <v>1605.41</v>
      </c>
      <c r="H93" s="63"/>
      <c r="I93" s="115">
        <f>G93*1</f>
        <v>1605.41</v>
      </c>
    </row>
    <row r="94" spans="1:9" ht="18.75" customHeight="1">
      <c r="A94" s="116">
        <v>21</v>
      </c>
      <c r="B94" s="144" t="s">
        <v>209</v>
      </c>
      <c r="C94" s="145" t="s">
        <v>70</v>
      </c>
      <c r="D94" s="15"/>
      <c r="E94" s="19"/>
      <c r="F94" s="14"/>
      <c r="G94" s="126">
        <v>4165.3999999999996</v>
      </c>
      <c r="H94" s="63"/>
      <c r="I94" s="115">
        <f>G94*0.2</f>
        <v>833.07999999999993</v>
      </c>
    </row>
    <row r="95" spans="1:9" ht="18.75" customHeight="1">
      <c r="A95" s="116">
        <v>22</v>
      </c>
      <c r="B95" s="123" t="s">
        <v>76</v>
      </c>
      <c r="C95" s="124" t="s">
        <v>101</v>
      </c>
      <c r="D95" s="15"/>
      <c r="E95" s="19"/>
      <c r="F95" s="14"/>
      <c r="G95" s="126">
        <v>197.48</v>
      </c>
      <c r="H95" s="63"/>
      <c r="I95" s="115">
        <f>G95*2</f>
        <v>394.96</v>
      </c>
    </row>
    <row r="96" spans="1:9" ht="32.25" customHeight="1">
      <c r="A96" s="116">
        <v>23</v>
      </c>
      <c r="B96" s="46" t="s">
        <v>154</v>
      </c>
      <c r="C96" s="47" t="s">
        <v>101</v>
      </c>
      <c r="D96" s="15"/>
      <c r="E96" s="19"/>
      <c r="F96" s="14"/>
      <c r="G96" s="126">
        <v>86.69</v>
      </c>
      <c r="H96" s="63"/>
      <c r="I96" s="115">
        <f>G96*1</f>
        <v>86.69</v>
      </c>
    </row>
    <row r="97" spans="1:9" ht="15.75" customHeight="1">
      <c r="A97" s="31"/>
      <c r="B97" s="41" t="s">
        <v>49</v>
      </c>
      <c r="C97" s="37"/>
      <c r="D97" s="44"/>
      <c r="E97" s="37">
        <v>1</v>
      </c>
      <c r="F97" s="37"/>
      <c r="G97" s="37"/>
      <c r="H97" s="37"/>
      <c r="I97" s="34">
        <f>SUM(I85:I96)</f>
        <v>6208.8537939999997</v>
      </c>
    </row>
    <row r="98" spans="1:9" ht="15.75" customHeight="1">
      <c r="A98" s="31"/>
      <c r="B98" s="43" t="s">
        <v>74</v>
      </c>
      <c r="C98" s="16"/>
      <c r="D98" s="16"/>
      <c r="E98" s="38"/>
      <c r="F98" s="38"/>
      <c r="G98" s="39"/>
      <c r="H98" s="39"/>
      <c r="I98" s="18">
        <v>0</v>
      </c>
    </row>
    <row r="99" spans="1:9" ht="15.75" customHeight="1">
      <c r="A99" s="45"/>
      <c r="B99" s="42" t="s">
        <v>153</v>
      </c>
      <c r="C99" s="35"/>
      <c r="D99" s="35"/>
      <c r="E99" s="35"/>
      <c r="F99" s="35"/>
      <c r="G99" s="35"/>
      <c r="H99" s="35"/>
      <c r="I99" s="40">
        <f>I83+I97</f>
        <v>56125.82460844444</v>
      </c>
    </row>
    <row r="100" spans="1:9" ht="15.75" customHeight="1">
      <c r="A100" s="153" t="s">
        <v>210</v>
      </c>
      <c r="B100" s="153"/>
      <c r="C100" s="153"/>
      <c r="D100" s="153"/>
      <c r="E100" s="153"/>
      <c r="F100" s="153"/>
      <c r="G100" s="153"/>
      <c r="H100" s="153"/>
      <c r="I100" s="153"/>
    </row>
    <row r="101" spans="1:9" ht="15.75" customHeight="1">
      <c r="A101" s="54"/>
      <c r="B101" s="178" t="s">
        <v>211</v>
      </c>
      <c r="C101" s="178"/>
      <c r="D101" s="178"/>
      <c r="E101" s="178"/>
      <c r="F101" s="178"/>
      <c r="G101" s="178"/>
      <c r="H101" s="58"/>
      <c r="I101" s="4"/>
    </row>
    <row r="102" spans="1:9" ht="15.75" customHeight="1">
      <c r="A102" s="92"/>
      <c r="B102" s="175" t="s">
        <v>6</v>
      </c>
      <c r="C102" s="175"/>
      <c r="D102" s="175"/>
      <c r="E102" s="175"/>
      <c r="F102" s="175"/>
      <c r="G102" s="175"/>
      <c r="H102" s="26"/>
      <c r="I102" s="6"/>
    </row>
    <row r="103" spans="1:9" ht="15.75" customHeight="1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15.75" customHeight="1">
      <c r="A104" s="179" t="s">
        <v>7</v>
      </c>
      <c r="B104" s="179"/>
      <c r="C104" s="179"/>
      <c r="D104" s="179"/>
      <c r="E104" s="179"/>
      <c r="F104" s="179"/>
      <c r="G104" s="179"/>
      <c r="H104" s="179"/>
      <c r="I104" s="179"/>
    </row>
    <row r="105" spans="1:9" ht="15.75" customHeight="1">
      <c r="A105" s="179" t="s">
        <v>8</v>
      </c>
      <c r="B105" s="179"/>
      <c r="C105" s="179"/>
      <c r="D105" s="179"/>
      <c r="E105" s="179"/>
      <c r="F105" s="179"/>
      <c r="G105" s="179"/>
      <c r="H105" s="179"/>
      <c r="I105" s="179"/>
    </row>
    <row r="106" spans="1:9" ht="15.75" customHeight="1">
      <c r="A106" s="180" t="s">
        <v>59</v>
      </c>
      <c r="B106" s="180"/>
      <c r="C106" s="180"/>
      <c r="D106" s="180"/>
      <c r="E106" s="180"/>
      <c r="F106" s="180"/>
      <c r="G106" s="180"/>
      <c r="H106" s="180"/>
      <c r="I106" s="180"/>
    </row>
    <row r="107" spans="1:9" ht="15.75" customHeight="1">
      <c r="A107" s="12"/>
    </row>
    <row r="108" spans="1:9" ht="15.75" customHeight="1">
      <c r="A108" s="160" t="s">
        <v>9</v>
      </c>
      <c r="B108" s="160"/>
      <c r="C108" s="160"/>
      <c r="D108" s="160"/>
      <c r="E108" s="160"/>
      <c r="F108" s="160"/>
      <c r="G108" s="160"/>
      <c r="H108" s="160"/>
      <c r="I108" s="160"/>
    </row>
    <row r="109" spans="1:9" ht="15.75" customHeight="1">
      <c r="A109" s="5"/>
    </row>
    <row r="110" spans="1:9" ht="15.75" customHeight="1">
      <c r="B110" s="93" t="s">
        <v>10</v>
      </c>
      <c r="C110" s="174" t="s">
        <v>81</v>
      </c>
      <c r="D110" s="174"/>
      <c r="E110" s="174"/>
      <c r="F110" s="56"/>
      <c r="I110" s="91"/>
    </row>
    <row r="111" spans="1:9" ht="15.75" customHeight="1">
      <c r="A111" s="92"/>
      <c r="C111" s="175" t="s">
        <v>11</v>
      </c>
      <c r="D111" s="175"/>
      <c r="E111" s="175"/>
      <c r="F111" s="26"/>
      <c r="I111" s="90" t="s">
        <v>12</v>
      </c>
    </row>
    <row r="112" spans="1:9" ht="15.75" customHeight="1">
      <c r="A112" s="27"/>
      <c r="C112" s="13"/>
      <c r="D112" s="13"/>
      <c r="G112" s="13"/>
      <c r="H112" s="13"/>
    </row>
    <row r="113" spans="1:9" ht="15.75" customHeight="1">
      <c r="B113" s="93" t="s">
        <v>13</v>
      </c>
      <c r="C113" s="176"/>
      <c r="D113" s="176"/>
      <c r="E113" s="176"/>
      <c r="F113" s="57"/>
      <c r="I113" s="91"/>
    </row>
    <row r="114" spans="1:9" ht="15.75" customHeight="1">
      <c r="A114" s="92"/>
      <c r="C114" s="152" t="s">
        <v>11</v>
      </c>
      <c r="D114" s="152"/>
      <c r="E114" s="152"/>
      <c r="F114" s="92"/>
      <c r="I114" s="90" t="s">
        <v>12</v>
      </c>
    </row>
    <row r="115" spans="1:9" ht="15.75" customHeight="1">
      <c r="A115" s="5" t="s">
        <v>14</v>
      </c>
    </row>
    <row r="116" spans="1:9" ht="15" customHeight="1">
      <c r="A116" s="177" t="s">
        <v>15</v>
      </c>
      <c r="B116" s="177"/>
      <c r="C116" s="177"/>
      <c r="D116" s="177"/>
      <c r="E116" s="177"/>
      <c r="F116" s="177"/>
      <c r="G116" s="177"/>
      <c r="H116" s="177"/>
      <c r="I116" s="177"/>
    </row>
    <row r="117" spans="1:9" ht="45" customHeight="1">
      <c r="A117" s="171" t="s">
        <v>16</v>
      </c>
      <c r="B117" s="171"/>
      <c r="C117" s="171"/>
      <c r="D117" s="171"/>
      <c r="E117" s="171"/>
      <c r="F117" s="171"/>
      <c r="G117" s="171"/>
      <c r="H117" s="171"/>
      <c r="I117" s="171"/>
    </row>
    <row r="118" spans="1:9" ht="30" customHeight="1">
      <c r="A118" s="171" t="s">
        <v>17</v>
      </c>
      <c r="B118" s="171"/>
      <c r="C118" s="171"/>
      <c r="D118" s="171"/>
      <c r="E118" s="171"/>
      <c r="F118" s="171"/>
      <c r="G118" s="171"/>
      <c r="H118" s="171"/>
      <c r="I118" s="171"/>
    </row>
    <row r="119" spans="1:9" ht="30" customHeight="1">
      <c r="A119" s="171" t="s">
        <v>21</v>
      </c>
      <c r="B119" s="171"/>
      <c r="C119" s="171"/>
      <c r="D119" s="171"/>
      <c r="E119" s="171"/>
      <c r="F119" s="171"/>
      <c r="G119" s="171"/>
      <c r="H119" s="171"/>
      <c r="I119" s="171"/>
    </row>
    <row r="120" spans="1:9" ht="15" customHeight="1">
      <c r="A120" s="171" t="s">
        <v>20</v>
      </c>
      <c r="B120" s="171"/>
      <c r="C120" s="171"/>
      <c r="D120" s="171"/>
      <c r="E120" s="171"/>
      <c r="F120" s="171"/>
      <c r="G120" s="171"/>
      <c r="H120" s="171"/>
      <c r="I120" s="171"/>
    </row>
  </sheetData>
  <autoFilter ref="I14:I64"/>
  <mergeCells count="29">
    <mergeCell ref="A116:I116"/>
    <mergeCell ref="A117:I117"/>
    <mergeCell ref="A118:I118"/>
    <mergeCell ref="A119:I119"/>
    <mergeCell ref="A120:I120"/>
    <mergeCell ref="R70:U70"/>
    <mergeCell ref="C114:E114"/>
    <mergeCell ref="A84:I84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0:I80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5" sqref="A5:I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230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4" t="s">
        <v>156</v>
      </c>
      <c r="B3" s="154"/>
      <c r="C3" s="154"/>
      <c r="D3" s="154"/>
      <c r="E3" s="154"/>
      <c r="F3" s="154"/>
      <c r="G3" s="154"/>
      <c r="H3" s="154"/>
      <c r="I3" s="154"/>
      <c r="J3" s="2"/>
      <c r="K3" s="2"/>
      <c r="L3" s="2"/>
      <c r="M3" s="2"/>
    </row>
    <row r="4" spans="1:13" ht="33.75" customHeight="1">
      <c r="A4" s="155" t="s">
        <v>112</v>
      </c>
      <c r="B4" s="155"/>
      <c r="C4" s="155"/>
      <c r="D4" s="155"/>
      <c r="E4" s="155"/>
      <c r="F4" s="155"/>
      <c r="G4" s="155"/>
      <c r="H4" s="155"/>
      <c r="I4" s="155"/>
      <c r="J4" s="3"/>
      <c r="K4" s="3"/>
      <c r="L4" s="3"/>
      <c r="M4" s="3"/>
    </row>
    <row r="5" spans="1:13" ht="15.75" customHeight="1">
      <c r="A5" s="154" t="s">
        <v>212</v>
      </c>
      <c r="B5" s="156"/>
      <c r="C5" s="156"/>
      <c r="D5" s="156"/>
      <c r="E5" s="156"/>
      <c r="F5" s="156"/>
      <c r="G5" s="156"/>
      <c r="H5" s="156"/>
      <c r="I5" s="156"/>
      <c r="J5" s="4"/>
      <c r="K5" s="4"/>
      <c r="L5" s="4"/>
    </row>
    <row r="6" spans="1:13" ht="15.75" customHeight="1">
      <c r="A6" s="3"/>
      <c r="B6" s="98"/>
      <c r="C6" s="98"/>
      <c r="D6" s="98"/>
      <c r="E6" s="98"/>
      <c r="F6" s="98"/>
      <c r="G6" s="98"/>
      <c r="H6" s="98"/>
      <c r="I6" s="32">
        <v>43312</v>
      </c>
    </row>
    <row r="7" spans="1:13" ht="15.75">
      <c r="B7" s="100"/>
      <c r="C7" s="100"/>
      <c r="D7" s="10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57" t="s">
        <v>213</v>
      </c>
      <c r="B8" s="157"/>
      <c r="C8" s="157"/>
      <c r="D8" s="157"/>
      <c r="E8" s="157"/>
      <c r="F8" s="157"/>
      <c r="G8" s="157"/>
      <c r="H8" s="157"/>
      <c r="I8" s="15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58" t="s">
        <v>166</v>
      </c>
      <c r="B10" s="158"/>
      <c r="C10" s="158"/>
      <c r="D10" s="158"/>
      <c r="E10" s="158"/>
      <c r="F10" s="158"/>
      <c r="G10" s="158"/>
      <c r="H10" s="158"/>
      <c r="I10" s="15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59" t="s">
        <v>57</v>
      </c>
      <c r="B14" s="159"/>
      <c r="C14" s="159"/>
      <c r="D14" s="159"/>
      <c r="E14" s="159"/>
      <c r="F14" s="159"/>
      <c r="G14" s="159"/>
      <c r="H14" s="159"/>
      <c r="I14" s="159"/>
    </row>
    <row r="15" spans="1:13">
      <c r="A15" s="161" t="s">
        <v>4</v>
      </c>
      <c r="B15" s="161"/>
      <c r="C15" s="161"/>
      <c r="D15" s="161"/>
      <c r="E15" s="161"/>
      <c r="F15" s="161"/>
      <c r="G15" s="161"/>
      <c r="H15" s="161"/>
      <c r="I15" s="161"/>
      <c r="J15" s="9"/>
      <c r="K15" s="9"/>
      <c r="L15" s="9"/>
      <c r="M15" s="9"/>
    </row>
    <row r="16" spans="1:13" ht="15.75" customHeight="1">
      <c r="A16" s="59">
        <v>1</v>
      </c>
      <c r="B16" s="64" t="s">
        <v>79</v>
      </c>
      <c r="C16" s="65" t="s">
        <v>83</v>
      </c>
      <c r="D16" s="64" t="s">
        <v>115</v>
      </c>
      <c r="E16" s="66">
        <v>54</v>
      </c>
      <c r="F16" s="67">
        <f>SUM(E16*156/100)</f>
        <v>84.24</v>
      </c>
      <c r="G16" s="67">
        <v>218.21</v>
      </c>
      <c r="H16" s="68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4" t="s">
        <v>113</v>
      </c>
      <c r="C17" s="65" t="s">
        <v>83</v>
      </c>
      <c r="D17" s="64" t="s">
        <v>116</v>
      </c>
      <c r="E17" s="66">
        <v>216</v>
      </c>
      <c r="F17" s="67">
        <f>SUM(E17*104/100)</f>
        <v>224.64</v>
      </c>
      <c r="G17" s="67">
        <v>218.21</v>
      </c>
      <c r="H17" s="68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4" t="s">
        <v>114</v>
      </c>
      <c r="C18" s="65" t="s">
        <v>83</v>
      </c>
      <c r="D18" s="64" t="s">
        <v>117</v>
      </c>
      <c r="E18" s="66">
        <f>SUM(E16+E17)</f>
        <v>270</v>
      </c>
      <c r="F18" s="67">
        <f>SUM(E18*24/100)</f>
        <v>64.8</v>
      </c>
      <c r="G18" s="67">
        <v>627.77</v>
      </c>
      <c r="H18" s="68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4" t="s">
        <v>84</v>
      </c>
      <c r="C19" s="65" t="s">
        <v>85</v>
      </c>
      <c r="D19" s="64" t="s">
        <v>86</v>
      </c>
      <c r="E19" s="66">
        <v>40</v>
      </c>
      <c r="F19" s="67">
        <f>SUM(E19/10)</f>
        <v>4</v>
      </c>
      <c r="G19" s="67">
        <v>211.74</v>
      </c>
      <c r="H19" s="68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9">
        <v>5</v>
      </c>
      <c r="B20" s="64" t="s">
        <v>87</v>
      </c>
      <c r="C20" s="65" t="s">
        <v>83</v>
      </c>
      <c r="D20" s="64" t="s">
        <v>40</v>
      </c>
      <c r="E20" s="66">
        <v>10.5</v>
      </c>
      <c r="F20" s="67">
        <f>SUM(E20*2/100)</f>
        <v>0.21</v>
      </c>
      <c r="G20" s="67">
        <v>271.12</v>
      </c>
      <c r="H20" s="68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9">
        <v>6</v>
      </c>
      <c r="B21" s="64" t="s">
        <v>88</v>
      </c>
      <c r="C21" s="65" t="s">
        <v>83</v>
      </c>
      <c r="D21" s="64" t="s">
        <v>40</v>
      </c>
      <c r="E21" s="66">
        <v>2.7</v>
      </c>
      <c r="F21" s="67">
        <f>SUM(E21*2/100)</f>
        <v>5.4000000000000006E-2</v>
      </c>
      <c r="G21" s="67">
        <v>268.92</v>
      </c>
      <c r="H21" s="68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4" t="s">
        <v>89</v>
      </c>
      <c r="C22" s="65" t="s">
        <v>50</v>
      </c>
      <c r="D22" s="64" t="s">
        <v>86</v>
      </c>
      <c r="E22" s="66">
        <v>357</v>
      </c>
      <c r="F22" s="67">
        <f t="shared" ref="F22:F25" si="2">SUM(E22/100)</f>
        <v>3.57</v>
      </c>
      <c r="G22" s="67">
        <v>335.05</v>
      </c>
      <c r="H22" s="68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4" t="s">
        <v>90</v>
      </c>
      <c r="C23" s="65" t="s">
        <v>50</v>
      </c>
      <c r="D23" s="64" t="s">
        <v>86</v>
      </c>
      <c r="E23" s="69">
        <v>38.64</v>
      </c>
      <c r="F23" s="67">
        <f t="shared" si="2"/>
        <v>0.38640000000000002</v>
      </c>
      <c r="G23" s="67">
        <v>55.1</v>
      </c>
      <c r="H23" s="68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4" t="s">
        <v>91</v>
      </c>
      <c r="C24" s="65" t="s">
        <v>50</v>
      </c>
      <c r="D24" s="70" t="s">
        <v>86</v>
      </c>
      <c r="E24" s="19">
        <v>15</v>
      </c>
      <c r="F24" s="71">
        <f t="shared" si="2"/>
        <v>0.15</v>
      </c>
      <c r="G24" s="67">
        <v>484.94</v>
      </c>
      <c r="H24" s="68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4" t="s">
        <v>118</v>
      </c>
      <c r="C25" s="65" t="s">
        <v>50</v>
      </c>
      <c r="D25" s="64" t="s">
        <v>86</v>
      </c>
      <c r="E25" s="72">
        <v>6.38</v>
      </c>
      <c r="F25" s="67">
        <f t="shared" si="2"/>
        <v>6.3799999999999996E-2</v>
      </c>
      <c r="G25" s="67">
        <v>648.04999999999995</v>
      </c>
      <c r="H25" s="68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4</v>
      </c>
      <c r="B26" s="64" t="s">
        <v>62</v>
      </c>
      <c r="C26" s="65" t="s">
        <v>31</v>
      </c>
      <c r="D26" s="64"/>
      <c r="E26" s="66">
        <v>0.1</v>
      </c>
      <c r="F26" s="67">
        <f>SUM(E26*365)</f>
        <v>36.5</v>
      </c>
      <c r="G26" s="67">
        <v>182.96</v>
      </c>
      <c r="H26" s="68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5" t="s">
        <v>23</v>
      </c>
      <c r="C27" s="65" t="s">
        <v>24</v>
      </c>
      <c r="D27" s="64"/>
      <c r="E27" s="66">
        <v>3216.2</v>
      </c>
      <c r="F27" s="67">
        <f>SUM(E27*12)</f>
        <v>38594.399999999994</v>
      </c>
      <c r="G27" s="67">
        <v>4.01</v>
      </c>
      <c r="H27" s="68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5" t="s">
        <v>150</v>
      </c>
      <c r="B28" s="166"/>
      <c r="C28" s="166"/>
      <c r="D28" s="166"/>
      <c r="E28" s="166"/>
      <c r="F28" s="166"/>
      <c r="G28" s="166"/>
      <c r="H28" s="166"/>
      <c r="I28" s="167"/>
      <c r="J28" s="24"/>
      <c r="K28" s="9"/>
      <c r="L28" s="9"/>
      <c r="M28" s="9"/>
    </row>
    <row r="29" spans="1:13" ht="15.75" customHeight="1">
      <c r="A29" s="104"/>
      <c r="B29" s="99" t="s">
        <v>27</v>
      </c>
      <c r="C29" s="105"/>
      <c r="D29" s="105"/>
      <c r="E29" s="105"/>
      <c r="F29" s="105"/>
      <c r="G29" s="105"/>
      <c r="H29" s="105"/>
      <c r="I29" s="105"/>
      <c r="J29" s="24"/>
      <c r="K29" s="9"/>
      <c r="L29" s="9"/>
      <c r="M29" s="9"/>
    </row>
    <row r="30" spans="1:13" ht="15.75" customHeight="1">
      <c r="A30" s="103">
        <v>6</v>
      </c>
      <c r="B30" s="64" t="s">
        <v>92</v>
      </c>
      <c r="C30" s="65" t="s">
        <v>93</v>
      </c>
      <c r="D30" s="64" t="s">
        <v>119</v>
      </c>
      <c r="E30" s="67">
        <v>191.65</v>
      </c>
      <c r="F30" s="67">
        <f>SUM(E30*52/1000)</f>
        <v>9.9658000000000015</v>
      </c>
      <c r="G30" s="67">
        <v>193.97</v>
      </c>
      <c r="H30" s="68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9">
        <v>7</v>
      </c>
      <c r="B31" s="64" t="s">
        <v>151</v>
      </c>
      <c r="C31" s="65" t="s">
        <v>93</v>
      </c>
      <c r="D31" s="64" t="s">
        <v>120</v>
      </c>
      <c r="E31" s="67">
        <v>67.650000000000006</v>
      </c>
      <c r="F31" s="67">
        <f>SUM(E31*78/1000)</f>
        <v>5.2767000000000008</v>
      </c>
      <c r="G31" s="67">
        <v>321.82</v>
      </c>
      <c r="H31" s="68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4" t="s">
        <v>26</v>
      </c>
      <c r="C32" s="65" t="s">
        <v>93</v>
      </c>
      <c r="D32" s="64" t="s">
        <v>51</v>
      </c>
      <c r="E32" s="67">
        <v>191.65</v>
      </c>
      <c r="F32" s="67">
        <f>SUM(E32/1000)</f>
        <v>0.19165000000000001</v>
      </c>
      <c r="G32" s="67">
        <v>3758.28</v>
      </c>
      <c r="H32" s="68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customHeight="1">
      <c r="A33" s="59">
        <v>8</v>
      </c>
      <c r="B33" s="64" t="s">
        <v>94</v>
      </c>
      <c r="C33" s="65" t="s">
        <v>29</v>
      </c>
      <c r="D33" s="64" t="s">
        <v>61</v>
      </c>
      <c r="E33" s="74">
        <f>1/3</f>
        <v>0.33333333333333331</v>
      </c>
      <c r="F33" s="67">
        <f>155/3</f>
        <v>51.666666666666664</v>
      </c>
      <c r="G33" s="67">
        <v>70.540000000000006</v>
      </c>
      <c r="H33" s="68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4" t="s">
        <v>63</v>
      </c>
      <c r="C34" s="65" t="s">
        <v>31</v>
      </c>
      <c r="D34" s="64" t="s">
        <v>64</v>
      </c>
      <c r="E34" s="66"/>
      <c r="F34" s="67">
        <v>3</v>
      </c>
      <c r="G34" s="67">
        <v>238.07</v>
      </c>
      <c r="H34" s="68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4" t="s">
        <v>137</v>
      </c>
      <c r="C35" s="65" t="s">
        <v>30</v>
      </c>
      <c r="D35" s="64" t="s">
        <v>64</v>
      </c>
      <c r="E35" s="66"/>
      <c r="F35" s="67">
        <v>2</v>
      </c>
      <c r="G35" s="67">
        <v>1413.96</v>
      </c>
      <c r="H35" s="68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hidden="1" customHeight="1">
      <c r="A36" s="104"/>
      <c r="B36" s="99" t="s">
        <v>5</v>
      </c>
      <c r="C36" s="105"/>
      <c r="D36" s="105"/>
      <c r="E36" s="105"/>
      <c r="F36" s="105"/>
      <c r="G36" s="105"/>
      <c r="H36" s="105"/>
      <c r="I36" s="105"/>
      <c r="J36" s="25"/>
    </row>
    <row r="37" spans="1:14" ht="15.75" hidden="1" customHeight="1">
      <c r="A37" s="103">
        <v>6</v>
      </c>
      <c r="B37" s="64" t="s">
        <v>25</v>
      </c>
      <c r="C37" s="65" t="s">
        <v>30</v>
      </c>
      <c r="D37" s="64"/>
      <c r="E37" s="66"/>
      <c r="F37" s="67">
        <v>3</v>
      </c>
      <c r="G37" s="67">
        <v>1900.37</v>
      </c>
      <c r="H37" s="68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hidden="1" customHeight="1">
      <c r="A38" s="59">
        <v>7</v>
      </c>
      <c r="B38" s="64" t="s">
        <v>82</v>
      </c>
      <c r="C38" s="65" t="s">
        <v>28</v>
      </c>
      <c r="D38" s="64" t="s">
        <v>95</v>
      </c>
      <c r="E38" s="66">
        <v>67.650000000000006</v>
      </c>
      <c r="F38" s="67">
        <f>E38*30/1000</f>
        <v>2.0295000000000001</v>
      </c>
      <c r="G38" s="67">
        <v>2616.4899999999998</v>
      </c>
      <c r="H38" s="68">
        <f>G38*F38/1000</f>
        <v>5.3101664549999992</v>
      </c>
      <c r="I38" s="14">
        <f>F38/6*G38</f>
        <v>885.02774249999993</v>
      </c>
      <c r="J38" s="25"/>
    </row>
    <row r="39" spans="1:14" ht="15.75" hidden="1" customHeight="1">
      <c r="A39" s="59">
        <v>8</v>
      </c>
      <c r="B39" s="64" t="s">
        <v>121</v>
      </c>
      <c r="C39" s="65" t="s">
        <v>28</v>
      </c>
      <c r="D39" s="64" t="s">
        <v>96</v>
      </c>
      <c r="E39" s="66">
        <v>67.650000000000006</v>
      </c>
      <c r="F39" s="67">
        <f>E39*155/1000</f>
        <v>10.485749999999999</v>
      </c>
      <c r="G39" s="67">
        <v>436.45</v>
      </c>
      <c r="H39" s="68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3">
        <v>9</v>
      </c>
      <c r="B40" s="64" t="s">
        <v>122</v>
      </c>
      <c r="C40" s="65" t="s">
        <v>123</v>
      </c>
      <c r="D40" s="64" t="s">
        <v>64</v>
      </c>
      <c r="E40" s="66"/>
      <c r="F40" s="67">
        <v>64</v>
      </c>
      <c r="G40" s="67">
        <v>226.84</v>
      </c>
      <c r="H40" s="68">
        <f>G40*F40/1000</f>
        <v>14.517760000000001</v>
      </c>
      <c r="I40" s="14">
        <f>G40*13</f>
        <v>2948.92</v>
      </c>
      <c r="J40" s="25"/>
    </row>
    <row r="41" spans="1:14" ht="47.25" hidden="1" customHeight="1">
      <c r="A41" s="59">
        <v>10</v>
      </c>
      <c r="B41" s="64" t="s">
        <v>77</v>
      </c>
      <c r="C41" s="65" t="s">
        <v>28</v>
      </c>
      <c r="D41" s="64" t="s">
        <v>124</v>
      </c>
      <c r="E41" s="67">
        <v>67.650000000000006</v>
      </c>
      <c r="F41" s="67">
        <f>SUM(E41*35/1000)</f>
        <v>2.36775</v>
      </c>
      <c r="G41" s="67">
        <v>7221.21</v>
      </c>
      <c r="H41" s="68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11</v>
      </c>
      <c r="B42" s="64" t="s">
        <v>97</v>
      </c>
      <c r="C42" s="65" t="s">
        <v>93</v>
      </c>
      <c r="D42" s="64" t="s">
        <v>125</v>
      </c>
      <c r="E42" s="67">
        <v>67.650000000000006</v>
      </c>
      <c r="F42" s="67">
        <f>SUM(E42*20/1000)</f>
        <v>1.353</v>
      </c>
      <c r="G42" s="67">
        <v>533.45000000000005</v>
      </c>
      <c r="H42" s="68">
        <f t="shared" si="6"/>
        <v>0.72175785000000003</v>
      </c>
      <c r="I42" s="14">
        <f>F42/6*G42</f>
        <v>120.29297500000001</v>
      </c>
      <c r="J42" s="25"/>
    </row>
    <row r="43" spans="1:14" ht="15.75" hidden="1" customHeight="1">
      <c r="A43" s="103">
        <v>12</v>
      </c>
      <c r="B43" s="64" t="s">
        <v>65</v>
      </c>
      <c r="C43" s="65" t="s">
        <v>31</v>
      </c>
      <c r="D43" s="64"/>
      <c r="E43" s="66"/>
      <c r="F43" s="67">
        <v>0.8</v>
      </c>
      <c r="G43" s="67">
        <v>992.97</v>
      </c>
      <c r="H43" s="68">
        <f t="shared" si="6"/>
        <v>0.79437600000000008</v>
      </c>
      <c r="I43" s="14">
        <f>F43/6*G43</f>
        <v>132.39600000000002</v>
      </c>
      <c r="J43" s="25"/>
    </row>
    <row r="44" spans="1:14" ht="15.75" hidden="1" customHeight="1">
      <c r="A44" s="162" t="s">
        <v>141</v>
      </c>
      <c r="B44" s="163"/>
      <c r="C44" s="163"/>
      <c r="D44" s="163"/>
      <c r="E44" s="163"/>
      <c r="F44" s="163"/>
      <c r="G44" s="163"/>
      <c r="H44" s="163"/>
      <c r="I44" s="164"/>
      <c r="J44" s="25"/>
      <c r="L44" s="20"/>
      <c r="M44" s="21"/>
      <c r="N44" s="22"/>
    </row>
    <row r="45" spans="1:14" ht="15.75" hidden="1" customHeight="1">
      <c r="A45" s="59">
        <v>17</v>
      </c>
      <c r="B45" s="64" t="s">
        <v>98</v>
      </c>
      <c r="C45" s="65" t="s">
        <v>93</v>
      </c>
      <c r="D45" s="64" t="s">
        <v>40</v>
      </c>
      <c r="E45" s="66">
        <v>1114.75</v>
      </c>
      <c r="F45" s="67">
        <f>SUM(E45*2/1000)</f>
        <v>2.2294999999999998</v>
      </c>
      <c r="G45" s="14">
        <v>1283.46</v>
      </c>
      <c r="H45" s="68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9">
        <v>18</v>
      </c>
      <c r="B46" s="64" t="s">
        <v>34</v>
      </c>
      <c r="C46" s="65" t="s">
        <v>93</v>
      </c>
      <c r="D46" s="64" t="s">
        <v>40</v>
      </c>
      <c r="E46" s="66">
        <v>1563.3</v>
      </c>
      <c r="F46" s="67">
        <f>SUM(E46*2/1000)</f>
        <v>3.1265999999999998</v>
      </c>
      <c r="G46" s="14">
        <v>1711.28</v>
      </c>
      <c r="H46" s="68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hidden="1" customHeight="1">
      <c r="A47" s="59">
        <v>19</v>
      </c>
      <c r="B47" s="64" t="s">
        <v>35</v>
      </c>
      <c r="C47" s="65" t="s">
        <v>93</v>
      </c>
      <c r="D47" s="64" t="s">
        <v>40</v>
      </c>
      <c r="E47" s="66">
        <v>1619.6</v>
      </c>
      <c r="F47" s="67">
        <f>SUM(E47*2/1000)</f>
        <v>3.2391999999999999</v>
      </c>
      <c r="G47" s="14">
        <v>1179.73</v>
      </c>
      <c r="H47" s="68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hidden="1" customHeight="1">
      <c r="A48" s="59">
        <v>20</v>
      </c>
      <c r="B48" s="64" t="s">
        <v>32</v>
      </c>
      <c r="C48" s="65" t="s">
        <v>33</v>
      </c>
      <c r="D48" s="64" t="s">
        <v>40</v>
      </c>
      <c r="E48" s="66">
        <v>85.84</v>
      </c>
      <c r="F48" s="67">
        <f>SUM(E48*2/100)</f>
        <v>1.7168000000000001</v>
      </c>
      <c r="G48" s="14">
        <v>90.61</v>
      </c>
      <c r="H48" s="68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hidden="1" customHeight="1">
      <c r="A49" s="59">
        <v>21</v>
      </c>
      <c r="B49" s="64" t="s">
        <v>54</v>
      </c>
      <c r="C49" s="65" t="s">
        <v>93</v>
      </c>
      <c r="D49" s="64" t="s">
        <v>152</v>
      </c>
      <c r="E49" s="66">
        <v>3216.2</v>
      </c>
      <c r="F49" s="67">
        <f>SUM(E49*5/1000)</f>
        <v>16.081</v>
      </c>
      <c r="G49" s="14">
        <v>1711.28</v>
      </c>
      <c r="H49" s="68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4" t="s">
        <v>99</v>
      </c>
      <c r="C50" s="65" t="s">
        <v>93</v>
      </c>
      <c r="D50" s="64" t="s">
        <v>40</v>
      </c>
      <c r="E50" s="66">
        <v>3216.2</v>
      </c>
      <c r="F50" s="67">
        <f>SUM(E50*2/1000)</f>
        <v>6.4323999999999995</v>
      </c>
      <c r="G50" s="14">
        <v>1510.06</v>
      </c>
      <c r="H50" s="68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14</v>
      </c>
      <c r="B51" s="64" t="s">
        <v>100</v>
      </c>
      <c r="C51" s="65" t="s">
        <v>36</v>
      </c>
      <c r="D51" s="64" t="s">
        <v>40</v>
      </c>
      <c r="E51" s="66">
        <v>16</v>
      </c>
      <c r="F51" s="67">
        <f>SUM(E51*2/100)</f>
        <v>0.32</v>
      </c>
      <c r="G51" s="14">
        <v>3850.4</v>
      </c>
      <c r="H51" s="68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15</v>
      </c>
      <c r="B52" s="64" t="s">
        <v>37</v>
      </c>
      <c r="C52" s="65" t="s">
        <v>38</v>
      </c>
      <c r="D52" s="64" t="s">
        <v>40</v>
      </c>
      <c r="E52" s="66">
        <v>1</v>
      </c>
      <c r="F52" s="67">
        <v>0.02</v>
      </c>
      <c r="G52" s="14">
        <v>7033.13</v>
      </c>
      <c r="H52" s="68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hidden="1" customHeight="1">
      <c r="A53" s="59">
        <v>22</v>
      </c>
      <c r="B53" s="64" t="s">
        <v>39</v>
      </c>
      <c r="C53" s="65" t="s">
        <v>101</v>
      </c>
      <c r="D53" s="64" t="s">
        <v>66</v>
      </c>
      <c r="E53" s="66">
        <v>128</v>
      </c>
      <c r="F53" s="67">
        <f>SUM(E53)*3</f>
        <v>384</v>
      </c>
      <c r="G53" s="14">
        <v>81.73</v>
      </c>
      <c r="H53" s="68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2" t="s">
        <v>80</v>
      </c>
      <c r="B54" s="172"/>
      <c r="C54" s="172"/>
      <c r="D54" s="172"/>
      <c r="E54" s="172"/>
      <c r="F54" s="172"/>
      <c r="G54" s="172"/>
      <c r="H54" s="172"/>
      <c r="I54" s="173"/>
      <c r="J54" s="25"/>
      <c r="L54" s="20"/>
      <c r="M54" s="21"/>
      <c r="N54" s="22"/>
    </row>
    <row r="55" spans="1:14" ht="24" customHeight="1">
      <c r="A55" s="59"/>
      <c r="B55" s="88" t="s">
        <v>41</v>
      </c>
      <c r="C55" s="65"/>
      <c r="D55" s="64"/>
      <c r="E55" s="66"/>
      <c r="F55" s="67"/>
      <c r="G55" s="67"/>
      <c r="H55" s="68"/>
      <c r="I55" s="14"/>
      <c r="J55" s="25"/>
      <c r="L55" s="20"/>
      <c r="M55" s="21"/>
      <c r="N55" s="22"/>
    </row>
    <row r="56" spans="1:14" ht="26.25" hidden="1" customHeight="1">
      <c r="A56" s="59">
        <v>13</v>
      </c>
      <c r="B56" s="64" t="s">
        <v>126</v>
      </c>
      <c r="C56" s="65" t="s">
        <v>83</v>
      </c>
      <c r="D56" s="64" t="s">
        <v>127</v>
      </c>
      <c r="E56" s="66">
        <v>123.31</v>
      </c>
      <c r="F56" s="67">
        <f>SUM(E56*6/100)</f>
        <v>7.3986000000000001</v>
      </c>
      <c r="G56" s="14">
        <v>2306.62</v>
      </c>
      <c r="H56" s="68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8.75" customHeight="1">
      <c r="A57" s="60">
        <v>9</v>
      </c>
      <c r="B57" s="77" t="s">
        <v>128</v>
      </c>
      <c r="C57" s="76" t="s">
        <v>129</v>
      </c>
      <c r="D57" s="77" t="s">
        <v>64</v>
      </c>
      <c r="E57" s="78"/>
      <c r="F57" s="79">
        <v>3</v>
      </c>
      <c r="G57" s="14">
        <v>1501</v>
      </c>
      <c r="H57" s="68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27.75" hidden="1" customHeight="1">
      <c r="A58" s="60"/>
      <c r="B58" s="89" t="s">
        <v>42</v>
      </c>
      <c r="C58" s="76"/>
      <c r="D58" s="77"/>
      <c r="E58" s="78"/>
      <c r="F58" s="79"/>
      <c r="G58" s="14"/>
      <c r="H58" s="80"/>
      <c r="I58" s="14"/>
      <c r="J58" s="25"/>
      <c r="L58" s="20"/>
      <c r="M58" s="21"/>
      <c r="N58" s="22"/>
    </row>
    <row r="59" spans="1:14" ht="26.25" hidden="1" customHeight="1">
      <c r="A59" s="60"/>
      <c r="B59" s="77" t="s">
        <v>139</v>
      </c>
      <c r="C59" s="76" t="s">
        <v>50</v>
      </c>
      <c r="D59" s="77" t="s">
        <v>51</v>
      </c>
      <c r="E59" s="78">
        <v>451</v>
      </c>
      <c r="F59" s="79">
        <v>8.9</v>
      </c>
      <c r="G59" s="14">
        <v>987.51</v>
      </c>
      <c r="H59" s="80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89" t="s">
        <v>43</v>
      </c>
      <c r="C60" s="76"/>
      <c r="D60" s="77"/>
      <c r="E60" s="108"/>
      <c r="F60" s="67"/>
      <c r="G60" s="111"/>
      <c r="H60" s="79" t="s">
        <v>138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44</v>
      </c>
      <c r="C61" s="17" t="s">
        <v>101</v>
      </c>
      <c r="D61" s="15" t="s">
        <v>64</v>
      </c>
      <c r="E61" s="109">
        <v>10</v>
      </c>
      <c r="F61" s="67">
        <f>E61</f>
        <v>10</v>
      </c>
      <c r="G61" s="112">
        <v>276.74</v>
      </c>
      <c r="H61" s="63">
        <f t="shared" ref="H61:H69" si="10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45</v>
      </c>
      <c r="C62" s="17" t="s">
        <v>101</v>
      </c>
      <c r="D62" s="15" t="s">
        <v>64</v>
      </c>
      <c r="E62" s="109">
        <v>10</v>
      </c>
      <c r="F62" s="67">
        <f>E62</f>
        <v>10</v>
      </c>
      <c r="G62" s="112">
        <v>94.89</v>
      </c>
      <c r="H62" s="63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46</v>
      </c>
      <c r="C63" s="17" t="s">
        <v>102</v>
      </c>
      <c r="D63" s="15" t="s">
        <v>51</v>
      </c>
      <c r="E63" s="110">
        <v>13447</v>
      </c>
      <c r="F63" s="67">
        <f>SUM(E63/100)</f>
        <v>134.47</v>
      </c>
      <c r="G63" s="112">
        <v>263.99</v>
      </c>
      <c r="H63" s="63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47</v>
      </c>
      <c r="C64" s="17" t="s">
        <v>103</v>
      </c>
      <c r="D64" s="15"/>
      <c r="E64" s="110">
        <v>13447</v>
      </c>
      <c r="F64" s="67">
        <f>SUM(E64/1000)</f>
        <v>13.446999999999999</v>
      </c>
      <c r="G64" s="112">
        <v>205.57</v>
      </c>
      <c r="H64" s="63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48</v>
      </c>
      <c r="C65" s="17" t="s">
        <v>72</v>
      </c>
      <c r="D65" s="15" t="s">
        <v>51</v>
      </c>
      <c r="E65" s="110">
        <v>2200</v>
      </c>
      <c r="F65" s="67">
        <f>SUM(E65/100)</f>
        <v>22</v>
      </c>
      <c r="G65" s="112">
        <v>2581.5300000000002</v>
      </c>
      <c r="H65" s="63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1" t="s">
        <v>104</v>
      </c>
      <c r="C66" s="17" t="s">
        <v>31</v>
      </c>
      <c r="D66" s="15"/>
      <c r="E66" s="110">
        <v>12.1</v>
      </c>
      <c r="F66" s="67">
        <f>SUM(E66)</f>
        <v>12.1</v>
      </c>
      <c r="G66" s="112">
        <v>47.45</v>
      </c>
      <c r="H66" s="63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1" t="s">
        <v>105</v>
      </c>
      <c r="C67" s="17" t="s">
        <v>31</v>
      </c>
      <c r="D67" s="15"/>
      <c r="E67" s="110">
        <v>12.1</v>
      </c>
      <c r="F67" s="67">
        <f>SUM(E67)</f>
        <v>12.1</v>
      </c>
      <c r="G67" s="112">
        <v>44.27</v>
      </c>
      <c r="H67" s="63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55</v>
      </c>
      <c r="C68" s="17" t="s">
        <v>56</v>
      </c>
      <c r="D68" s="15" t="s">
        <v>51</v>
      </c>
      <c r="E68" s="109">
        <v>4</v>
      </c>
      <c r="F68" s="67">
        <v>4</v>
      </c>
      <c r="G68" s="112">
        <v>62.07</v>
      </c>
      <c r="H68" s="63">
        <f t="shared" si="10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10</v>
      </c>
      <c r="B69" s="15" t="s">
        <v>130</v>
      </c>
      <c r="C69" s="31" t="s">
        <v>131</v>
      </c>
      <c r="D69" s="15"/>
      <c r="E69" s="109">
        <v>3216.2</v>
      </c>
      <c r="F69" s="113">
        <v>38594.400000000001</v>
      </c>
      <c r="G69" s="112">
        <v>2.16</v>
      </c>
      <c r="H69" s="63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6"/>
      <c r="B70" s="99" t="s">
        <v>67</v>
      </c>
      <c r="C70" s="17"/>
      <c r="D70" s="15"/>
      <c r="E70" s="19"/>
      <c r="F70" s="14"/>
      <c r="G70" s="14"/>
      <c r="H70" s="63" t="s">
        <v>138</v>
      </c>
      <c r="I70" s="14"/>
      <c r="J70" s="6"/>
      <c r="K70" s="6"/>
      <c r="L70" s="6"/>
      <c r="M70" s="6"/>
      <c r="N70" s="6"/>
      <c r="O70" s="6"/>
      <c r="P70" s="6"/>
      <c r="Q70" s="6"/>
      <c r="R70" s="152"/>
      <c r="S70" s="152"/>
      <c r="T70" s="152"/>
      <c r="U70" s="152"/>
    </row>
    <row r="71" spans="1:22" ht="15.75" hidden="1" customHeight="1">
      <c r="A71" s="17"/>
      <c r="B71" s="15" t="s">
        <v>132</v>
      </c>
      <c r="C71" s="17" t="s">
        <v>133</v>
      </c>
      <c r="D71" s="15" t="s">
        <v>64</v>
      </c>
      <c r="E71" s="19">
        <v>2</v>
      </c>
      <c r="F71" s="14">
        <f>E71</f>
        <v>2</v>
      </c>
      <c r="G71" s="14">
        <v>976.4</v>
      </c>
      <c r="H71" s="63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108</v>
      </c>
      <c r="C72" s="17" t="s">
        <v>134</v>
      </c>
      <c r="D72" s="15" t="s">
        <v>64</v>
      </c>
      <c r="E72" s="19">
        <v>1</v>
      </c>
      <c r="F72" s="14">
        <v>1</v>
      </c>
      <c r="G72" s="14">
        <v>735</v>
      </c>
      <c r="H72" s="63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68</v>
      </c>
      <c r="C73" s="17" t="s">
        <v>70</v>
      </c>
      <c r="D73" s="15" t="s">
        <v>64</v>
      </c>
      <c r="E73" s="19">
        <v>4</v>
      </c>
      <c r="F73" s="14">
        <f>E73/10</f>
        <v>0.4</v>
      </c>
      <c r="G73" s="14">
        <v>624.16999999999996</v>
      </c>
      <c r="H73" s="63">
        <f t="shared" si="12"/>
        <v>0.249668</v>
      </c>
      <c r="I73" s="14">
        <v>0</v>
      </c>
    </row>
    <row r="74" spans="1:22" ht="15.75" hidden="1" customHeight="1">
      <c r="A74" s="17"/>
      <c r="B74" s="15" t="s">
        <v>69</v>
      </c>
      <c r="C74" s="17" t="s">
        <v>29</v>
      </c>
      <c r="D74" s="15" t="s">
        <v>64</v>
      </c>
      <c r="E74" s="19">
        <v>1</v>
      </c>
      <c r="F74" s="55">
        <v>1</v>
      </c>
      <c r="G74" s="14">
        <v>1061.4100000000001</v>
      </c>
      <c r="H74" s="63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135</v>
      </c>
      <c r="C75" s="17" t="s">
        <v>133</v>
      </c>
      <c r="D75" s="15" t="s">
        <v>64</v>
      </c>
      <c r="E75" s="19">
        <v>1</v>
      </c>
      <c r="F75" s="14">
        <f>E75</f>
        <v>1</v>
      </c>
      <c r="G75" s="14">
        <v>976.1</v>
      </c>
      <c r="H75" s="63">
        <f t="shared" si="12"/>
        <v>0.97609999999999997</v>
      </c>
      <c r="I75" s="14">
        <v>0</v>
      </c>
    </row>
    <row r="76" spans="1:22" ht="15.75" hidden="1" customHeight="1">
      <c r="A76" s="106"/>
      <c r="B76" s="107" t="s">
        <v>71</v>
      </c>
      <c r="C76" s="17"/>
      <c r="D76" s="15"/>
      <c r="E76" s="19"/>
      <c r="F76" s="14"/>
      <c r="G76" s="14" t="s">
        <v>138</v>
      </c>
      <c r="H76" s="63" t="s">
        <v>138</v>
      </c>
      <c r="I76" s="14"/>
    </row>
    <row r="77" spans="1:22" ht="15.75" hidden="1" customHeight="1">
      <c r="A77" s="17"/>
      <c r="B77" s="43" t="s">
        <v>109</v>
      </c>
      <c r="C77" s="17" t="s">
        <v>72</v>
      </c>
      <c r="D77" s="15"/>
      <c r="E77" s="19"/>
      <c r="F77" s="14">
        <v>0.1</v>
      </c>
      <c r="G77" s="14">
        <v>3433.68</v>
      </c>
      <c r="H77" s="63">
        <f t="shared" ref="H77" si="13">SUM(F77*G77/1000)</f>
        <v>0.34336800000000001</v>
      </c>
      <c r="I77" s="14">
        <v>0</v>
      </c>
    </row>
    <row r="78" spans="1:22" ht="22.5" customHeight="1">
      <c r="A78" s="106"/>
      <c r="B78" s="96" t="s">
        <v>106</v>
      </c>
      <c r="C78" s="83"/>
      <c r="D78" s="33"/>
      <c r="E78" s="34"/>
      <c r="F78" s="73"/>
      <c r="G78" s="73"/>
      <c r="H78" s="84">
        <f>SUM(H56:H77)</f>
        <v>219.17093482199999</v>
      </c>
      <c r="I78" s="73"/>
    </row>
    <row r="79" spans="1:22" ht="18.75" customHeight="1">
      <c r="A79" s="17">
        <v>11</v>
      </c>
      <c r="B79" s="64" t="s">
        <v>107</v>
      </c>
      <c r="C79" s="17"/>
      <c r="D79" s="15"/>
      <c r="E79" s="85"/>
      <c r="F79" s="14">
        <v>1</v>
      </c>
      <c r="G79" s="14">
        <v>4166</v>
      </c>
      <c r="H79" s="63">
        <f>G79*F79/1000</f>
        <v>4.1660000000000004</v>
      </c>
      <c r="I79" s="14">
        <v>4166</v>
      </c>
    </row>
    <row r="80" spans="1:22" ht="15.75" customHeight="1">
      <c r="A80" s="162" t="s">
        <v>148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17">
        <v>12</v>
      </c>
      <c r="B81" s="64" t="s">
        <v>111</v>
      </c>
      <c r="C81" s="17" t="s">
        <v>52</v>
      </c>
      <c r="D81" s="86" t="s">
        <v>53</v>
      </c>
      <c r="E81" s="14">
        <v>3216.2</v>
      </c>
      <c r="F81" s="14">
        <f>SUM(E81*12)</f>
        <v>38594.399999999994</v>
      </c>
      <c r="G81" s="14">
        <v>2.95</v>
      </c>
      <c r="H81" s="63">
        <f>SUM(F81*G81/1000)</f>
        <v>113.85347999999999</v>
      </c>
      <c r="I81" s="14">
        <f>F81/12*G81</f>
        <v>9487.7899999999991</v>
      </c>
    </row>
    <row r="82" spans="1:9" ht="31.5" customHeight="1">
      <c r="A82" s="87">
        <v>13</v>
      </c>
      <c r="B82" s="15" t="s">
        <v>73</v>
      </c>
      <c r="C82" s="17"/>
      <c r="D82" s="86" t="s">
        <v>53</v>
      </c>
      <c r="E82" s="66">
        <v>3216.2</v>
      </c>
      <c r="F82" s="14">
        <f>E82*12</f>
        <v>38594.399999999994</v>
      </c>
      <c r="G82" s="14">
        <v>3.05</v>
      </c>
      <c r="H82" s="63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75</v>
      </c>
      <c r="C83" s="83"/>
      <c r="D83" s="82"/>
      <c r="E83" s="73"/>
      <c r="F83" s="73"/>
      <c r="G83" s="73"/>
      <c r="H83" s="84">
        <f>H82</f>
        <v>117.71291999999997</v>
      </c>
      <c r="I83" s="73">
        <f>I82+I81+I79+I69+I57+I33+I31+I30+I27+I26+I18+I17+I16</f>
        <v>55583.970814444438</v>
      </c>
    </row>
    <row r="84" spans="1:9" ht="15.75" customHeight="1">
      <c r="A84" s="168" t="s">
        <v>58</v>
      </c>
      <c r="B84" s="169"/>
      <c r="C84" s="169"/>
      <c r="D84" s="169"/>
      <c r="E84" s="169"/>
      <c r="F84" s="169"/>
      <c r="G84" s="169"/>
      <c r="H84" s="169"/>
      <c r="I84" s="170"/>
    </row>
    <row r="85" spans="1:9" ht="15.75" customHeight="1">
      <c r="A85" s="116">
        <v>14</v>
      </c>
      <c r="B85" s="133" t="s">
        <v>167</v>
      </c>
      <c r="C85" s="134" t="s">
        <v>168</v>
      </c>
      <c r="D85" s="43"/>
      <c r="E85" s="14"/>
      <c r="F85" s="14">
        <v>2</v>
      </c>
      <c r="G85" s="141">
        <v>1.2</v>
      </c>
      <c r="H85" s="63">
        <f t="shared" ref="H85:H86" si="14">G85*F85/1000</f>
        <v>2.3999999999999998E-3</v>
      </c>
      <c r="I85" s="115">
        <f>G85*100</f>
        <v>120</v>
      </c>
    </row>
    <row r="86" spans="1:9" ht="15.75" customHeight="1">
      <c r="A86" s="116">
        <v>15</v>
      </c>
      <c r="B86" s="142" t="s">
        <v>177</v>
      </c>
      <c r="C86" s="143" t="s">
        <v>93</v>
      </c>
      <c r="D86" s="43"/>
      <c r="E86" s="14"/>
      <c r="F86" s="14">
        <v>2</v>
      </c>
      <c r="G86" s="126">
        <v>1283.46</v>
      </c>
      <c r="H86" s="126">
        <f t="shared" si="14"/>
        <v>2.5669200000000001</v>
      </c>
      <c r="I86" s="115">
        <f>G86*0.0413</f>
        <v>53.006898000000007</v>
      </c>
    </row>
    <row r="87" spans="1:9" ht="32.25" customHeight="1">
      <c r="A87" s="116">
        <v>16</v>
      </c>
      <c r="B87" s="46" t="s">
        <v>155</v>
      </c>
      <c r="C87" s="47" t="s">
        <v>36</v>
      </c>
      <c r="D87" s="43"/>
      <c r="E87" s="14"/>
      <c r="F87" s="14">
        <v>2</v>
      </c>
      <c r="G87" s="126">
        <v>3724.37</v>
      </c>
      <c r="H87" s="63">
        <f t="shared" ref="H87:H93" si="15">G87*F87/1000</f>
        <v>7.4487399999999999</v>
      </c>
      <c r="I87" s="115">
        <f>G87*0.02</f>
        <v>74.487399999999994</v>
      </c>
    </row>
    <row r="88" spans="1:9" ht="15.75" customHeight="1">
      <c r="A88" s="116">
        <v>17</v>
      </c>
      <c r="B88" s="123" t="s">
        <v>206</v>
      </c>
      <c r="C88" s="124" t="s">
        <v>214</v>
      </c>
      <c r="D88" s="15"/>
      <c r="E88" s="19"/>
      <c r="F88" s="14">
        <v>2</v>
      </c>
      <c r="G88" s="126">
        <v>24829.08</v>
      </c>
      <c r="H88" s="63">
        <f t="shared" si="15"/>
        <v>49.658160000000002</v>
      </c>
      <c r="I88" s="115">
        <f>G88*0.01</f>
        <v>248.29080000000002</v>
      </c>
    </row>
    <row r="89" spans="1:9" ht="15.75" customHeight="1">
      <c r="A89" s="116">
        <v>18</v>
      </c>
      <c r="B89" s="144" t="s">
        <v>215</v>
      </c>
      <c r="C89" s="145" t="s">
        <v>101</v>
      </c>
      <c r="D89" s="15"/>
      <c r="E89" s="19"/>
      <c r="F89" s="14">
        <v>1</v>
      </c>
      <c r="G89" s="126">
        <v>724.86</v>
      </c>
      <c r="H89" s="63">
        <f t="shared" si="15"/>
        <v>0.72486000000000006</v>
      </c>
      <c r="I89" s="115">
        <f>G89*1</f>
        <v>724.86</v>
      </c>
    </row>
    <row r="90" spans="1:9" ht="28.5" customHeight="1">
      <c r="A90" s="116">
        <v>19</v>
      </c>
      <c r="B90" s="123" t="s">
        <v>216</v>
      </c>
      <c r="C90" s="145" t="s">
        <v>217</v>
      </c>
      <c r="D90" s="15"/>
      <c r="E90" s="19"/>
      <c r="F90" s="14"/>
      <c r="G90" s="126">
        <v>3186.62</v>
      </c>
      <c r="H90" s="63"/>
      <c r="I90" s="115">
        <f>G90*0.25</f>
        <v>796.65499999999997</v>
      </c>
    </row>
    <row r="91" spans="1:9" ht="32.25" customHeight="1">
      <c r="A91" s="116">
        <v>20</v>
      </c>
      <c r="B91" s="123" t="s">
        <v>218</v>
      </c>
      <c r="C91" s="124" t="s">
        <v>162</v>
      </c>
      <c r="D91" s="15"/>
      <c r="E91" s="19"/>
      <c r="F91" s="14"/>
      <c r="G91" s="126">
        <v>6183.75</v>
      </c>
      <c r="H91" s="63"/>
      <c r="I91" s="115">
        <f>G91*0.1</f>
        <v>618.375</v>
      </c>
    </row>
    <row r="92" spans="1:9" ht="31.5" customHeight="1">
      <c r="A92" s="116">
        <v>21</v>
      </c>
      <c r="B92" s="123" t="s">
        <v>219</v>
      </c>
      <c r="C92" s="124"/>
      <c r="D92" s="15"/>
      <c r="E92" s="19"/>
      <c r="F92" s="14">
        <v>1</v>
      </c>
      <c r="G92" s="126">
        <v>419.84</v>
      </c>
      <c r="H92" s="63">
        <f t="shared" si="15"/>
        <v>0.41983999999999999</v>
      </c>
      <c r="I92" s="115">
        <f>G92*1</f>
        <v>419.84</v>
      </c>
    </row>
    <row r="93" spans="1:9" ht="27.75" customHeight="1">
      <c r="A93" s="116">
        <v>22</v>
      </c>
      <c r="B93" s="46" t="s">
        <v>154</v>
      </c>
      <c r="C93" s="47" t="s">
        <v>101</v>
      </c>
      <c r="D93" s="15"/>
      <c r="E93" s="19"/>
      <c r="F93" s="14">
        <v>1</v>
      </c>
      <c r="G93" s="126">
        <v>86.69</v>
      </c>
      <c r="H93" s="63">
        <f t="shared" si="15"/>
        <v>8.6690000000000003E-2</v>
      </c>
      <c r="I93" s="115">
        <f>G93*2</f>
        <v>173.38</v>
      </c>
    </row>
    <row r="94" spans="1:9" ht="15.75" customHeight="1">
      <c r="A94" s="31"/>
      <c r="B94" s="41" t="s">
        <v>49</v>
      </c>
      <c r="C94" s="37"/>
      <c r="D94" s="44"/>
      <c r="E94" s="37">
        <v>1</v>
      </c>
      <c r="F94" s="37"/>
      <c r="G94" s="37"/>
      <c r="H94" s="37"/>
      <c r="I94" s="34">
        <f>SUM(I85:I93)</f>
        <v>3228.895098</v>
      </c>
    </row>
    <row r="95" spans="1:9" ht="15.75" customHeight="1">
      <c r="A95" s="31"/>
      <c r="B95" s="43" t="s">
        <v>74</v>
      </c>
      <c r="C95" s="16"/>
      <c r="D95" s="16"/>
      <c r="E95" s="38"/>
      <c r="F95" s="38"/>
      <c r="G95" s="39"/>
      <c r="H95" s="39"/>
      <c r="I95" s="18">
        <v>0</v>
      </c>
    </row>
    <row r="96" spans="1:9" ht="15.75" customHeight="1">
      <c r="A96" s="45"/>
      <c r="B96" s="42" t="s">
        <v>153</v>
      </c>
      <c r="C96" s="35"/>
      <c r="D96" s="35"/>
      <c r="E96" s="35"/>
      <c r="F96" s="35"/>
      <c r="G96" s="35"/>
      <c r="H96" s="35"/>
      <c r="I96" s="40">
        <f>I83+I94</f>
        <v>58812.865912444438</v>
      </c>
    </row>
    <row r="97" spans="1:9" ht="15.75" customHeight="1">
      <c r="A97" s="153" t="s">
        <v>220</v>
      </c>
      <c r="B97" s="153"/>
      <c r="C97" s="153"/>
      <c r="D97" s="153"/>
      <c r="E97" s="153"/>
      <c r="F97" s="153"/>
      <c r="G97" s="153"/>
      <c r="H97" s="153"/>
      <c r="I97" s="153"/>
    </row>
    <row r="98" spans="1:9" ht="15.75" customHeight="1">
      <c r="A98" s="54"/>
      <c r="B98" s="178" t="s">
        <v>221</v>
      </c>
      <c r="C98" s="178"/>
      <c r="D98" s="178"/>
      <c r="E98" s="178"/>
      <c r="F98" s="178"/>
      <c r="G98" s="178"/>
      <c r="H98" s="58"/>
      <c r="I98" s="4"/>
    </row>
    <row r="99" spans="1:9" ht="15.75" customHeight="1">
      <c r="A99" s="97"/>
      <c r="B99" s="175" t="s">
        <v>6</v>
      </c>
      <c r="C99" s="175"/>
      <c r="D99" s="175"/>
      <c r="E99" s="175"/>
      <c r="F99" s="175"/>
      <c r="G99" s="175"/>
      <c r="H99" s="26"/>
      <c r="I99" s="6"/>
    </row>
    <row r="100" spans="1:9" ht="15.75" customHeight="1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5.75" customHeight="1">
      <c r="A101" s="179" t="s">
        <v>7</v>
      </c>
      <c r="B101" s="179"/>
      <c r="C101" s="179"/>
      <c r="D101" s="179"/>
      <c r="E101" s="179"/>
      <c r="F101" s="179"/>
      <c r="G101" s="179"/>
      <c r="H101" s="179"/>
      <c r="I101" s="179"/>
    </row>
    <row r="102" spans="1:9" ht="15.75" customHeight="1">
      <c r="A102" s="179" t="s">
        <v>8</v>
      </c>
      <c r="B102" s="179"/>
      <c r="C102" s="179"/>
      <c r="D102" s="179"/>
      <c r="E102" s="179"/>
      <c r="F102" s="179"/>
      <c r="G102" s="179"/>
      <c r="H102" s="179"/>
      <c r="I102" s="179"/>
    </row>
    <row r="103" spans="1:9" ht="15.75" customHeight="1">
      <c r="A103" s="180" t="s">
        <v>59</v>
      </c>
      <c r="B103" s="180"/>
      <c r="C103" s="180"/>
      <c r="D103" s="180"/>
      <c r="E103" s="180"/>
      <c r="F103" s="180"/>
      <c r="G103" s="180"/>
      <c r="H103" s="180"/>
      <c r="I103" s="180"/>
    </row>
    <row r="104" spans="1:9" ht="15.75" customHeight="1">
      <c r="A104" s="12"/>
    </row>
    <row r="105" spans="1:9" ht="15.75" customHeight="1">
      <c r="A105" s="160" t="s">
        <v>9</v>
      </c>
      <c r="B105" s="160"/>
      <c r="C105" s="160"/>
      <c r="D105" s="160"/>
      <c r="E105" s="160"/>
      <c r="F105" s="160"/>
      <c r="G105" s="160"/>
      <c r="H105" s="160"/>
      <c r="I105" s="160"/>
    </row>
    <row r="106" spans="1:9" ht="15.75" customHeight="1">
      <c r="A106" s="5"/>
    </row>
    <row r="107" spans="1:9" ht="15.75" customHeight="1">
      <c r="B107" s="100" t="s">
        <v>10</v>
      </c>
      <c r="C107" s="174" t="s">
        <v>81</v>
      </c>
      <c r="D107" s="174"/>
      <c r="E107" s="174"/>
      <c r="F107" s="56"/>
      <c r="I107" s="102"/>
    </row>
    <row r="108" spans="1:9" ht="15.75" customHeight="1">
      <c r="A108" s="97"/>
      <c r="C108" s="175" t="s">
        <v>11</v>
      </c>
      <c r="D108" s="175"/>
      <c r="E108" s="175"/>
      <c r="F108" s="26"/>
      <c r="I108" s="101" t="s">
        <v>12</v>
      </c>
    </row>
    <row r="109" spans="1:9" ht="15.75" customHeight="1">
      <c r="A109" s="27"/>
      <c r="C109" s="13"/>
      <c r="D109" s="13"/>
      <c r="G109" s="13"/>
      <c r="H109" s="13"/>
    </row>
    <row r="110" spans="1:9" ht="15.75" customHeight="1">
      <c r="B110" s="100" t="s">
        <v>13</v>
      </c>
      <c r="C110" s="176"/>
      <c r="D110" s="176"/>
      <c r="E110" s="176"/>
      <c r="F110" s="57"/>
      <c r="I110" s="102"/>
    </row>
    <row r="111" spans="1:9" ht="15.75" customHeight="1">
      <c r="A111" s="97"/>
      <c r="C111" s="152" t="s">
        <v>11</v>
      </c>
      <c r="D111" s="152"/>
      <c r="E111" s="152"/>
      <c r="F111" s="97"/>
      <c r="I111" s="101" t="s">
        <v>12</v>
      </c>
    </row>
    <row r="112" spans="1:9" ht="15.75" customHeight="1">
      <c r="A112" s="5" t="s">
        <v>14</v>
      </c>
    </row>
    <row r="113" spans="1:9" ht="15" customHeight="1">
      <c r="A113" s="177" t="s">
        <v>15</v>
      </c>
      <c r="B113" s="177"/>
      <c r="C113" s="177"/>
      <c r="D113" s="177"/>
      <c r="E113" s="177"/>
      <c r="F113" s="177"/>
      <c r="G113" s="177"/>
      <c r="H113" s="177"/>
      <c r="I113" s="177"/>
    </row>
    <row r="114" spans="1:9" ht="45" customHeight="1">
      <c r="A114" s="171" t="s">
        <v>16</v>
      </c>
      <c r="B114" s="171"/>
      <c r="C114" s="171"/>
      <c r="D114" s="171"/>
      <c r="E114" s="171"/>
      <c r="F114" s="171"/>
      <c r="G114" s="171"/>
      <c r="H114" s="171"/>
      <c r="I114" s="171"/>
    </row>
    <row r="115" spans="1:9" ht="30" customHeight="1">
      <c r="A115" s="171" t="s">
        <v>17</v>
      </c>
      <c r="B115" s="171"/>
      <c r="C115" s="171"/>
      <c r="D115" s="171"/>
      <c r="E115" s="171"/>
      <c r="F115" s="171"/>
      <c r="G115" s="171"/>
      <c r="H115" s="171"/>
      <c r="I115" s="171"/>
    </row>
    <row r="116" spans="1:9" ht="30" customHeight="1">
      <c r="A116" s="171" t="s">
        <v>21</v>
      </c>
      <c r="B116" s="171"/>
      <c r="C116" s="171"/>
      <c r="D116" s="171"/>
      <c r="E116" s="171"/>
      <c r="F116" s="171"/>
      <c r="G116" s="171"/>
      <c r="H116" s="171"/>
      <c r="I116" s="171"/>
    </row>
    <row r="117" spans="1:9" ht="15" customHeight="1">
      <c r="A117" s="171" t="s">
        <v>20</v>
      </c>
      <c r="B117" s="171"/>
      <c r="C117" s="171"/>
      <c r="D117" s="171"/>
      <c r="E117" s="171"/>
      <c r="F117" s="171"/>
      <c r="G117" s="171"/>
      <c r="H117" s="171"/>
      <c r="I117" s="171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11:E111"/>
    <mergeCell ref="A84:I84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0:I80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6"/>
  <sheetViews>
    <sheetView topLeftCell="A83" workbookViewId="0">
      <selection activeCell="B93" sqref="B93:I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230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4" t="s">
        <v>157</v>
      </c>
      <c r="B3" s="154"/>
      <c r="C3" s="154"/>
      <c r="D3" s="154"/>
      <c r="E3" s="154"/>
      <c r="F3" s="154"/>
      <c r="G3" s="154"/>
      <c r="H3" s="154"/>
      <c r="I3" s="154"/>
      <c r="J3" s="2"/>
      <c r="K3" s="2"/>
      <c r="L3" s="2"/>
      <c r="M3" s="2"/>
    </row>
    <row r="4" spans="1:13" ht="33.75" customHeight="1">
      <c r="A4" s="155" t="s">
        <v>112</v>
      </c>
      <c r="B4" s="155"/>
      <c r="C4" s="155"/>
      <c r="D4" s="155"/>
      <c r="E4" s="155"/>
      <c r="F4" s="155"/>
      <c r="G4" s="155"/>
      <c r="H4" s="155"/>
      <c r="I4" s="155"/>
      <c r="J4" s="3"/>
      <c r="K4" s="3"/>
      <c r="L4" s="3"/>
      <c r="M4" s="3"/>
    </row>
    <row r="5" spans="1:13" ht="15.75" customHeight="1">
      <c r="A5" s="154" t="s">
        <v>231</v>
      </c>
      <c r="B5" s="156"/>
      <c r="C5" s="156"/>
      <c r="D5" s="156"/>
      <c r="E5" s="156"/>
      <c r="F5" s="156"/>
      <c r="G5" s="156"/>
      <c r="H5" s="156"/>
      <c r="I5" s="156"/>
      <c r="J5" s="4"/>
      <c r="K5" s="4"/>
      <c r="L5" s="4"/>
    </row>
    <row r="6" spans="1:13" ht="15.75" customHeight="1">
      <c r="A6" s="3"/>
      <c r="B6" s="98"/>
      <c r="C6" s="98"/>
      <c r="D6" s="98"/>
      <c r="E6" s="98"/>
      <c r="F6" s="98"/>
      <c r="G6" s="98"/>
      <c r="H6" s="98"/>
      <c r="I6" s="32">
        <v>43343</v>
      </c>
    </row>
    <row r="7" spans="1:13" ht="15.75">
      <c r="B7" s="100"/>
      <c r="C7" s="100"/>
      <c r="D7" s="10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57" t="s">
        <v>213</v>
      </c>
      <c r="B8" s="157"/>
      <c r="C8" s="157"/>
      <c r="D8" s="157"/>
      <c r="E8" s="157"/>
      <c r="F8" s="157"/>
      <c r="G8" s="157"/>
      <c r="H8" s="157"/>
      <c r="I8" s="15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58" t="s">
        <v>166</v>
      </c>
      <c r="B10" s="158"/>
      <c r="C10" s="158"/>
      <c r="D10" s="158"/>
      <c r="E10" s="158"/>
      <c r="F10" s="158"/>
      <c r="G10" s="158"/>
      <c r="H10" s="158"/>
      <c r="I10" s="15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59" t="s">
        <v>57</v>
      </c>
      <c r="B14" s="159"/>
      <c r="C14" s="159"/>
      <c r="D14" s="159"/>
      <c r="E14" s="159"/>
      <c r="F14" s="159"/>
      <c r="G14" s="159"/>
      <c r="H14" s="159"/>
      <c r="I14" s="159"/>
    </row>
    <row r="15" spans="1:13">
      <c r="A15" s="161" t="s">
        <v>4</v>
      </c>
      <c r="B15" s="161"/>
      <c r="C15" s="161"/>
      <c r="D15" s="161"/>
      <c r="E15" s="161"/>
      <c r="F15" s="161"/>
      <c r="G15" s="161"/>
      <c r="H15" s="161"/>
      <c r="I15" s="161"/>
      <c r="J15" s="9"/>
      <c r="K15" s="9"/>
      <c r="L15" s="9"/>
      <c r="M15" s="9"/>
    </row>
    <row r="16" spans="1:13" ht="15.75" customHeight="1">
      <c r="A16" s="59">
        <v>1</v>
      </c>
      <c r="B16" s="64" t="s">
        <v>79</v>
      </c>
      <c r="C16" s="65" t="s">
        <v>83</v>
      </c>
      <c r="D16" s="64" t="s">
        <v>115</v>
      </c>
      <c r="E16" s="66">
        <v>54</v>
      </c>
      <c r="F16" s="67">
        <f>SUM(E16*156/100)</f>
        <v>84.24</v>
      </c>
      <c r="G16" s="67">
        <v>218.21</v>
      </c>
      <c r="H16" s="68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4" t="s">
        <v>113</v>
      </c>
      <c r="C17" s="65" t="s">
        <v>83</v>
      </c>
      <c r="D17" s="64" t="s">
        <v>116</v>
      </c>
      <c r="E17" s="66">
        <v>216</v>
      </c>
      <c r="F17" s="67">
        <f>SUM(E17*104/100)</f>
        <v>224.64</v>
      </c>
      <c r="G17" s="67">
        <v>218.21</v>
      </c>
      <c r="H17" s="68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4" t="s">
        <v>114</v>
      </c>
      <c r="C18" s="65" t="s">
        <v>83</v>
      </c>
      <c r="D18" s="64" t="s">
        <v>117</v>
      </c>
      <c r="E18" s="66">
        <f>SUM(E16+E17)</f>
        <v>270</v>
      </c>
      <c r="F18" s="67">
        <f>SUM(E18*24/100)</f>
        <v>64.8</v>
      </c>
      <c r="G18" s="67">
        <v>627.77</v>
      </c>
      <c r="H18" s="68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4" t="s">
        <v>84</v>
      </c>
      <c r="C19" s="65" t="s">
        <v>85</v>
      </c>
      <c r="D19" s="64" t="s">
        <v>86</v>
      </c>
      <c r="E19" s="66">
        <v>40</v>
      </c>
      <c r="F19" s="67">
        <f>SUM(E19/10)</f>
        <v>4</v>
      </c>
      <c r="G19" s="67">
        <v>211.74</v>
      </c>
      <c r="H19" s="68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9">
        <v>5</v>
      </c>
      <c r="B20" s="64" t="s">
        <v>87</v>
      </c>
      <c r="C20" s="65" t="s">
        <v>83</v>
      </c>
      <c r="D20" s="64" t="s">
        <v>40</v>
      </c>
      <c r="E20" s="66">
        <v>10.5</v>
      </c>
      <c r="F20" s="67">
        <f>SUM(E20*2/100)</f>
        <v>0.21</v>
      </c>
      <c r="G20" s="67">
        <v>271.12</v>
      </c>
      <c r="H20" s="68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9">
        <v>6</v>
      </c>
      <c r="B21" s="64" t="s">
        <v>88</v>
      </c>
      <c r="C21" s="65" t="s">
        <v>83</v>
      </c>
      <c r="D21" s="64" t="s">
        <v>40</v>
      </c>
      <c r="E21" s="66">
        <v>2.7</v>
      </c>
      <c r="F21" s="67">
        <f>SUM(E21*2/100)</f>
        <v>5.4000000000000006E-2</v>
      </c>
      <c r="G21" s="67">
        <v>268.92</v>
      </c>
      <c r="H21" s="68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4" t="s">
        <v>89</v>
      </c>
      <c r="C22" s="65" t="s">
        <v>50</v>
      </c>
      <c r="D22" s="64" t="s">
        <v>86</v>
      </c>
      <c r="E22" s="66">
        <v>357</v>
      </c>
      <c r="F22" s="67">
        <f t="shared" ref="F22:F25" si="2">SUM(E22/100)</f>
        <v>3.57</v>
      </c>
      <c r="G22" s="67">
        <v>335.05</v>
      </c>
      <c r="H22" s="68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4" t="s">
        <v>90</v>
      </c>
      <c r="C23" s="65" t="s">
        <v>50</v>
      </c>
      <c r="D23" s="64" t="s">
        <v>86</v>
      </c>
      <c r="E23" s="69">
        <v>38.64</v>
      </c>
      <c r="F23" s="67">
        <f t="shared" si="2"/>
        <v>0.38640000000000002</v>
      </c>
      <c r="G23" s="67">
        <v>55.1</v>
      </c>
      <c r="H23" s="68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4" t="s">
        <v>91</v>
      </c>
      <c r="C24" s="65" t="s">
        <v>50</v>
      </c>
      <c r="D24" s="70" t="s">
        <v>86</v>
      </c>
      <c r="E24" s="19">
        <v>15</v>
      </c>
      <c r="F24" s="71">
        <f t="shared" si="2"/>
        <v>0.15</v>
      </c>
      <c r="G24" s="67">
        <v>484.94</v>
      </c>
      <c r="H24" s="68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4" t="s">
        <v>118</v>
      </c>
      <c r="C25" s="65" t="s">
        <v>50</v>
      </c>
      <c r="D25" s="64" t="s">
        <v>86</v>
      </c>
      <c r="E25" s="72">
        <v>6.38</v>
      </c>
      <c r="F25" s="67">
        <f t="shared" si="2"/>
        <v>6.3799999999999996E-2</v>
      </c>
      <c r="G25" s="67">
        <v>648.04999999999995</v>
      </c>
      <c r="H25" s="68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4</v>
      </c>
      <c r="B26" s="64" t="s">
        <v>62</v>
      </c>
      <c r="C26" s="65" t="s">
        <v>31</v>
      </c>
      <c r="D26" s="64"/>
      <c r="E26" s="66">
        <v>0.1</v>
      </c>
      <c r="F26" s="67">
        <f>SUM(E26*365)</f>
        <v>36.5</v>
      </c>
      <c r="G26" s="67">
        <v>182.96</v>
      </c>
      <c r="H26" s="68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5</v>
      </c>
      <c r="B27" s="75" t="s">
        <v>23</v>
      </c>
      <c r="C27" s="65" t="s">
        <v>24</v>
      </c>
      <c r="D27" s="64"/>
      <c r="E27" s="66">
        <v>3216.2</v>
      </c>
      <c r="F27" s="67">
        <f>SUM(E27*12)</f>
        <v>38594.399999999994</v>
      </c>
      <c r="G27" s="67">
        <v>4.01</v>
      </c>
      <c r="H27" s="68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5" t="s">
        <v>150</v>
      </c>
      <c r="B28" s="166"/>
      <c r="C28" s="166"/>
      <c r="D28" s="166"/>
      <c r="E28" s="166"/>
      <c r="F28" s="166"/>
      <c r="G28" s="166"/>
      <c r="H28" s="166"/>
      <c r="I28" s="167"/>
      <c r="J28" s="24"/>
      <c r="K28" s="9"/>
      <c r="L28" s="9"/>
      <c r="M28" s="9"/>
    </row>
    <row r="29" spans="1:13" ht="15.75" customHeight="1">
      <c r="A29" s="104"/>
      <c r="B29" s="99" t="s">
        <v>27</v>
      </c>
      <c r="C29" s="105"/>
      <c r="D29" s="105"/>
      <c r="E29" s="105"/>
      <c r="F29" s="105"/>
      <c r="G29" s="105"/>
      <c r="H29" s="105"/>
      <c r="I29" s="105"/>
      <c r="J29" s="24"/>
      <c r="K29" s="9"/>
      <c r="L29" s="9"/>
      <c r="M29" s="9"/>
    </row>
    <row r="30" spans="1:13" ht="15.75" customHeight="1">
      <c r="A30" s="103">
        <v>6</v>
      </c>
      <c r="B30" s="64" t="s">
        <v>92</v>
      </c>
      <c r="C30" s="65" t="s">
        <v>93</v>
      </c>
      <c r="D30" s="64" t="s">
        <v>119</v>
      </c>
      <c r="E30" s="67">
        <v>191.65</v>
      </c>
      <c r="F30" s="67">
        <f>SUM(E30*52/1000)</f>
        <v>9.9658000000000015</v>
      </c>
      <c r="G30" s="67">
        <v>193.97</v>
      </c>
      <c r="H30" s="68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9">
        <v>7</v>
      </c>
      <c r="B31" s="64" t="s">
        <v>151</v>
      </c>
      <c r="C31" s="65" t="s">
        <v>93</v>
      </c>
      <c r="D31" s="64" t="s">
        <v>120</v>
      </c>
      <c r="E31" s="67">
        <v>67.650000000000006</v>
      </c>
      <c r="F31" s="67">
        <f>SUM(E31*78/1000)</f>
        <v>5.2767000000000008</v>
      </c>
      <c r="G31" s="67">
        <v>321.82</v>
      </c>
      <c r="H31" s="68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4" t="s">
        <v>26</v>
      </c>
      <c r="C32" s="65" t="s">
        <v>93</v>
      </c>
      <c r="D32" s="64" t="s">
        <v>51</v>
      </c>
      <c r="E32" s="67">
        <v>191.65</v>
      </c>
      <c r="F32" s="67">
        <f>SUM(E32/1000)</f>
        <v>0.19165000000000001</v>
      </c>
      <c r="G32" s="67">
        <v>3758.28</v>
      </c>
      <c r="H32" s="68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customHeight="1">
      <c r="A33" s="59">
        <v>8</v>
      </c>
      <c r="B33" s="64" t="s">
        <v>94</v>
      </c>
      <c r="C33" s="65" t="s">
        <v>29</v>
      </c>
      <c r="D33" s="64" t="s">
        <v>61</v>
      </c>
      <c r="E33" s="74">
        <f>1/3</f>
        <v>0.33333333333333331</v>
      </c>
      <c r="F33" s="67">
        <f>155/3</f>
        <v>51.666666666666664</v>
      </c>
      <c r="G33" s="67">
        <v>70.540000000000006</v>
      </c>
      <c r="H33" s="68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4" t="s">
        <v>63</v>
      </c>
      <c r="C34" s="65" t="s">
        <v>31</v>
      </c>
      <c r="D34" s="64" t="s">
        <v>64</v>
      </c>
      <c r="E34" s="66"/>
      <c r="F34" s="67">
        <v>3</v>
      </c>
      <c r="G34" s="67">
        <v>238.07</v>
      </c>
      <c r="H34" s="68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4" t="s">
        <v>137</v>
      </c>
      <c r="C35" s="65" t="s">
        <v>30</v>
      </c>
      <c r="D35" s="64" t="s">
        <v>64</v>
      </c>
      <c r="E35" s="66"/>
      <c r="F35" s="67">
        <v>2</v>
      </c>
      <c r="G35" s="67">
        <v>1413.96</v>
      </c>
      <c r="H35" s="68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hidden="1" customHeight="1">
      <c r="A36" s="104"/>
      <c r="B36" s="99" t="s">
        <v>5</v>
      </c>
      <c r="C36" s="105"/>
      <c r="D36" s="105"/>
      <c r="E36" s="105"/>
      <c r="F36" s="105"/>
      <c r="G36" s="105"/>
      <c r="H36" s="105"/>
      <c r="I36" s="105"/>
      <c r="J36" s="25"/>
    </row>
    <row r="37" spans="1:14" ht="15.75" hidden="1" customHeight="1">
      <c r="A37" s="103">
        <v>6</v>
      </c>
      <c r="B37" s="64" t="s">
        <v>25</v>
      </c>
      <c r="C37" s="65" t="s">
        <v>30</v>
      </c>
      <c r="D37" s="64"/>
      <c r="E37" s="66"/>
      <c r="F37" s="67">
        <v>3</v>
      </c>
      <c r="G37" s="67">
        <v>1900.37</v>
      </c>
      <c r="H37" s="68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hidden="1" customHeight="1">
      <c r="A38" s="59">
        <v>7</v>
      </c>
      <c r="B38" s="64" t="s">
        <v>82</v>
      </c>
      <c r="C38" s="65" t="s">
        <v>28</v>
      </c>
      <c r="D38" s="64" t="s">
        <v>95</v>
      </c>
      <c r="E38" s="66">
        <v>67.650000000000006</v>
      </c>
      <c r="F38" s="67">
        <f>E38*30/1000</f>
        <v>2.0295000000000001</v>
      </c>
      <c r="G38" s="67">
        <v>2616.4899999999998</v>
      </c>
      <c r="H38" s="68">
        <f>G38*F38/1000</f>
        <v>5.3101664549999992</v>
      </c>
      <c r="I38" s="14">
        <f>F38/6*G38</f>
        <v>885.02774249999993</v>
      </c>
      <c r="J38" s="25"/>
    </row>
    <row r="39" spans="1:14" ht="15.75" hidden="1" customHeight="1">
      <c r="A39" s="59">
        <v>8</v>
      </c>
      <c r="B39" s="64" t="s">
        <v>121</v>
      </c>
      <c r="C39" s="65" t="s">
        <v>28</v>
      </c>
      <c r="D39" s="64" t="s">
        <v>96</v>
      </c>
      <c r="E39" s="66">
        <v>67.650000000000006</v>
      </c>
      <c r="F39" s="67">
        <f>E39*155/1000</f>
        <v>10.485749999999999</v>
      </c>
      <c r="G39" s="67">
        <v>436.45</v>
      </c>
      <c r="H39" s="68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3">
        <v>9</v>
      </c>
      <c r="B40" s="64" t="s">
        <v>122</v>
      </c>
      <c r="C40" s="65" t="s">
        <v>123</v>
      </c>
      <c r="D40" s="64" t="s">
        <v>64</v>
      </c>
      <c r="E40" s="66"/>
      <c r="F40" s="67">
        <v>64</v>
      </c>
      <c r="G40" s="67">
        <v>226.84</v>
      </c>
      <c r="H40" s="68">
        <f>G40*F40/1000</f>
        <v>14.517760000000001</v>
      </c>
      <c r="I40" s="14">
        <f>G40*13</f>
        <v>2948.92</v>
      </c>
      <c r="J40" s="25"/>
    </row>
    <row r="41" spans="1:14" ht="47.25" hidden="1" customHeight="1">
      <c r="A41" s="59">
        <v>10</v>
      </c>
      <c r="B41" s="64" t="s">
        <v>77</v>
      </c>
      <c r="C41" s="65" t="s">
        <v>28</v>
      </c>
      <c r="D41" s="64" t="s">
        <v>124</v>
      </c>
      <c r="E41" s="67">
        <v>67.650000000000006</v>
      </c>
      <c r="F41" s="67">
        <f>SUM(E41*35/1000)</f>
        <v>2.36775</v>
      </c>
      <c r="G41" s="67">
        <v>7221.21</v>
      </c>
      <c r="H41" s="68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11</v>
      </c>
      <c r="B42" s="64" t="s">
        <v>97</v>
      </c>
      <c r="C42" s="65" t="s">
        <v>93</v>
      </c>
      <c r="D42" s="64" t="s">
        <v>125</v>
      </c>
      <c r="E42" s="67">
        <v>67.650000000000006</v>
      </c>
      <c r="F42" s="67">
        <f>SUM(E42*20/1000)</f>
        <v>1.353</v>
      </c>
      <c r="G42" s="67">
        <v>533.45000000000005</v>
      </c>
      <c r="H42" s="68">
        <f t="shared" si="6"/>
        <v>0.72175785000000003</v>
      </c>
      <c r="I42" s="14">
        <f>F42/6*G42</f>
        <v>120.29297500000001</v>
      </c>
      <c r="J42" s="25"/>
    </row>
    <row r="43" spans="1:14" ht="15.75" hidden="1" customHeight="1">
      <c r="A43" s="103">
        <v>12</v>
      </c>
      <c r="B43" s="64" t="s">
        <v>65</v>
      </c>
      <c r="C43" s="65" t="s">
        <v>31</v>
      </c>
      <c r="D43" s="64"/>
      <c r="E43" s="66"/>
      <c r="F43" s="67">
        <v>0.8</v>
      </c>
      <c r="G43" s="67">
        <v>992.97</v>
      </c>
      <c r="H43" s="68">
        <f t="shared" si="6"/>
        <v>0.79437600000000008</v>
      </c>
      <c r="I43" s="14">
        <f>F43/6*G43</f>
        <v>132.39600000000002</v>
      </c>
      <c r="J43" s="25"/>
    </row>
    <row r="44" spans="1:14" ht="15.75" hidden="1" customHeight="1">
      <c r="A44" s="162" t="s">
        <v>141</v>
      </c>
      <c r="B44" s="163"/>
      <c r="C44" s="163"/>
      <c r="D44" s="163"/>
      <c r="E44" s="163"/>
      <c r="F44" s="163"/>
      <c r="G44" s="163"/>
      <c r="H44" s="163"/>
      <c r="I44" s="164"/>
      <c r="J44" s="25"/>
      <c r="L44" s="20"/>
      <c r="M44" s="21"/>
      <c r="N44" s="22"/>
    </row>
    <row r="45" spans="1:14" ht="15.75" hidden="1" customHeight="1">
      <c r="A45" s="59">
        <v>17</v>
      </c>
      <c r="B45" s="64" t="s">
        <v>98</v>
      </c>
      <c r="C45" s="65" t="s">
        <v>93</v>
      </c>
      <c r="D45" s="64" t="s">
        <v>40</v>
      </c>
      <c r="E45" s="66">
        <v>1114.75</v>
      </c>
      <c r="F45" s="67">
        <f>SUM(E45*2/1000)</f>
        <v>2.2294999999999998</v>
      </c>
      <c r="G45" s="14">
        <v>1283.46</v>
      </c>
      <c r="H45" s="68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9">
        <v>18</v>
      </c>
      <c r="B46" s="64" t="s">
        <v>34</v>
      </c>
      <c r="C46" s="65" t="s">
        <v>93</v>
      </c>
      <c r="D46" s="64" t="s">
        <v>40</v>
      </c>
      <c r="E46" s="66">
        <v>1563.3</v>
      </c>
      <c r="F46" s="67">
        <f>SUM(E46*2/1000)</f>
        <v>3.1265999999999998</v>
      </c>
      <c r="G46" s="14">
        <v>1711.28</v>
      </c>
      <c r="H46" s="68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hidden="1" customHeight="1">
      <c r="A47" s="59">
        <v>19</v>
      </c>
      <c r="B47" s="64" t="s">
        <v>35</v>
      </c>
      <c r="C47" s="65" t="s">
        <v>93</v>
      </c>
      <c r="D47" s="64" t="s">
        <v>40</v>
      </c>
      <c r="E47" s="66">
        <v>1619.6</v>
      </c>
      <c r="F47" s="67">
        <f>SUM(E47*2/1000)</f>
        <v>3.2391999999999999</v>
      </c>
      <c r="G47" s="14">
        <v>1179.73</v>
      </c>
      <c r="H47" s="68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hidden="1" customHeight="1">
      <c r="A48" s="59">
        <v>20</v>
      </c>
      <c r="B48" s="64" t="s">
        <v>32</v>
      </c>
      <c r="C48" s="65" t="s">
        <v>33</v>
      </c>
      <c r="D48" s="64" t="s">
        <v>40</v>
      </c>
      <c r="E48" s="66">
        <v>85.84</v>
      </c>
      <c r="F48" s="67">
        <f>SUM(E48*2/100)</f>
        <v>1.7168000000000001</v>
      </c>
      <c r="G48" s="14">
        <v>90.61</v>
      </c>
      <c r="H48" s="68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hidden="1" customHeight="1">
      <c r="A49" s="59">
        <v>21</v>
      </c>
      <c r="B49" s="64" t="s">
        <v>54</v>
      </c>
      <c r="C49" s="65" t="s">
        <v>93</v>
      </c>
      <c r="D49" s="64" t="s">
        <v>152</v>
      </c>
      <c r="E49" s="66">
        <v>3216.2</v>
      </c>
      <c r="F49" s="67">
        <f>SUM(E49*5/1000)</f>
        <v>16.081</v>
      </c>
      <c r="G49" s="14">
        <v>1711.28</v>
      </c>
      <c r="H49" s="68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13</v>
      </c>
      <c r="B50" s="64" t="s">
        <v>99</v>
      </c>
      <c r="C50" s="65" t="s">
        <v>93</v>
      </c>
      <c r="D50" s="64" t="s">
        <v>40</v>
      </c>
      <c r="E50" s="66">
        <v>3216.2</v>
      </c>
      <c r="F50" s="67">
        <f>SUM(E50*2/1000)</f>
        <v>6.4323999999999995</v>
      </c>
      <c r="G50" s="14">
        <v>1510.06</v>
      </c>
      <c r="H50" s="68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14</v>
      </c>
      <c r="B51" s="64" t="s">
        <v>100</v>
      </c>
      <c r="C51" s="65" t="s">
        <v>36</v>
      </c>
      <c r="D51" s="64" t="s">
        <v>40</v>
      </c>
      <c r="E51" s="66">
        <v>16</v>
      </c>
      <c r="F51" s="67">
        <f>SUM(E51*2/100)</f>
        <v>0.32</v>
      </c>
      <c r="G51" s="14">
        <v>3850.4</v>
      </c>
      <c r="H51" s="68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15</v>
      </c>
      <c r="B52" s="64" t="s">
        <v>37</v>
      </c>
      <c r="C52" s="65" t="s">
        <v>38</v>
      </c>
      <c r="D52" s="64" t="s">
        <v>40</v>
      </c>
      <c r="E52" s="66">
        <v>1</v>
      </c>
      <c r="F52" s="67">
        <v>0.02</v>
      </c>
      <c r="G52" s="14">
        <v>7033.13</v>
      </c>
      <c r="H52" s="68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hidden="1" customHeight="1">
      <c r="A53" s="59">
        <v>22</v>
      </c>
      <c r="B53" s="64" t="s">
        <v>39</v>
      </c>
      <c r="C53" s="65" t="s">
        <v>101</v>
      </c>
      <c r="D53" s="64" t="s">
        <v>66</v>
      </c>
      <c r="E53" s="66">
        <v>128</v>
      </c>
      <c r="F53" s="67">
        <f>SUM(E53)*3</f>
        <v>384</v>
      </c>
      <c r="G53" s="14">
        <v>81.73</v>
      </c>
      <c r="H53" s="68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2" t="s">
        <v>80</v>
      </c>
      <c r="B54" s="172"/>
      <c r="C54" s="172"/>
      <c r="D54" s="172"/>
      <c r="E54" s="172"/>
      <c r="F54" s="172"/>
      <c r="G54" s="172"/>
      <c r="H54" s="172"/>
      <c r="I54" s="173"/>
      <c r="J54" s="25"/>
      <c r="L54" s="20"/>
      <c r="M54" s="21"/>
      <c r="N54" s="22"/>
    </row>
    <row r="55" spans="1:14" ht="15.75" hidden="1" customHeight="1">
      <c r="A55" s="59"/>
      <c r="B55" s="88" t="s">
        <v>41</v>
      </c>
      <c r="C55" s="65"/>
      <c r="D55" s="64"/>
      <c r="E55" s="66"/>
      <c r="F55" s="67"/>
      <c r="G55" s="67"/>
      <c r="H55" s="68"/>
      <c r="I55" s="14"/>
      <c r="J55" s="25"/>
      <c r="L55" s="20"/>
      <c r="M55" s="21"/>
      <c r="N55" s="22"/>
    </row>
    <row r="56" spans="1:14" ht="31.5" hidden="1" customHeight="1">
      <c r="A56" s="59">
        <v>13</v>
      </c>
      <c r="B56" s="64" t="s">
        <v>126</v>
      </c>
      <c r="C56" s="65" t="s">
        <v>83</v>
      </c>
      <c r="D56" s="64" t="s">
        <v>127</v>
      </c>
      <c r="E56" s="66">
        <v>123.31</v>
      </c>
      <c r="F56" s="67">
        <f>SUM(E56*6/100)</f>
        <v>7.3986000000000001</v>
      </c>
      <c r="G56" s="14">
        <v>2306.62</v>
      </c>
      <c r="H56" s="68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77" t="s">
        <v>128</v>
      </c>
      <c r="C57" s="76" t="s">
        <v>129</v>
      </c>
      <c r="D57" s="77" t="s">
        <v>64</v>
      </c>
      <c r="E57" s="78"/>
      <c r="F57" s="79">
        <v>3</v>
      </c>
      <c r="G57" s="14">
        <v>1501</v>
      </c>
      <c r="H57" s="68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89" t="s">
        <v>42</v>
      </c>
      <c r="C58" s="76"/>
      <c r="D58" s="77"/>
      <c r="E58" s="78"/>
      <c r="F58" s="79"/>
      <c r="G58" s="14"/>
      <c r="H58" s="80"/>
      <c r="I58" s="14"/>
      <c r="J58" s="25"/>
      <c r="L58" s="20"/>
      <c r="M58" s="21"/>
      <c r="N58" s="22"/>
    </row>
    <row r="59" spans="1:14" ht="15.75" hidden="1" customHeight="1">
      <c r="A59" s="60"/>
      <c r="B59" s="77" t="s">
        <v>139</v>
      </c>
      <c r="C59" s="76" t="s">
        <v>50</v>
      </c>
      <c r="D59" s="77" t="s">
        <v>51</v>
      </c>
      <c r="E59" s="78">
        <v>451</v>
      </c>
      <c r="F59" s="79">
        <v>8.9</v>
      </c>
      <c r="G59" s="14">
        <v>987.51</v>
      </c>
      <c r="H59" s="80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89" t="s">
        <v>43</v>
      </c>
      <c r="C60" s="76"/>
      <c r="D60" s="77"/>
      <c r="E60" s="108"/>
      <c r="F60" s="67"/>
      <c r="G60" s="111"/>
      <c r="H60" s="79" t="s">
        <v>138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44</v>
      </c>
      <c r="C61" s="17" t="s">
        <v>101</v>
      </c>
      <c r="D61" s="15" t="s">
        <v>64</v>
      </c>
      <c r="E61" s="109">
        <v>10</v>
      </c>
      <c r="F61" s="67">
        <f>E61</f>
        <v>10</v>
      </c>
      <c r="G61" s="112">
        <v>276.74</v>
      </c>
      <c r="H61" s="63">
        <f t="shared" ref="H61:H69" si="10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45</v>
      </c>
      <c r="C62" s="17" t="s">
        <v>101</v>
      </c>
      <c r="D62" s="15" t="s">
        <v>64</v>
      </c>
      <c r="E62" s="109">
        <v>10</v>
      </c>
      <c r="F62" s="67">
        <f>E62</f>
        <v>10</v>
      </c>
      <c r="G62" s="112">
        <v>94.89</v>
      </c>
      <c r="H62" s="63">
        <f t="shared" si="10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46</v>
      </c>
      <c r="C63" s="17" t="s">
        <v>102</v>
      </c>
      <c r="D63" s="15" t="s">
        <v>51</v>
      </c>
      <c r="E63" s="110">
        <v>13447</v>
      </c>
      <c r="F63" s="67">
        <f>SUM(E63/100)</f>
        <v>134.47</v>
      </c>
      <c r="G63" s="112">
        <v>263.99</v>
      </c>
      <c r="H63" s="63">
        <f t="shared" si="10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47</v>
      </c>
      <c r="C64" s="17" t="s">
        <v>103</v>
      </c>
      <c r="D64" s="15"/>
      <c r="E64" s="110">
        <v>13447</v>
      </c>
      <c r="F64" s="67">
        <f>SUM(E64/1000)</f>
        <v>13.446999999999999</v>
      </c>
      <c r="G64" s="112">
        <v>205.57</v>
      </c>
      <c r="H64" s="63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48</v>
      </c>
      <c r="C65" s="17" t="s">
        <v>72</v>
      </c>
      <c r="D65" s="15" t="s">
        <v>51</v>
      </c>
      <c r="E65" s="110">
        <v>2200</v>
      </c>
      <c r="F65" s="67">
        <f>SUM(E65/100)</f>
        <v>22</v>
      </c>
      <c r="G65" s="112">
        <v>2581.5300000000002</v>
      </c>
      <c r="H65" s="63">
        <f t="shared" si="10"/>
        <v>56.793660000000003</v>
      </c>
      <c r="I65" s="14">
        <f t="shared" si="11"/>
        <v>56793.66</v>
      </c>
    </row>
    <row r="66" spans="1:22" ht="15.75" hidden="1" customHeight="1">
      <c r="A66" s="17">
        <v>26</v>
      </c>
      <c r="B66" s="81" t="s">
        <v>104</v>
      </c>
      <c r="C66" s="17" t="s">
        <v>31</v>
      </c>
      <c r="D66" s="15"/>
      <c r="E66" s="110">
        <v>12.1</v>
      </c>
      <c r="F66" s="67">
        <f>SUM(E66)</f>
        <v>12.1</v>
      </c>
      <c r="G66" s="112">
        <v>47.45</v>
      </c>
      <c r="H66" s="63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1" t="s">
        <v>105</v>
      </c>
      <c r="C67" s="17" t="s">
        <v>31</v>
      </c>
      <c r="D67" s="15"/>
      <c r="E67" s="110">
        <v>12.1</v>
      </c>
      <c r="F67" s="67">
        <f>SUM(E67)</f>
        <v>12.1</v>
      </c>
      <c r="G67" s="112">
        <v>44.27</v>
      </c>
      <c r="H67" s="63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55</v>
      </c>
      <c r="C68" s="17" t="s">
        <v>56</v>
      </c>
      <c r="D68" s="15" t="s">
        <v>51</v>
      </c>
      <c r="E68" s="109">
        <v>4</v>
      </c>
      <c r="F68" s="67">
        <v>4</v>
      </c>
      <c r="G68" s="112">
        <v>62.07</v>
      </c>
      <c r="H68" s="63">
        <f t="shared" si="10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9</v>
      </c>
      <c r="B69" s="15" t="s">
        <v>130</v>
      </c>
      <c r="C69" s="31" t="s">
        <v>131</v>
      </c>
      <c r="D69" s="15"/>
      <c r="E69" s="109">
        <v>3216.2</v>
      </c>
      <c r="F69" s="113">
        <v>38594.400000000001</v>
      </c>
      <c r="G69" s="112">
        <v>2.16</v>
      </c>
      <c r="H69" s="63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6"/>
      <c r="B70" s="99" t="s">
        <v>67</v>
      </c>
      <c r="C70" s="17"/>
      <c r="D70" s="15"/>
      <c r="E70" s="19"/>
      <c r="F70" s="14"/>
      <c r="G70" s="14"/>
      <c r="H70" s="63" t="s">
        <v>138</v>
      </c>
      <c r="I70" s="14"/>
      <c r="J70" s="6"/>
      <c r="K70" s="6"/>
      <c r="L70" s="6"/>
      <c r="M70" s="6"/>
      <c r="N70" s="6"/>
      <c r="O70" s="6"/>
      <c r="P70" s="6"/>
      <c r="Q70" s="6"/>
      <c r="R70" s="152"/>
      <c r="S70" s="152"/>
      <c r="T70" s="152"/>
      <c r="U70" s="152"/>
    </row>
    <row r="71" spans="1:22" ht="15.75" hidden="1" customHeight="1">
      <c r="A71" s="17"/>
      <c r="B71" s="15" t="s">
        <v>132</v>
      </c>
      <c r="C71" s="17" t="s">
        <v>133</v>
      </c>
      <c r="D71" s="15" t="s">
        <v>64</v>
      </c>
      <c r="E71" s="19">
        <v>2</v>
      </c>
      <c r="F71" s="14">
        <f>E71</f>
        <v>2</v>
      </c>
      <c r="G71" s="14">
        <v>976.4</v>
      </c>
      <c r="H71" s="63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108</v>
      </c>
      <c r="C72" s="17" t="s">
        <v>134</v>
      </c>
      <c r="D72" s="15" t="s">
        <v>64</v>
      </c>
      <c r="E72" s="19">
        <v>1</v>
      </c>
      <c r="F72" s="14">
        <v>1</v>
      </c>
      <c r="G72" s="14">
        <v>735</v>
      </c>
      <c r="H72" s="63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68</v>
      </c>
      <c r="C73" s="17" t="s">
        <v>70</v>
      </c>
      <c r="D73" s="15" t="s">
        <v>64</v>
      </c>
      <c r="E73" s="19">
        <v>4</v>
      </c>
      <c r="F73" s="14">
        <f>E73/10</f>
        <v>0.4</v>
      </c>
      <c r="G73" s="14">
        <v>624.16999999999996</v>
      </c>
      <c r="H73" s="63">
        <f t="shared" si="12"/>
        <v>0.249668</v>
      </c>
      <c r="I73" s="14">
        <v>0</v>
      </c>
    </row>
    <row r="74" spans="1:22" ht="15.75" hidden="1" customHeight="1">
      <c r="A74" s="17"/>
      <c r="B74" s="15" t="s">
        <v>69</v>
      </c>
      <c r="C74" s="17" t="s">
        <v>29</v>
      </c>
      <c r="D74" s="15" t="s">
        <v>64</v>
      </c>
      <c r="E74" s="19">
        <v>1</v>
      </c>
      <c r="F74" s="55">
        <v>1</v>
      </c>
      <c r="G74" s="14">
        <v>1061.4100000000001</v>
      </c>
      <c r="H74" s="63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135</v>
      </c>
      <c r="C75" s="17" t="s">
        <v>133</v>
      </c>
      <c r="D75" s="15" t="s">
        <v>64</v>
      </c>
      <c r="E75" s="19">
        <v>1</v>
      </c>
      <c r="F75" s="14">
        <f>E75</f>
        <v>1</v>
      </c>
      <c r="G75" s="14">
        <v>976.1</v>
      </c>
      <c r="H75" s="63">
        <f t="shared" si="12"/>
        <v>0.97609999999999997</v>
      </c>
      <c r="I75" s="14">
        <v>0</v>
      </c>
    </row>
    <row r="76" spans="1:22" ht="15.75" hidden="1" customHeight="1">
      <c r="A76" s="106"/>
      <c r="B76" s="107" t="s">
        <v>71</v>
      </c>
      <c r="C76" s="17"/>
      <c r="D76" s="15"/>
      <c r="E76" s="19"/>
      <c r="F76" s="14"/>
      <c r="G76" s="14" t="s">
        <v>138</v>
      </c>
      <c r="H76" s="63" t="s">
        <v>138</v>
      </c>
      <c r="I76" s="14"/>
    </row>
    <row r="77" spans="1:22" ht="15.75" hidden="1" customHeight="1">
      <c r="A77" s="17"/>
      <c r="B77" s="43" t="s">
        <v>109</v>
      </c>
      <c r="C77" s="17" t="s">
        <v>72</v>
      </c>
      <c r="D77" s="15"/>
      <c r="E77" s="19"/>
      <c r="F77" s="14">
        <v>0.1</v>
      </c>
      <c r="G77" s="14">
        <v>3433.68</v>
      </c>
      <c r="H77" s="63">
        <f t="shared" ref="H77" si="13">SUM(F77*G77/1000)</f>
        <v>0.34336800000000001</v>
      </c>
      <c r="I77" s="14">
        <v>0</v>
      </c>
    </row>
    <row r="78" spans="1:22" ht="15.75" hidden="1" customHeight="1">
      <c r="A78" s="106"/>
      <c r="B78" s="96" t="s">
        <v>106</v>
      </c>
      <c r="C78" s="83"/>
      <c r="D78" s="33"/>
      <c r="E78" s="34"/>
      <c r="F78" s="73"/>
      <c r="G78" s="73"/>
      <c r="H78" s="84">
        <f>SUM(H56:H77)</f>
        <v>219.17093482199999</v>
      </c>
      <c r="I78" s="73"/>
    </row>
    <row r="79" spans="1:22" ht="15.75" hidden="1" customHeight="1">
      <c r="A79" s="17"/>
      <c r="B79" s="64" t="s">
        <v>107</v>
      </c>
      <c r="C79" s="17"/>
      <c r="D79" s="15"/>
      <c r="E79" s="85"/>
      <c r="F79" s="14">
        <v>1</v>
      </c>
      <c r="G79" s="14">
        <v>14133</v>
      </c>
      <c r="H79" s="63">
        <f>G79*F79/1000</f>
        <v>14.132999999999999</v>
      </c>
      <c r="I79" s="14">
        <v>0</v>
      </c>
    </row>
    <row r="80" spans="1:22" ht="15.75" customHeight="1">
      <c r="A80" s="162" t="s">
        <v>148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17">
        <v>10</v>
      </c>
      <c r="B81" s="64" t="s">
        <v>111</v>
      </c>
      <c r="C81" s="17" t="s">
        <v>52</v>
      </c>
      <c r="D81" s="86" t="s">
        <v>53</v>
      </c>
      <c r="E81" s="14">
        <v>3216.2</v>
      </c>
      <c r="F81" s="14">
        <f>SUM(E81*12)</f>
        <v>38594.399999999994</v>
      </c>
      <c r="G81" s="14">
        <v>2.95</v>
      </c>
      <c r="H81" s="63">
        <f>SUM(F81*G81/1000)</f>
        <v>113.85347999999999</v>
      </c>
      <c r="I81" s="14">
        <f>F81/12*G81</f>
        <v>9487.7899999999991</v>
      </c>
    </row>
    <row r="82" spans="1:9" ht="31.5" customHeight="1">
      <c r="A82" s="87">
        <v>11</v>
      </c>
      <c r="B82" s="15" t="s">
        <v>73</v>
      </c>
      <c r="C82" s="17"/>
      <c r="D82" s="86" t="s">
        <v>53</v>
      </c>
      <c r="E82" s="66">
        <v>3216.2</v>
      </c>
      <c r="F82" s="14">
        <f>E82*12</f>
        <v>38594.399999999994</v>
      </c>
      <c r="G82" s="14">
        <v>3.05</v>
      </c>
      <c r="H82" s="63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75</v>
      </c>
      <c r="C83" s="83"/>
      <c r="D83" s="82"/>
      <c r="E83" s="73"/>
      <c r="F83" s="73"/>
      <c r="G83" s="73"/>
      <c r="H83" s="84">
        <f>H82</f>
        <v>117.71291999999997</v>
      </c>
      <c r="I83" s="73">
        <f>I82+I81+I69+I33+I31+I30+I27+I26+I18+I17+I16</f>
        <v>49916.970814444438</v>
      </c>
    </row>
    <row r="84" spans="1:9" ht="15.75" customHeight="1">
      <c r="A84" s="168" t="s">
        <v>58</v>
      </c>
      <c r="B84" s="169"/>
      <c r="C84" s="169"/>
      <c r="D84" s="169"/>
      <c r="E84" s="169"/>
      <c r="F84" s="169"/>
      <c r="G84" s="169"/>
      <c r="H84" s="169"/>
      <c r="I84" s="170"/>
    </row>
    <row r="85" spans="1:9" ht="15.75" customHeight="1">
      <c r="A85" s="116">
        <v>12</v>
      </c>
      <c r="B85" s="133" t="s">
        <v>167</v>
      </c>
      <c r="C85" s="134" t="s">
        <v>168</v>
      </c>
      <c r="D85" s="43"/>
      <c r="E85" s="14"/>
      <c r="F85" s="14">
        <v>2</v>
      </c>
      <c r="G85" s="141">
        <v>1.2</v>
      </c>
      <c r="H85" s="63">
        <f t="shared" ref="H85" si="14">G85*F85/1000</f>
        <v>2.3999999999999998E-3</v>
      </c>
      <c r="I85" s="115">
        <f>G85*100</f>
        <v>120</v>
      </c>
    </row>
    <row r="86" spans="1:9" ht="15.75" customHeight="1">
      <c r="A86" s="116">
        <v>13</v>
      </c>
      <c r="B86" s="123" t="s">
        <v>76</v>
      </c>
      <c r="C86" s="124" t="s">
        <v>101</v>
      </c>
      <c r="D86" s="125"/>
      <c r="E86" s="18"/>
      <c r="F86" s="126">
        <v>1</v>
      </c>
      <c r="G86" s="126">
        <v>197.48</v>
      </c>
      <c r="H86" s="127">
        <f t="shared" ref="H86" si="15">G86*F86/1000</f>
        <v>0.19747999999999999</v>
      </c>
      <c r="I86" s="115">
        <f>G86*1</f>
        <v>197.48</v>
      </c>
    </row>
    <row r="87" spans="1:9" ht="15.75" customHeight="1">
      <c r="A87" s="116">
        <v>14</v>
      </c>
      <c r="B87" s="46" t="s">
        <v>154</v>
      </c>
      <c r="C87" s="47" t="s">
        <v>101</v>
      </c>
      <c r="D87" s="125"/>
      <c r="E87" s="18"/>
      <c r="F87" s="126"/>
      <c r="G87" s="126">
        <v>86.69</v>
      </c>
      <c r="H87" s="127"/>
      <c r="I87" s="115">
        <f>G87*1</f>
        <v>86.69</v>
      </c>
    </row>
    <row r="88" spans="1:9" ht="32.25" customHeight="1">
      <c r="A88" s="116">
        <v>15</v>
      </c>
      <c r="B88" s="123" t="s">
        <v>232</v>
      </c>
      <c r="C88" s="124" t="s">
        <v>162</v>
      </c>
      <c r="D88" s="147" t="s">
        <v>233</v>
      </c>
      <c r="E88" s="18"/>
      <c r="F88" s="126"/>
      <c r="G88" s="126">
        <v>10226.44</v>
      </c>
      <c r="H88" s="127"/>
      <c r="I88" s="115">
        <f>G88*0.04</f>
        <v>409.05760000000004</v>
      </c>
    </row>
    <row r="89" spans="1:9" ht="15.75" customHeight="1">
      <c r="A89" s="116">
        <v>16</v>
      </c>
      <c r="B89" s="123" t="s">
        <v>204</v>
      </c>
      <c r="C89" s="124" t="s">
        <v>101</v>
      </c>
      <c r="D89" s="125"/>
      <c r="E89" s="18"/>
      <c r="F89" s="126"/>
      <c r="G89" s="126">
        <v>151.31</v>
      </c>
      <c r="H89" s="127"/>
      <c r="I89" s="115">
        <f>G89*1</f>
        <v>151.31</v>
      </c>
    </row>
    <row r="90" spans="1:9" ht="15.75" customHeight="1">
      <c r="A90" s="116">
        <v>17</v>
      </c>
      <c r="B90" s="123" t="s">
        <v>205</v>
      </c>
      <c r="C90" s="124" t="s">
        <v>101</v>
      </c>
      <c r="D90" s="125"/>
      <c r="E90" s="18"/>
      <c r="F90" s="126"/>
      <c r="G90" s="126">
        <v>169.24</v>
      </c>
      <c r="H90" s="127"/>
      <c r="I90" s="115">
        <f>G90*1</f>
        <v>169.24</v>
      </c>
    </row>
    <row r="91" spans="1:9" ht="30" customHeight="1">
      <c r="A91" s="116">
        <v>18</v>
      </c>
      <c r="B91" s="123" t="s">
        <v>202</v>
      </c>
      <c r="C91" s="124" t="s">
        <v>158</v>
      </c>
      <c r="D91" s="125"/>
      <c r="E91" s="18"/>
      <c r="F91" s="126"/>
      <c r="G91" s="126">
        <v>1272</v>
      </c>
      <c r="H91" s="127"/>
      <c r="I91" s="115">
        <f>G91*1</f>
        <v>1272</v>
      </c>
    </row>
    <row r="92" spans="1:9" ht="18" customHeight="1">
      <c r="A92" s="116">
        <v>19</v>
      </c>
      <c r="B92" s="123" t="s">
        <v>206</v>
      </c>
      <c r="C92" s="124" t="s">
        <v>214</v>
      </c>
      <c r="D92" s="125"/>
      <c r="E92" s="18"/>
      <c r="F92" s="126"/>
      <c r="G92" s="126">
        <v>24829.08</v>
      </c>
      <c r="H92" s="127"/>
      <c r="I92" s="115">
        <f>G92*0.01</f>
        <v>248.29080000000002</v>
      </c>
    </row>
    <row r="93" spans="1:9" ht="15.75" customHeight="1">
      <c r="A93" s="31"/>
      <c r="B93" s="41" t="s">
        <v>49</v>
      </c>
      <c r="C93" s="37"/>
      <c r="D93" s="44"/>
      <c r="E93" s="37">
        <v>1</v>
      </c>
      <c r="F93" s="37"/>
      <c r="G93" s="37"/>
      <c r="H93" s="37"/>
      <c r="I93" s="34">
        <f>SUM(I85:I92)</f>
        <v>2654.0684000000006</v>
      </c>
    </row>
    <row r="94" spans="1:9" ht="15.75" customHeight="1">
      <c r="A94" s="31"/>
      <c r="B94" s="43" t="s">
        <v>74</v>
      </c>
      <c r="C94" s="16"/>
      <c r="D94" s="16"/>
      <c r="E94" s="38"/>
      <c r="F94" s="38"/>
      <c r="G94" s="39"/>
      <c r="H94" s="39"/>
      <c r="I94" s="18">
        <v>0</v>
      </c>
    </row>
    <row r="95" spans="1:9" ht="15.75" customHeight="1">
      <c r="A95" s="45"/>
      <c r="B95" s="42" t="s">
        <v>153</v>
      </c>
      <c r="C95" s="35"/>
      <c r="D95" s="35"/>
      <c r="E95" s="35"/>
      <c r="F95" s="35"/>
      <c r="G95" s="35"/>
      <c r="H95" s="35"/>
      <c r="I95" s="40">
        <f>I83+I93</f>
        <v>52571.039214444441</v>
      </c>
    </row>
    <row r="96" spans="1:9" ht="15.75" customHeight="1">
      <c r="A96" s="153" t="s">
        <v>234</v>
      </c>
      <c r="B96" s="153"/>
      <c r="C96" s="153"/>
      <c r="D96" s="153"/>
      <c r="E96" s="153"/>
      <c r="F96" s="153"/>
      <c r="G96" s="153"/>
      <c r="H96" s="153"/>
      <c r="I96" s="153"/>
    </row>
    <row r="97" spans="1:9" ht="15.75" customHeight="1">
      <c r="A97" s="54"/>
      <c r="B97" s="178" t="s">
        <v>235</v>
      </c>
      <c r="C97" s="178"/>
      <c r="D97" s="178"/>
      <c r="E97" s="178"/>
      <c r="F97" s="178"/>
      <c r="G97" s="178"/>
      <c r="H97" s="58"/>
      <c r="I97" s="4"/>
    </row>
    <row r="98" spans="1:9" ht="15.75" customHeight="1">
      <c r="A98" s="97"/>
      <c r="B98" s="175" t="s">
        <v>6</v>
      </c>
      <c r="C98" s="175"/>
      <c r="D98" s="175"/>
      <c r="E98" s="175"/>
      <c r="F98" s="175"/>
      <c r="G98" s="175"/>
      <c r="H98" s="26"/>
      <c r="I98" s="6"/>
    </row>
    <row r="99" spans="1:9" ht="15.75" customHeight="1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5.75" customHeight="1">
      <c r="A100" s="179" t="s">
        <v>7</v>
      </c>
      <c r="B100" s="179"/>
      <c r="C100" s="179"/>
      <c r="D100" s="179"/>
      <c r="E100" s="179"/>
      <c r="F100" s="179"/>
      <c r="G100" s="179"/>
      <c r="H100" s="179"/>
      <c r="I100" s="179"/>
    </row>
    <row r="101" spans="1:9" ht="15.75" customHeight="1">
      <c r="A101" s="179" t="s">
        <v>8</v>
      </c>
      <c r="B101" s="179"/>
      <c r="C101" s="179"/>
      <c r="D101" s="179"/>
      <c r="E101" s="179"/>
      <c r="F101" s="179"/>
      <c r="G101" s="179"/>
      <c r="H101" s="179"/>
      <c r="I101" s="179"/>
    </row>
    <row r="102" spans="1:9" ht="15.75" customHeight="1">
      <c r="A102" s="180" t="s">
        <v>59</v>
      </c>
      <c r="B102" s="180"/>
      <c r="C102" s="180"/>
      <c r="D102" s="180"/>
      <c r="E102" s="180"/>
      <c r="F102" s="180"/>
      <c r="G102" s="180"/>
      <c r="H102" s="180"/>
      <c r="I102" s="180"/>
    </row>
    <row r="103" spans="1:9" ht="15.75" customHeight="1">
      <c r="A103" s="12"/>
    </row>
    <row r="104" spans="1:9" ht="15.75" customHeight="1">
      <c r="A104" s="160" t="s">
        <v>9</v>
      </c>
      <c r="B104" s="160"/>
      <c r="C104" s="160"/>
      <c r="D104" s="160"/>
      <c r="E104" s="160"/>
      <c r="F104" s="160"/>
      <c r="G104" s="160"/>
      <c r="H104" s="160"/>
      <c r="I104" s="160"/>
    </row>
    <row r="105" spans="1:9" ht="15.75" customHeight="1">
      <c r="A105" s="5"/>
    </row>
    <row r="106" spans="1:9" ht="15.75" customHeight="1">
      <c r="B106" s="100" t="s">
        <v>10</v>
      </c>
      <c r="C106" s="174" t="s">
        <v>81</v>
      </c>
      <c r="D106" s="174"/>
      <c r="E106" s="174"/>
      <c r="F106" s="56"/>
      <c r="I106" s="102"/>
    </row>
    <row r="107" spans="1:9" ht="15.75" customHeight="1">
      <c r="A107" s="97"/>
      <c r="C107" s="175" t="s">
        <v>11</v>
      </c>
      <c r="D107" s="175"/>
      <c r="E107" s="175"/>
      <c r="F107" s="26"/>
      <c r="I107" s="101" t="s">
        <v>12</v>
      </c>
    </row>
    <row r="108" spans="1:9" ht="15.75" customHeight="1">
      <c r="A108" s="27"/>
      <c r="C108" s="13"/>
      <c r="D108" s="13"/>
      <c r="G108" s="13"/>
      <c r="H108" s="13"/>
    </row>
    <row r="109" spans="1:9" ht="15.75" customHeight="1">
      <c r="B109" s="100" t="s">
        <v>13</v>
      </c>
      <c r="C109" s="176"/>
      <c r="D109" s="176"/>
      <c r="E109" s="176"/>
      <c r="F109" s="57"/>
      <c r="I109" s="102"/>
    </row>
    <row r="110" spans="1:9" ht="15.75" customHeight="1">
      <c r="A110" s="97"/>
      <c r="C110" s="152" t="s">
        <v>11</v>
      </c>
      <c r="D110" s="152"/>
      <c r="E110" s="152"/>
      <c r="F110" s="97"/>
      <c r="I110" s="101" t="s">
        <v>12</v>
      </c>
    </row>
    <row r="111" spans="1:9" ht="15.75" customHeight="1">
      <c r="A111" s="5" t="s">
        <v>14</v>
      </c>
    </row>
    <row r="112" spans="1:9" ht="15" customHeight="1">
      <c r="A112" s="177" t="s">
        <v>15</v>
      </c>
      <c r="B112" s="177"/>
      <c r="C112" s="177"/>
      <c r="D112" s="177"/>
      <c r="E112" s="177"/>
      <c r="F112" s="177"/>
      <c r="G112" s="177"/>
      <c r="H112" s="177"/>
      <c r="I112" s="177"/>
    </row>
    <row r="113" spans="1:9" ht="45" customHeight="1">
      <c r="A113" s="171" t="s">
        <v>16</v>
      </c>
      <c r="B113" s="171"/>
      <c r="C113" s="171"/>
      <c r="D113" s="171"/>
      <c r="E113" s="171"/>
      <c r="F113" s="171"/>
      <c r="G113" s="171"/>
      <c r="H113" s="171"/>
      <c r="I113" s="171"/>
    </row>
    <row r="114" spans="1:9" ht="30" customHeight="1">
      <c r="A114" s="171" t="s">
        <v>17</v>
      </c>
      <c r="B114" s="171"/>
      <c r="C114" s="171"/>
      <c r="D114" s="171"/>
      <c r="E114" s="171"/>
      <c r="F114" s="171"/>
      <c r="G114" s="171"/>
      <c r="H114" s="171"/>
      <c r="I114" s="171"/>
    </row>
    <row r="115" spans="1:9" ht="30" customHeight="1">
      <c r="A115" s="171" t="s">
        <v>21</v>
      </c>
      <c r="B115" s="171"/>
      <c r="C115" s="171"/>
      <c r="D115" s="171"/>
      <c r="E115" s="171"/>
      <c r="F115" s="171"/>
      <c r="G115" s="171"/>
      <c r="H115" s="171"/>
      <c r="I115" s="171"/>
    </row>
    <row r="116" spans="1:9" ht="15" customHeight="1">
      <c r="A116" s="171" t="s">
        <v>20</v>
      </c>
      <c r="B116" s="171"/>
      <c r="C116" s="171"/>
      <c r="D116" s="171"/>
      <c r="E116" s="171"/>
      <c r="F116" s="171"/>
      <c r="G116" s="171"/>
      <c r="H116" s="171"/>
      <c r="I116" s="171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10:E110"/>
    <mergeCell ref="A84:I84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0:I80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7"/>
  <sheetViews>
    <sheetView topLeftCell="A47" workbookViewId="0">
      <selection activeCell="B85" sqref="B85:I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230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54" t="s">
        <v>159</v>
      </c>
      <c r="B3" s="154"/>
      <c r="C3" s="154"/>
      <c r="D3" s="154"/>
      <c r="E3" s="154"/>
      <c r="F3" s="154"/>
      <c r="G3" s="154"/>
      <c r="H3" s="154"/>
      <c r="I3" s="154"/>
      <c r="J3" s="2"/>
      <c r="K3" s="2"/>
      <c r="L3" s="2"/>
      <c r="M3" s="2"/>
    </row>
    <row r="4" spans="1:13" ht="33.75" customHeight="1">
      <c r="A4" s="155" t="s">
        <v>112</v>
      </c>
      <c r="B4" s="155"/>
      <c r="C4" s="155"/>
      <c r="D4" s="155"/>
      <c r="E4" s="155"/>
      <c r="F4" s="155"/>
      <c r="G4" s="155"/>
      <c r="H4" s="155"/>
      <c r="I4" s="155"/>
      <c r="J4" s="3"/>
      <c r="K4" s="3"/>
      <c r="L4" s="3"/>
      <c r="M4" s="3"/>
    </row>
    <row r="5" spans="1:13" ht="15.75" customHeight="1">
      <c r="A5" s="154" t="s">
        <v>236</v>
      </c>
      <c r="B5" s="156"/>
      <c r="C5" s="156"/>
      <c r="D5" s="156"/>
      <c r="E5" s="156"/>
      <c r="F5" s="156"/>
      <c r="G5" s="156"/>
      <c r="H5" s="156"/>
      <c r="I5" s="156"/>
      <c r="J5" s="4"/>
      <c r="K5" s="4"/>
      <c r="L5" s="4"/>
    </row>
    <row r="6" spans="1:13" ht="15.75" customHeight="1">
      <c r="A6" s="3"/>
      <c r="B6" s="98"/>
      <c r="C6" s="98"/>
      <c r="D6" s="98"/>
      <c r="E6" s="98"/>
      <c r="F6" s="98"/>
      <c r="G6" s="98"/>
      <c r="H6" s="98"/>
      <c r="I6" s="32">
        <v>43373</v>
      </c>
    </row>
    <row r="7" spans="1:13" ht="15.75">
      <c r="B7" s="100"/>
      <c r="C7" s="100"/>
      <c r="D7" s="100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57" t="s">
        <v>213</v>
      </c>
      <c r="B8" s="157"/>
      <c r="C8" s="157"/>
      <c r="D8" s="157"/>
      <c r="E8" s="157"/>
      <c r="F8" s="157"/>
      <c r="G8" s="157"/>
      <c r="H8" s="157"/>
      <c r="I8" s="157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58" t="s">
        <v>166</v>
      </c>
      <c r="B10" s="158"/>
      <c r="C10" s="158"/>
      <c r="D10" s="158"/>
      <c r="E10" s="158"/>
      <c r="F10" s="158"/>
      <c r="G10" s="158"/>
      <c r="H10" s="158"/>
      <c r="I10" s="158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59" t="s">
        <v>57</v>
      </c>
      <c r="B14" s="159"/>
      <c r="C14" s="159"/>
      <c r="D14" s="159"/>
      <c r="E14" s="159"/>
      <c r="F14" s="159"/>
      <c r="G14" s="159"/>
      <c r="H14" s="159"/>
      <c r="I14" s="159"/>
    </row>
    <row r="15" spans="1:13">
      <c r="A15" s="161" t="s">
        <v>4</v>
      </c>
      <c r="B15" s="161"/>
      <c r="C15" s="161"/>
      <c r="D15" s="161"/>
      <c r="E15" s="161"/>
      <c r="F15" s="161"/>
      <c r="G15" s="161"/>
      <c r="H15" s="161"/>
      <c r="I15" s="161"/>
      <c r="J15" s="9"/>
      <c r="K15" s="9"/>
      <c r="L15" s="9"/>
      <c r="M15" s="9"/>
    </row>
    <row r="16" spans="1:13" ht="15.75" customHeight="1">
      <c r="A16" s="59">
        <v>1</v>
      </c>
      <c r="B16" s="64" t="s">
        <v>79</v>
      </c>
      <c r="C16" s="65" t="s">
        <v>83</v>
      </c>
      <c r="D16" s="64" t="s">
        <v>115</v>
      </c>
      <c r="E16" s="66">
        <v>54</v>
      </c>
      <c r="F16" s="67">
        <f>SUM(E16*156/100)</f>
        <v>84.24</v>
      </c>
      <c r="G16" s="67">
        <v>218.21</v>
      </c>
      <c r="H16" s="68">
        <f t="shared" ref="H16:H27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9">
        <v>2</v>
      </c>
      <c r="B17" s="64" t="s">
        <v>113</v>
      </c>
      <c r="C17" s="65" t="s">
        <v>83</v>
      </c>
      <c r="D17" s="64" t="s">
        <v>116</v>
      </c>
      <c r="E17" s="66">
        <v>216</v>
      </c>
      <c r="F17" s="67">
        <f>SUM(E17*104/100)</f>
        <v>224.64</v>
      </c>
      <c r="G17" s="67">
        <v>218.21</v>
      </c>
      <c r="H17" s="68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9">
        <v>3</v>
      </c>
      <c r="B18" s="64" t="s">
        <v>114</v>
      </c>
      <c r="C18" s="65" t="s">
        <v>83</v>
      </c>
      <c r="D18" s="64" t="s">
        <v>117</v>
      </c>
      <c r="E18" s="66">
        <f>SUM(E16+E17)</f>
        <v>270</v>
      </c>
      <c r="F18" s="67">
        <f>SUM(E18*24/100)</f>
        <v>64.8</v>
      </c>
      <c r="G18" s="67">
        <v>627.77</v>
      </c>
      <c r="H18" s="68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9">
        <v>4</v>
      </c>
      <c r="B19" s="64" t="s">
        <v>84</v>
      </c>
      <c r="C19" s="65" t="s">
        <v>85</v>
      </c>
      <c r="D19" s="64" t="s">
        <v>86</v>
      </c>
      <c r="E19" s="66">
        <v>40</v>
      </c>
      <c r="F19" s="67">
        <f>SUM(E19/10)</f>
        <v>4</v>
      </c>
      <c r="G19" s="67">
        <v>211.74</v>
      </c>
      <c r="H19" s="68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customHeight="1">
      <c r="A20" s="59">
        <v>4</v>
      </c>
      <c r="B20" s="64" t="s">
        <v>87</v>
      </c>
      <c r="C20" s="65" t="s">
        <v>83</v>
      </c>
      <c r="D20" s="64" t="s">
        <v>40</v>
      </c>
      <c r="E20" s="66">
        <v>10.5</v>
      </c>
      <c r="F20" s="67">
        <f>SUM(E20*2/100)</f>
        <v>0.21</v>
      </c>
      <c r="G20" s="67">
        <v>271.12</v>
      </c>
      <c r="H20" s="68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customHeight="1">
      <c r="A21" s="59">
        <v>5</v>
      </c>
      <c r="B21" s="64" t="s">
        <v>88</v>
      </c>
      <c r="C21" s="65" t="s">
        <v>83</v>
      </c>
      <c r="D21" s="64" t="s">
        <v>40</v>
      </c>
      <c r="E21" s="66">
        <v>2.7</v>
      </c>
      <c r="F21" s="67">
        <f>SUM(E21*2/100)</f>
        <v>5.4000000000000006E-2</v>
      </c>
      <c r="G21" s="67">
        <v>268.92</v>
      </c>
      <c r="H21" s="68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9">
        <v>7</v>
      </c>
      <c r="B22" s="64" t="s">
        <v>89</v>
      </c>
      <c r="C22" s="65" t="s">
        <v>50</v>
      </c>
      <c r="D22" s="64" t="s">
        <v>86</v>
      </c>
      <c r="E22" s="66">
        <v>357</v>
      </c>
      <c r="F22" s="67">
        <f t="shared" ref="F22:F25" si="2">SUM(E22/100)</f>
        <v>3.57</v>
      </c>
      <c r="G22" s="67">
        <v>335.05</v>
      </c>
      <c r="H22" s="68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9">
        <v>8</v>
      </c>
      <c r="B23" s="64" t="s">
        <v>90</v>
      </c>
      <c r="C23" s="65" t="s">
        <v>50</v>
      </c>
      <c r="D23" s="64" t="s">
        <v>86</v>
      </c>
      <c r="E23" s="69">
        <v>38.64</v>
      </c>
      <c r="F23" s="67">
        <f t="shared" si="2"/>
        <v>0.38640000000000002</v>
      </c>
      <c r="G23" s="67">
        <v>55.1</v>
      </c>
      <c r="H23" s="68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9">
        <v>9</v>
      </c>
      <c r="B24" s="64" t="s">
        <v>91</v>
      </c>
      <c r="C24" s="65" t="s">
        <v>50</v>
      </c>
      <c r="D24" s="70" t="s">
        <v>86</v>
      </c>
      <c r="E24" s="19">
        <v>15</v>
      </c>
      <c r="F24" s="71">
        <f t="shared" si="2"/>
        <v>0.15</v>
      </c>
      <c r="G24" s="67">
        <v>484.94</v>
      </c>
      <c r="H24" s="68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9">
        <v>10</v>
      </c>
      <c r="B25" s="64" t="s">
        <v>118</v>
      </c>
      <c r="C25" s="65" t="s">
        <v>50</v>
      </c>
      <c r="D25" s="64" t="s">
        <v>86</v>
      </c>
      <c r="E25" s="72">
        <v>6.38</v>
      </c>
      <c r="F25" s="67">
        <f t="shared" si="2"/>
        <v>6.3799999999999996E-2</v>
      </c>
      <c r="G25" s="67">
        <v>648.04999999999995</v>
      </c>
      <c r="H25" s="68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9">
        <v>6</v>
      </c>
      <c r="B26" s="64" t="s">
        <v>62</v>
      </c>
      <c r="C26" s="65" t="s">
        <v>31</v>
      </c>
      <c r="D26" s="64"/>
      <c r="E26" s="66">
        <v>0.1</v>
      </c>
      <c r="F26" s="67">
        <f>SUM(E26*365)</f>
        <v>36.5</v>
      </c>
      <c r="G26" s="67">
        <v>182.96</v>
      </c>
      <c r="H26" s="68">
        <f t="shared" si="0"/>
        <v>6.6780400000000002</v>
      </c>
      <c r="I26" s="14">
        <f>F26/12*G26</f>
        <v>556.50333333333333</v>
      </c>
      <c r="J26" s="24"/>
      <c r="K26" s="9"/>
      <c r="L26" s="9"/>
      <c r="M26" s="9"/>
    </row>
    <row r="27" spans="1:13" ht="15.75" customHeight="1">
      <c r="A27" s="59">
        <v>7</v>
      </c>
      <c r="B27" s="75" t="s">
        <v>23</v>
      </c>
      <c r="C27" s="65" t="s">
        <v>24</v>
      </c>
      <c r="D27" s="64"/>
      <c r="E27" s="66">
        <v>3216.2</v>
      </c>
      <c r="F27" s="67">
        <f>SUM(E27*12)</f>
        <v>38594.399999999994</v>
      </c>
      <c r="G27" s="67">
        <v>4.01</v>
      </c>
      <c r="H27" s="68">
        <f t="shared" si="0"/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5" t="s">
        <v>150</v>
      </c>
      <c r="B28" s="166"/>
      <c r="C28" s="166"/>
      <c r="D28" s="166"/>
      <c r="E28" s="166"/>
      <c r="F28" s="166"/>
      <c r="G28" s="166"/>
      <c r="H28" s="166"/>
      <c r="I28" s="167"/>
      <c r="J28" s="24"/>
      <c r="K28" s="9"/>
      <c r="L28" s="9"/>
      <c r="M28" s="9"/>
    </row>
    <row r="29" spans="1:13" ht="15.75" customHeight="1">
      <c r="A29" s="104"/>
      <c r="B29" s="99" t="s">
        <v>27</v>
      </c>
      <c r="C29" s="105"/>
      <c r="D29" s="105"/>
      <c r="E29" s="105"/>
      <c r="F29" s="105"/>
      <c r="G29" s="105"/>
      <c r="H29" s="105"/>
      <c r="I29" s="105"/>
      <c r="J29" s="24"/>
      <c r="K29" s="9"/>
      <c r="L29" s="9"/>
      <c r="M29" s="9"/>
    </row>
    <row r="30" spans="1:13" ht="15.75" customHeight="1">
      <c r="A30" s="103">
        <v>8</v>
      </c>
      <c r="B30" s="64" t="s">
        <v>92</v>
      </c>
      <c r="C30" s="65" t="s">
        <v>93</v>
      </c>
      <c r="D30" s="64" t="s">
        <v>119</v>
      </c>
      <c r="E30" s="67">
        <v>191.65</v>
      </c>
      <c r="F30" s="67">
        <f>SUM(E30*52/1000)</f>
        <v>9.9658000000000015</v>
      </c>
      <c r="G30" s="67">
        <v>193.97</v>
      </c>
      <c r="H30" s="68">
        <f t="shared" ref="H30:H35" si="4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9">
        <v>9</v>
      </c>
      <c r="B31" s="64" t="s">
        <v>151</v>
      </c>
      <c r="C31" s="65" t="s">
        <v>93</v>
      </c>
      <c r="D31" s="64" t="s">
        <v>120</v>
      </c>
      <c r="E31" s="67">
        <v>67.650000000000006</v>
      </c>
      <c r="F31" s="67">
        <f>SUM(E31*78/1000)</f>
        <v>5.2767000000000008</v>
      </c>
      <c r="G31" s="67">
        <v>321.82</v>
      </c>
      <c r="H31" s="68">
        <f t="shared" si="4"/>
        <v>1.6981475940000001</v>
      </c>
      <c r="I31" s="14">
        <f t="shared" ref="I31:I33" si="5">F31/6*G31</f>
        <v>283.02459900000002</v>
      </c>
      <c r="J31" s="24"/>
      <c r="K31" s="9"/>
      <c r="L31" s="9"/>
      <c r="M31" s="9"/>
    </row>
    <row r="32" spans="1:13" ht="15.75" hidden="1" customHeight="1">
      <c r="A32" s="59">
        <v>15</v>
      </c>
      <c r="B32" s="64" t="s">
        <v>26</v>
      </c>
      <c r="C32" s="65" t="s">
        <v>93</v>
      </c>
      <c r="D32" s="64" t="s">
        <v>51</v>
      </c>
      <c r="E32" s="67">
        <v>191.65</v>
      </c>
      <c r="F32" s="67">
        <f>SUM(E32/1000)</f>
        <v>0.19165000000000001</v>
      </c>
      <c r="G32" s="67">
        <v>3758.28</v>
      </c>
      <c r="H32" s="68">
        <f t="shared" si="4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customHeight="1">
      <c r="A33" s="59">
        <v>10</v>
      </c>
      <c r="B33" s="64" t="s">
        <v>94</v>
      </c>
      <c r="C33" s="65" t="s">
        <v>29</v>
      </c>
      <c r="D33" s="64" t="s">
        <v>61</v>
      </c>
      <c r="E33" s="74">
        <f>1/3</f>
        <v>0.33333333333333331</v>
      </c>
      <c r="F33" s="67">
        <f>155/3</f>
        <v>51.666666666666664</v>
      </c>
      <c r="G33" s="67">
        <v>70.540000000000006</v>
      </c>
      <c r="H33" s="68">
        <f t="shared" si="4"/>
        <v>3.6445666666666665</v>
      </c>
      <c r="I33" s="14">
        <f t="shared" si="5"/>
        <v>607.42777777777781</v>
      </c>
      <c r="J33" s="24"/>
      <c r="K33" s="9"/>
      <c r="L33" s="9"/>
      <c r="M33" s="9"/>
    </row>
    <row r="34" spans="1:14" ht="15.75" hidden="1" customHeight="1">
      <c r="A34" s="59"/>
      <c r="B34" s="64" t="s">
        <v>63</v>
      </c>
      <c r="C34" s="65" t="s">
        <v>31</v>
      </c>
      <c r="D34" s="64" t="s">
        <v>64</v>
      </c>
      <c r="E34" s="66"/>
      <c r="F34" s="67">
        <v>3</v>
      </c>
      <c r="G34" s="67">
        <v>238.07</v>
      </c>
      <c r="H34" s="68">
        <f t="shared" si="4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60"/>
      <c r="B35" s="64" t="s">
        <v>137</v>
      </c>
      <c r="C35" s="65" t="s">
        <v>30</v>
      </c>
      <c r="D35" s="64" t="s">
        <v>64</v>
      </c>
      <c r="E35" s="66"/>
      <c r="F35" s="67">
        <v>2</v>
      </c>
      <c r="G35" s="67">
        <v>1413.96</v>
      </c>
      <c r="H35" s="68">
        <f t="shared" si="4"/>
        <v>2.8279200000000002</v>
      </c>
      <c r="I35" s="14">
        <v>0</v>
      </c>
      <c r="J35" s="24"/>
      <c r="K35" s="9"/>
      <c r="L35" s="9"/>
      <c r="M35" s="9"/>
    </row>
    <row r="36" spans="1:14" ht="15.75" hidden="1" customHeight="1">
      <c r="A36" s="104"/>
      <c r="B36" s="99" t="s">
        <v>5</v>
      </c>
      <c r="C36" s="105"/>
      <c r="D36" s="105"/>
      <c r="E36" s="105"/>
      <c r="F36" s="105"/>
      <c r="G36" s="105"/>
      <c r="H36" s="105"/>
      <c r="I36" s="105"/>
      <c r="J36" s="25"/>
    </row>
    <row r="37" spans="1:14" ht="15.75" hidden="1" customHeight="1">
      <c r="A37" s="103">
        <v>6</v>
      </c>
      <c r="B37" s="64" t="s">
        <v>25</v>
      </c>
      <c r="C37" s="65" t="s">
        <v>30</v>
      </c>
      <c r="D37" s="64"/>
      <c r="E37" s="66"/>
      <c r="F37" s="67">
        <v>3</v>
      </c>
      <c r="G37" s="67">
        <v>1900.37</v>
      </c>
      <c r="H37" s="68">
        <f t="shared" ref="H37:H43" si="6">SUM(F37*G37/1000)</f>
        <v>5.7011099999999999</v>
      </c>
      <c r="I37" s="14">
        <f>F37/6*G37</f>
        <v>950.18499999999995</v>
      </c>
      <c r="J37" s="25"/>
    </row>
    <row r="38" spans="1:14" ht="15.75" hidden="1" customHeight="1">
      <c r="A38" s="59">
        <v>7</v>
      </c>
      <c r="B38" s="64" t="s">
        <v>82</v>
      </c>
      <c r="C38" s="65" t="s">
        <v>28</v>
      </c>
      <c r="D38" s="64" t="s">
        <v>95</v>
      </c>
      <c r="E38" s="66">
        <v>67.650000000000006</v>
      </c>
      <c r="F38" s="67">
        <f>E38*30/1000</f>
        <v>2.0295000000000001</v>
      </c>
      <c r="G38" s="67">
        <v>2616.4899999999998</v>
      </c>
      <c r="H38" s="68">
        <f>G38*F38/1000</f>
        <v>5.3101664549999992</v>
      </c>
      <c r="I38" s="14">
        <f>F38/6*G38</f>
        <v>885.02774249999993</v>
      </c>
      <c r="J38" s="25"/>
    </row>
    <row r="39" spans="1:14" ht="15.75" hidden="1" customHeight="1">
      <c r="A39" s="59">
        <v>8</v>
      </c>
      <c r="B39" s="64" t="s">
        <v>121</v>
      </c>
      <c r="C39" s="65" t="s">
        <v>28</v>
      </c>
      <c r="D39" s="64" t="s">
        <v>96</v>
      </c>
      <c r="E39" s="66">
        <v>67.650000000000006</v>
      </c>
      <c r="F39" s="67">
        <f>E39*155/1000</f>
        <v>10.485749999999999</v>
      </c>
      <c r="G39" s="67">
        <v>436.45</v>
      </c>
      <c r="H39" s="68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3">
        <v>9</v>
      </c>
      <c r="B40" s="64" t="s">
        <v>122</v>
      </c>
      <c r="C40" s="65" t="s">
        <v>123</v>
      </c>
      <c r="D40" s="64" t="s">
        <v>64</v>
      </c>
      <c r="E40" s="66"/>
      <c r="F40" s="67">
        <v>64</v>
      </c>
      <c r="G40" s="67">
        <v>226.84</v>
      </c>
      <c r="H40" s="68">
        <f>G40*F40/1000</f>
        <v>14.517760000000001</v>
      </c>
      <c r="I40" s="14">
        <f>G40*13</f>
        <v>2948.92</v>
      </c>
      <c r="J40" s="25"/>
    </row>
    <row r="41" spans="1:14" ht="47.25" hidden="1" customHeight="1">
      <c r="A41" s="59">
        <v>10</v>
      </c>
      <c r="B41" s="64" t="s">
        <v>77</v>
      </c>
      <c r="C41" s="65" t="s">
        <v>28</v>
      </c>
      <c r="D41" s="64" t="s">
        <v>124</v>
      </c>
      <c r="E41" s="67">
        <v>67.650000000000006</v>
      </c>
      <c r="F41" s="67">
        <f>SUM(E41*35/1000)</f>
        <v>2.36775</v>
      </c>
      <c r="G41" s="67">
        <v>7221.21</v>
      </c>
      <c r="H41" s="68">
        <f t="shared" si="6"/>
        <v>17.098019977500002</v>
      </c>
      <c r="I41" s="14">
        <f>F41/6*G41</f>
        <v>2849.6699962500002</v>
      </c>
      <c r="J41" s="25"/>
    </row>
    <row r="42" spans="1:14" ht="15.75" hidden="1" customHeight="1">
      <c r="A42" s="59">
        <v>11</v>
      </c>
      <c r="B42" s="64" t="s">
        <v>97</v>
      </c>
      <c r="C42" s="65" t="s">
        <v>93</v>
      </c>
      <c r="D42" s="64" t="s">
        <v>125</v>
      </c>
      <c r="E42" s="67">
        <v>67.650000000000006</v>
      </c>
      <c r="F42" s="67">
        <f>SUM(E42*20/1000)</f>
        <v>1.353</v>
      </c>
      <c r="G42" s="67">
        <v>533.45000000000005</v>
      </c>
      <c r="H42" s="68">
        <f t="shared" si="6"/>
        <v>0.72175785000000003</v>
      </c>
      <c r="I42" s="14">
        <f>F42/6*G42</f>
        <v>120.29297500000001</v>
      </c>
      <c r="J42" s="25"/>
    </row>
    <row r="43" spans="1:14" ht="15.75" hidden="1" customHeight="1">
      <c r="A43" s="103">
        <v>12</v>
      </c>
      <c r="B43" s="64" t="s">
        <v>65</v>
      </c>
      <c r="C43" s="65" t="s">
        <v>31</v>
      </c>
      <c r="D43" s="64"/>
      <c r="E43" s="66"/>
      <c r="F43" s="67">
        <v>0.8</v>
      </c>
      <c r="G43" s="67">
        <v>992.97</v>
      </c>
      <c r="H43" s="68">
        <f t="shared" si="6"/>
        <v>0.79437600000000008</v>
      </c>
      <c r="I43" s="14">
        <f>F43/6*G43</f>
        <v>132.39600000000002</v>
      </c>
      <c r="J43" s="25"/>
    </row>
    <row r="44" spans="1:14" ht="15.75" customHeight="1">
      <c r="A44" s="162" t="s">
        <v>141</v>
      </c>
      <c r="B44" s="163"/>
      <c r="C44" s="163"/>
      <c r="D44" s="163"/>
      <c r="E44" s="163"/>
      <c r="F44" s="163"/>
      <c r="G44" s="163"/>
      <c r="H44" s="163"/>
      <c r="I44" s="164"/>
      <c r="J44" s="25"/>
      <c r="L44" s="20"/>
      <c r="M44" s="21"/>
      <c r="N44" s="22"/>
    </row>
    <row r="45" spans="1:14" ht="15.75" customHeight="1">
      <c r="A45" s="59">
        <v>11</v>
      </c>
      <c r="B45" s="64" t="s">
        <v>98</v>
      </c>
      <c r="C45" s="65" t="s">
        <v>93</v>
      </c>
      <c r="D45" s="64" t="s">
        <v>40</v>
      </c>
      <c r="E45" s="66">
        <v>1114.75</v>
      </c>
      <c r="F45" s="67">
        <f>SUM(E45*2/1000)</f>
        <v>2.2294999999999998</v>
      </c>
      <c r="G45" s="14">
        <v>1283.46</v>
      </c>
      <c r="H45" s="68">
        <f t="shared" ref="H45:H53" si="7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customHeight="1">
      <c r="A46" s="59">
        <v>12</v>
      </c>
      <c r="B46" s="64" t="s">
        <v>34</v>
      </c>
      <c r="C46" s="65" t="s">
        <v>93</v>
      </c>
      <c r="D46" s="64" t="s">
        <v>40</v>
      </c>
      <c r="E46" s="66">
        <v>1563.3</v>
      </c>
      <c r="F46" s="67">
        <f>SUM(E46*2/1000)</f>
        <v>3.1265999999999998</v>
      </c>
      <c r="G46" s="14">
        <v>1711.28</v>
      </c>
      <c r="H46" s="68">
        <f t="shared" si="7"/>
        <v>5.350488047999999</v>
      </c>
      <c r="I46" s="14">
        <f t="shared" ref="I46:I48" si="8">F46/2*G46</f>
        <v>2675.2440239999996</v>
      </c>
      <c r="J46" s="25"/>
      <c r="L46" s="20"/>
      <c r="M46" s="21"/>
      <c r="N46" s="22"/>
    </row>
    <row r="47" spans="1:14" ht="15.75" customHeight="1">
      <c r="A47" s="59">
        <v>13</v>
      </c>
      <c r="B47" s="64" t="s">
        <v>35</v>
      </c>
      <c r="C47" s="65" t="s">
        <v>93</v>
      </c>
      <c r="D47" s="64" t="s">
        <v>40</v>
      </c>
      <c r="E47" s="66">
        <v>1619.6</v>
      </c>
      <c r="F47" s="67">
        <f>SUM(E47*2/1000)</f>
        <v>3.2391999999999999</v>
      </c>
      <c r="G47" s="14">
        <v>1179.73</v>
      </c>
      <c r="H47" s="68">
        <f t="shared" si="7"/>
        <v>3.8213814159999999</v>
      </c>
      <c r="I47" s="14">
        <f t="shared" si="8"/>
        <v>1910.6907079999999</v>
      </c>
      <c r="J47" s="25"/>
      <c r="L47" s="20"/>
      <c r="M47" s="21"/>
      <c r="N47" s="22"/>
    </row>
    <row r="48" spans="1:14" ht="15.75" customHeight="1">
      <c r="A48" s="59">
        <v>14</v>
      </c>
      <c r="B48" s="64" t="s">
        <v>32</v>
      </c>
      <c r="C48" s="65" t="s">
        <v>33</v>
      </c>
      <c r="D48" s="64" t="s">
        <v>40</v>
      </c>
      <c r="E48" s="66">
        <v>85.84</v>
      </c>
      <c r="F48" s="67">
        <f>SUM(E48*2/100)</f>
        <v>1.7168000000000001</v>
      </c>
      <c r="G48" s="14">
        <v>90.61</v>
      </c>
      <c r="H48" s="68">
        <f t="shared" si="7"/>
        <v>0.15555924799999998</v>
      </c>
      <c r="I48" s="14">
        <f t="shared" si="8"/>
        <v>77.779623999999998</v>
      </c>
      <c r="J48" s="25"/>
      <c r="L48" s="20"/>
      <c r="M48" s="21"/>
      <c r="N48" s="22"/>
    </row>
    <row r="49" spans="1:14" ht="15.75" customHeight="1">
      <c r="A49" s="59">
        <v>15</v>
      </c>
      <c r="B49" s="64" t="s">
        <v>54</v>
      </c>
      <c r="C49" s="65" t="s">
        <v>93</v>
      </c>
      <c r="D49" s="64" t="s">
        <v>152</v>
      </c>
      <c r="E49" s="66">
        <v>3216.2</v>
      </c>
      <c r="F49" s="67">
        <f>SUM(E49*5/1000)</f>
        <v>16.081</v>
      </c>
      <c r="G49" s="14">
        <v>1711.28</v>
      </c>
      <c r="H49" s="68">
        <f t="shared" si="7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9">
        <v>16</v>
      </c>
      <c r="B50" s="64" t="s">
        <v>99</v>
      </c>
      <c r="C50" s="65" t="s">
        <v>93</v>
      </c>
      <c r="D50" s="64" t="s">
        <v>40</v>
      </c>
      <c r="E50" s="66">
        <v>3216.2</v>
      </c>
      <c r="F50" s="67">
        <f>SUM(E50*2/1000)</f>
        <v>6.4323999999999995</v>
      </c>
      <c r="G50" s="14">
        <v>1510.06</v>
      </c>
      <c r="H50" s="68">
        <f t="shared" si="7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9">
        <v>17</v>
      </c>
      <c r="B51" s="64" t="s">
        <v>100</v>
      </c>
      <c r="C51" s="65" t="s">
        <v>36</v>
      </c>
      <c r="D51" s="64" t="s">
        <v>40</v>
      </c>
      <c r="E51" s="66">
        <v>16</v>
      </c>
      <c r="F51" s="67">
        <f>SUM(E51*2/100)</f>
        <v>0.32</v>
      </c>
      <c r="G51" s="14">
        <v>3850.4</v>
      </c>
      <c r="H51" s="68">
        <f t="shared" si="7"/>
        <v>1.2321280000000001</v>
      </c>
      <c r="I51" s="14">
        <f t="shared" ref="I51:I52" si="9">F51/2*G51</f>
        <v>616.06400000000008</v>
      </c>
      <c r="J51" s="25"/>
      <c r="L51" s="20"/>
      <c r="M51" s="21"/>
      <c r="N51" s="22"/>
    </row>
    <row r="52" spans="1:14" ht="15.75" hidden="1" customHeight="1">
      <c r="A52" s="59">
        <v>18</v>
      </c>
      <c r="B52" s="64" t="s">
        <v>37</v>
      </c>
      <c r="C52" s="65" t="s">
        <v>38</v>
      </c>
      <c r="D52" s="64" t="s">
        <v>40</v>
      </c>
      <c r="E52" s="66">
        <v>1</v>
      </c>
      <c r="F52" s="67">
        <v>0.02</v>
      </c>
      <c r="G52" s="14">
        <v>7033.13</v>
      </c>
      <c r="H52" s="68">
        <f t="shared" si="7"/>
        <v>0.1406626</v>
      </c>
      <c r="I52" s="14">
        <f t="shared" si="9"/>
        <v>70.331299999999999</v>
      </c>
      <c r="J52" s="25"/>
      <c r="L52" s="20"/>
      <c r="M52" s="21"/>
      <c r="N52" s="22"/>
    </row>
    <row r="53" spans="1:14" ht="15.75" customHeight="1">
      <c r="A53" s="59">
        <v>16</v>
      </c>
      <c r="B53" s="64" t="s">
        <v>39</v>
      </c>
      <c r="C53" s="65" t="s">
        <v>101</v>
      </c>
      <c r="D53" s="64" t="s">
        <v>66</v>
      </c>
      <c r="E53" s="66">
        <v>128</v>
      </c>
      <c r="F53" s="67">
        <f>SUM(E53)*3</f>
        <v>384</v>
      </c>
      <c r="G53" s="14">
        <v>81.73</v>
      </c>
      <c r="H53" s="68">
        <f t="shared" si="7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62" t="s">
        <v>140</v>
      </c>
      <c r="B54" s="172"/>
      <c r="C54" s="172"/>
      <c r="D54" s="172"/>
      <c r="E54" s="172"/>
      <c r="F54" s="172"/>
      <c r="G54" s="172"/>
      <c r="H54" s="172"/>
      <c r="I54" s="173"/>
      <c r="J54" s="25"/>
      <c r="L54" s="20"/>
      <c r="M54" s="21"/>
      <c r="N54" s="22"/>
    </row>
    <row r="55" spans="1:14" ht="15.75" hidden="1" customHeight="1">
      <c r="A55" s="59"/>
      <c r="B55" s="88" t="s">
        <v>41</v>
      </c>
      <c r="C55" s="65"/>
      <c r="D55" s="64"/>
      <c r="E55" s="66"/>
      <c r="F55" s="67"/>
      <c r="G55" s="67"/>
      <c r="H55" s="68"/>
      <c r="I55" s="14"/>
      <c r="J55" s="25"/>
      <c r="L55" s="20"/>
      <c r="M55" s="21"/>
      <c r="N55" s="22"/>
    </row>
    <row r="56" spans="1:14" ht="31.5" hidden="1" customHeight="1">
      <c r="A56" s="59">
        <v>13</v>
      </c>
      <c r="B56" s="64" t="s">
        <v>126</v>
      </c>
      <c r="C56" s="65" t="s">
        <v>83</v>
      </c>
      <c r="D56" s="64" t="s">
        <v>127</v>
      </c>
      <c r="E56" s="66">
        <v>123.31</v>
      </c>
      <c r="F56" s="67">
        <f>SUM(E56*6/100)</f>
        <v>7.3986000000000001</v>
      </c>
      <c r="G56" s="14">
        <v>2306.62</v>
      </c>
      <c r="H56" s="68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60">
        <v>17</v>
      </c>
      <c r="B57" s="77" t="s">
        <v>128</v>
      </c>
      <c r="C57" s="76" t="s">
        <v>129</v>
      </c>
      <c r="D57" s="77" t="s">
        <v>64</v>
      </c>
      <c r="E57" s="78"/>
      <c r="F57" s="79">
        <v>3</v>
      </c>
      <c r="G57" s="14">
        <v>1501</v>
      </c>
      <c r="H57" s="68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60"/>
      <c r="B58" s="89" t="s">
        <v>42</v>
      </c>
      <c r="C58" s="76"/>
      <c r="D58" s="77"/>
      <c r="E58" s="78"/>
      <c r="F58" s="79"/>
      <c r="G58" s="14"/>
      <c r="H58" s="80"/>
      <c r="I58" s="14"/>
      <c r="J58" s="25"/>
      <c r="L58" s="20"/>
      <c r="M58" s="21"/>
      <c r="N58" s="22"/>
    </row>
    <row r="59" spans="1:14" ht="15.75" hidden="1" customHeight="1">
      <c r="A59" s="60"/>
      <c r="B59" s="77" t="s">
        <v>139</v>
      </c>
      <c r="C59" s="76" t="s">
        <v>50</v>
      </c>
      <c r="D59" s="77" t="s">
        <v>51</v>
      </c>
      <c r="E59" s="78">
        <v>451</v>
      </c>
      <c r="F59" s="79">
        <v>8.9</v>
      </c>
      <c r="G59" s="14">
        <v>987.51</v>
      </c>
      <c r="H59" s="80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60"/>
      <c r="B60" s="89" t="s">
        <v>43</v>
      </c>
      <c r="C60" s="76"/>
      <c r="D60" s="77"/>
      <c r="E60" s="108"/>
      <c r="F60" s="67"/>
      <c r="G60" s="111"/>
      <c r="H60" s="79" t="s">
        <v>138</v>
      </c>
      <c r="I60" s="14"/>
      <c r="J60" s="25"/>
      <c r="L60" s="20"/>
      <c r="M60" s="21"/>
      <c r="N60" s="22"/>
    </row>
    <row r="61" spans="1:14" ht="15" customHeight="1">
      <c r="A61" s="17">
        <v>17</v>
      </c>
      <c r="B61" s="15" t="s">
        <v>44</v>
      </c>
      <c r="C61" s="17" t="s">
        <v>101</v>
      </c>
      <c r="D61" s="15" t="s">
        <v>64</v>
      </c>
      <c r="E61" s="109">
        <v>10</v>
      </c>
      <c r="F61" s="67">
        <f>E61</f>
        <v>10</v>
      </c>
      <c r="G61" s="112">
        <v>276.74</v>
      </c>
      <c r="H61" s="63">
        <f t="shared" ref="H61:H69" si="10">SUM(F61*G61/1000)</f>
        <v>2.7674000000000003</v>
      </c>
      <c r="I61" s="14">
        <f>G61*7</f>
        <v>1937.18</v>
      </c>
      <c r="J61" s="25"/>
      <c r="L61" s="20"/>
    </row>
    <row r="62" spans="1:14" ht="15" hidden="1" customHeight="1">
      <c r="A62" s="17"/>
      <c r="B62" s="15" t="s">
        <v>45</v>
      </c>
      <c r="C62" s="17" t="s">
        <v>101</v>
      </c>
      <c r="D62" s="15" t="s">
        <v>64</v>
      </c>
      <c r="E62" s="109">
        <v>10</v>
      </c>
      <c r="F62" s="67">
        <f>E62</f>
        <v>10</v>
      </c>
      <c r="G62" s="112">
        <v>94.89</v>
      </c>
      <c r="H62" s="63">
        <f t="shared" si="10"/>
        <v>0.94889999999999997</v>
      </c>
      <c r="I62" s="14">
        <v>0</v>
      </c>
      <c r="J62" s="25"/>
      <c r="L62" s="20"/>
    </row>
    <row r="63" spans="1:14" ht="14.25" hidden="1" customHeight="1">
      <c r="A63" s="17">
        <v>23</v>
      </c>
      <c r="B63" s="15" t="s">
        <v>46</v>
      </c>
      <c r="C63" s="17" t="s">
        <v>102</v>
      </c>
      <c r="D63" s="15" t="s">
        <v>51</v>
      </c>
      <c r="E63" s="110">
        <v>13447</v>
      </c>
      <c r="F63" s="67">
        <f>SUM(E63/100)</f>
        <v>134.47</v>
      </c>
      <c r="G63" s="112">
        <v>263.99</v>
      </c>
      <c r="H63" s="63">
        <f t="shared" si="10"/>
        <v>35.4987353</v>
      </c>
      <c r="I63" s="14">
        <f>F63*G63</f>
        <v>35498.7353</v>
      </c>
      <c r="J63" s="25"/>
      <c r="L63" s="20"/>
    </row>
    <row r="64" spans="1:14" ht="17.25" hidden="1" customHeight="1">
      <c r="A64" s="17">
        <v>24</v>
      </c>
      <c r="B64" s="15" t="s">
        <v>47</v>
      </c>
      <c r="C64" s="17" t="s">
        <v>103</v>
      </c>
      <c r="D64" s="15"/>
      <c r="E64" s="110">
        <v>13447</v>
      </c>
      <c r="F64" s="67">
        <f>SUM(E64/1000)</f>
        <v>13.446999999999999</v>
      </c>
      <c r="G64" s="112">
        <v>205.57</v>
      </c>
      <c r="H64" s="63">
        <f t="shared" si="10"/>
        <v>2.7642997899999995</v>
      </c>
      <c r="I64" s="14">
        <f t="shared" ref="I64:I67" si="11">F64*G64</f>
        <v>2764.2997899999996</v>
      </c>
    </row>
    <row r="65" spans="1:22" ht="15.75" hidden="1" customHeight="1">
      <c r="A65" s="17">
        <v>25</v>
      </c>
      <c r="B65" s="15" t="s">
        <v>48</v>
      </c>
      <c r="C65" s="17" t="s">
        <v>72</v>
      </c>
      <c r="D65" s="15" t="s">
        <v>51</v>
      </c>
      <c r="E65" s="110">
        <v>2200</v>
      </c>
      <c r="F65" s="67">
        <f>SUM(E65/100)</f>
        <v>22</v>
      </c>
      <c r="G65" s="112">
        <v>2581.5300000000002</v>
      </c>
      <c r="H65" s="63">
        <f t="shared" si="10"/>
        <v>56.793660000000003</v>
      </c>
      <c r="I65" s="14">
        <f t="shared" si="11"/>
        <v>56793.66</v>
      </c>
    </row>
    <row r="66" spans="1:22" ht="12" hidden="1" customHeight="1">
      <c r="A66" s="17">
        <v>26</v>
      </c>
      <c r="B66" s="81" t="s">
        <v>104</v>
      </c>
      <c r="C66" s="17" t="s">
        <v>31</v>
      </c>
      <c r="D66" s="15"/>
      <c r="E66" s="110">
        <v>12.1</v>
      </c>
      <c r="F66" s="67">
        <f>SUM(E66)</f>
        <v>12.1</v>
      </c>
      <c r="G66" s="112">
        <v>47.45</v>
      </c>
      <c r="H66" s="63">
        <f t="shared" si="10"/>
        <v>0.57414500000000002</v>
      </c>
      <c r="I66" s="14">
        <f t="shared" si="11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4.25" hidden="1" customHeight="1">
      <c r="A67" s="17">
        <v>27</v>
      </c>
      <c r="B67" s="81" t="s">
        <v>105</v>
      </c>
      <c r="C67" s="17" t="s">
        <v>31</v>
      </c>
      <c r="D67" s="15"/>
      <c r="E67" s="110">
        <v>12.1</v>
      </c>
      <c r="F67" s="67">
        <f>SUM(E67)</f>
        <v>12.1</v>
      </c>
      <c r="G67" s="112">
        <v>44.27</v>
      </c>
      <c r="H67" s="63">
        <f t="shared" si="10"/>
        <v>0.535667</v>
      </c>
      <c r="I67" s="14">
        <f t="shared" si="11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customHeight="1">
      <c r="A68" s="17">
        <v>18</v>
      </c>
      <c r="B68" s="15" t="s">
        <v>55</v>
      </c>
      <c r="C68" s="17" t="s">
        <v>56</v>
      </c>
      <c r="D68" s="15" t="s">
        <v>51</v>
      </c>
      <c r="E68" s="109">
        <v>4</v>
      </c>
      <c r="F68" s="67">
        <v>4</v>
      </c>
      <c r="G68" s="112">
        <v>62.07</v>
      </c>
      <c r="H68" s="63">
        <f t="shared" si="10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19</v>
      </c>
      <c r="B69" s="15" t="s">
        <v>130</v>
      </c>
      <c r="C69" s="31" t="s">
        <v>131</v>
      </c>
      <c r="D69" s="15"/>
      <c r="E69" s="109">
        <v>3216.2</v>
      </c>
      <c r="F69" s="113">
        <v>38594.400000000001</v>
      </c>
      <c r="G69" s="112">
        <v>2.16</v>
      </c>
      <c r="H69" s="63">
        <f t="shared" si="10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6"/>
      <c r="B70" s="99" t="s">
        <v>67</v>
      </c>
      <c r="C70" s="17"/>
      <c r="D70" s="15"/>
      <c r="E70" s="19"/>
      <c r="F70" s="14"/>
      <c r="G70" s="14"/>
      <c r="H70" s="63" t="s">
        <v>138</v>
      </c>
      <c r="I70" s="14"/>
      <c r="J70" s="6"/>
      <c r="K70" s="6"/>
      <c r="L70" s="6"/>
      <c r="M70" s="6"/>
      <c r="N70" s="6"/>
      <c r="O70" s="6"/>
      <c r="P70" s="6"/>
      <c r="Q70" s="6"/>
      <c r="R70" s="152"/>
      <c r="S70" s="152"/>
      <c r="T70" s="152"/>
      <c r="U70" s="152"/>
    </row>
    <row r="71" spans="1:22" ht="15.75" hidden="1" customHeight="1">
      <c r="A71" s="17"/>
      <c r="B71" s="15" t="s">
        <v>132</v>
      </c>
      <c r="C71" s="17" t="s">
        <v>133</v>
      </c>
      <c r="D71" s="15" t="s">
        <v>64</v>
      </c>
      <c r="E71" s="19">
        <v>2</v>
      </c>
      <c r="F71" s="14">
        <f>E71</f>
        <v>2</v>
      </c>
      <c r="G71" s="14">
        <v>976.4</v>
      </c>
      <c r="H71" s="63">
        <f t="shared" ref="H71:H75" si="12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108</v>
      </c>
      <c r="C72" s="17" t="s">
        <v>134</v>
      </c>
      <c r="D72" s="15" t="s">
        <v>64</v>
      </c>
      <c r="E72" s="19">
        <v>1</v>
      </c>
      <c r="F72" s="14">
        <v>1</v>
      </c>
      <c r="G72" s="14">
        <v>735</v>
      </c>
      <c r="H72" s="63">
        <f t="shared" si="12"/>
        <v>0.73499999999999999</v>
      </c>
      <c r="I72" s="14">
        <v>0</v>
      </c>
    </row>
    <row r="73" spans="1:22" ht="15.75" hidden="1" customHeight="1">
      <c r="A73" s="17"/>
      <c r="B73" s="15" t="s">
        <v>68</v>
      </c>
      <c r="C73" s="17" t="s">
        <v>70</v>
      </c>
      <c r="D73" s="15" t="s">
        <v>64</v>
      </c>
      <c r="E73" s="19">
        <v>4</v>
      </c>
      <c r="F73" s="14">
        <f>E73/10</f>
        <v>0.4</v>
      </c>
      <c r="G73" s="14">
        <v>624.16999999999996</v>
      </c>
      <c r="H73" s="63">
        <f t="shared" si="12"/>
        <v>0.249668</v>
      </c>
      <c r="I73" s="14">
        <v>0</v>
      </c>
    </row>
    <row r="74" spans="1:22" ht="15.75" hidden="1" customHeight="1">
      <c r="A74" s="17"/>
      <c r="B74" s="15" t="s">
        <v>69</v>
      </c>
      <c r="C74" s="17" t="s">
        <v>29</v>
      </c>
      <c r="D74" s="15" t="s">
        <v>64</v>
      </c>
      <c r="E74" s="19">
        <v>1</v>
      </c>
      <c r="F74" s="55">
        <v>1</v>
      </c>
      <c r="G74" s="14">
        <v>1061.4100000000001</v>
      </c>
      <c r="H74" s="63">
        <f t="shared" si="12"/>
        <v>1.0614100000000002</v>
      </c>
      <c r="I74" s="14">
        <v>0</v>
      </c>
    </row>
    <row r="75" spans="1:22" ht="15.75" hidden="1" customHeight="1">
      <c r="A75" s="17"/>
      <c r="B75" s="15" t="s">
        <v>135</v>
      </c>
      <c r="C75" s="17" t="s">
        <v>133</v>
      </c>
      <c r="D75" s="15" t="s">
        <v>64</v>
      </c>
      <c r="E75" s="19">
        <v>1</v>
      </c>
      <c r="F75" s="14">
        <f>E75</f>
        <v>1</v>
      </c>
      <c r="G75" s="14">
        <v>976.1</v>
      </c>
      <c r="H75" s="63">
        <f t="shared" si="12"/>
        <v>0.97609999999999997</v>
      </c>
      <c r="I75" s="14">
        <v>0</v>
      </c>
    </row>
    <row r="76" spans="1:22" ht="15.75" hidden="1" customHeight="1">
      <c r="A76" s="106"/>
      <c r="B76" s="107" t="s">
        <v>71</v>
      </c>
      <c r="C76" s="17"/>
      <c r="D76" s="15"/>
      <c r="E76" s="19"/>
      <c r="F76" s="14"/>
      <c r="G76" s="14" t="s">
        <v>138</v>
      </c>
      <c r="H76" s="63" t="s">
        <v>138</v>
      </c>
      <c r="I76" s="14"/>
    </row>
    <row r="77" spans="1:22" ht="15.75" hidden="1" customHeight="1">
      <c r="A77" s="17"/>
      <c r="B77" s="43" t="s">
        <v>109</v>
      </c>
      <c r="C77" s="17" t="s">
        <v>72</v>
      </c>
      <c r="D77" s="15"/>
      <c r="E77" s="19"/>
      <c r="F77" s="14">
        <v>0.1</v>
      </c>
      <c r="G77" s="14">
        <v>3433.68</v>
      </c>
      <c r="H77" s="63">
        <f t="shared" ref="H77" si="13">SUM(F77*G77/1000)</f>
        <v>0.34336800000000001</v>
      </c>
      <c r="I77" s="14">
        <v>0</v>
      </c>
    </row>
    <row r="78" spans="1:22" ht="15.75" hidden="1" customHeight="1">
      <c r="A78" s="106"/>
      <c r="B78" s="96" t="s">
        <v>106</v>
      </c>
      <c r="C78" s="83"/>
      <c r="D78" s="33"/>
      <c r="E78" s="34"/>
      <c r="F78" s="73"/>
      <c r="G78" s="73"/>
      <c r="H78" s="84">
        <f>SUM(H56:H77)</f>
        <v>219.17093482199999</v>
      </c>
      <c r="I78" s="73"/>
    </row>
    <row r="79" spans="1:22" ht="15.75" hidden="1" customHeight="1">
      <c r="A79" s="17"/>
      <c r="B79" s="64" t="s">
        <v>107</v>
      </c>
      <c r="C79" s="17"/>
      <c r="D79" s="15"/>
      <c r="E79" s="85"/>
      <c r="F79" s="14">
        <v>1</v>
      </c>
      <c r="G79" s="14">
        <v>14133</v>
      </c>
      <c r="H79" s="63">
        <f>G79*F79/1000</f>
        <v>14.132999999999999</v>
      </c>
      <c r="I79" s="14">
        <v>0</v>
      </c>
    </row>
    <row r="80" spans="1:22" ht="15.75" customHeight="1">
      <c r="A80" s="162" t="s">
        <v>142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17">
        <v>20</v>
      </c>
      <c r="B81" s="64" t="s">
        <v>111</v>
      </c>
      <c r="C81" s="17" t="s">
        <v>52</v>
      </c>
      <c r="D81" s="86" t="s">
        <v>53</v>
      </c>
      <c r="E81" s="14">
        <v>3216.2</v>
      </c>
      <c r="F81" s="14">
        <f>SUM(E81*12)</f>
        <v>38594.399999999994</v>
      </c>
      <c r="G81" s="14">
        <v>2.95</v>
      </c>
      <c r="H81" s="63">
        <f>SUM(F81*G81/1000)</f>
        <v>113.85347999999999</v>
      </c>
      <c r="I81" s="14">
        <f>F81/12*G81</f>
        <v>9487.7899999999991</v>
      </c>
    </row>
    <row r="82" spans="1:9" ht="31.5" customHeight="1">
      <c r="A82" s="87">
        <v>21</v>
      </c>
      <c r="B82" s="15" t="s">
        <v>73</v>
      </c>
      <c r="C82" s="17"/>
      <c r="D82" s="86" t="s">
        <v>53</v>
      </c>
      <c r="E82" s="66">
        <v>3216.2</v>
      </c>
      <c r="F82" s="14">
        <f>E82*12</f>
        <v>38594.399999999994</v>
      </c>
      <c r="G82" s="14">
        <v>3.05</v>
      </c>
      <c r="H82" s="63">
        <f>F82*G82/1000</f>
        <v>117.71291999999997</v>
      </c>
      <c r="I82" s="14">
        <f>F82/12*G82</f>
        <v>9809.409999999998</v>
      </c>
    </row>
    <row r="83" spans="1:9" ht="15.75" customHeight="1">
      <c r="A83" s="61"/>
      <c r="B83" s="36" t="s">
        <v>75</v>
      </c>
      <c r="C83" s="83"/>
      <c r="D83" s="82"/>
      <c r="E83" s="73"/>
      <c r="F83" s="73"/>
      <c r="G83" s="73"/>
      <c r="H83" s="84">
        <f>H82</f>
        <v>117.71291999999997</v>
      </c>
      <c r="I83" s="73">
        <f>I82+I81+I69+I68+I61+I53+I49+I48+I47+I46+I45+I33+I31+I30+I27+I26+I21+I20+I18+I17+I16</f>
        <v>74197.869381444441</v>
      </c>
    </row>
    <row r="84" spans="1:9" ht="15.75" customHeight="1">
      <c r="A84" s="168" t="s">
        <v>58</v>
      </c>
      <c r="B84" s="169"/>
      <c r="C84" s="169"/>
      <c r="D84" s="169"/>
      <c r="E84" s="169"/>
      <c r="F84" s="169"/>
      <c r="G84" s="169"/>
      <c r="H84" s="169"/>
      <c r="I84" s="170"/>
    </row>
    <row r="85" spans="1:9" ht="15.75" customHeight="1">
      <c r="A85" s="116">
        <v>22</v>
      </c>
      <c r="B85" s="133" t="s">
        <v>167</v>
      </c>
      <c r="C85" s="134" t="s">
        <v>168</v>
      </c>
      <c r="D85" s="43"/>
      <c r="E85" s="14"/>
      <c r="F85" s="14">
        <v>2</v>
      </c>
      <c r="G85" s="141">
        <v>1.2</v>
      </c>
      <c r="H85" s="63">
        <f t="shared" ref="H85" si="14">G85*F85/1000</f>
        <v>2.3999999999999998E-3</v>
      </c>
      <c r="I85" s="115">
        <f>G85*100</f>
        <v>120</v>
      </c>
    </row>
    <row r="86" spans="1:9" ht="31.5" customHeight="1">
      <c r="A86" s="116">
        <v>23</v>
      </c>
      <c r="B86" s="46" t="s">
        <v>155</v>
      </c>
      <c r="C86" s="47" t="s">
        <v>36</v>
      </c>
      <c r="D86" s="15"/>
      <c r="E86" s="19"/>
      <c r="F86" s="14"/>
      <c r="G86" s="126">
        <v>3724.37</v>
      </c>
      <c r="H86" s="63"/>
      <c r="I86" s="115">
        <f>G86*0.01</f>
        <v>37.243699999999997</v>
      </c>
    </row>
    <row r="87" spans="1:9" ht="15.75" customHeight="1">
      <c r="A87" s="116">
        <v>24</v>
      </c>
      <c r="B87" s="123" t="s">
        <v>237</v>
      </c>
      <c r="C87" s="124" t="s">
        <v>238</v>
      </c>
      <c r="D87" s="15"/>
      <c r="E87" s="19"/>
      <c r="F87" s="14"/>
      <c r="G87" s="126">
        <v>56.34</v>
      </c>
      <c r="H87" s="63"/>
      <c r="I87" s="115">
        <f>G87*1</f>
        <v>56.34</v>
      </c>
    </row>
    <row r="88" spans="1:9" ht="15.75" customHeight="1">
      <c r="A88" s="116">
        <v>25</v>
      </c>
      <c r="B88" s="148" t="s">
        <v>239</v>
      </c>
      <c r="C88" s="124" t="s">
        <v>52</v>
      </c>
      <c r="D88" s="15"/>
      <c r="E88" s="19"/>
      <c r="F88" s="14"/>
      <c r="G88" s="126">
        <v>70.819999999999993</v>
      </c>
      <c r="H88" s="63"/>
      <c r="I88" s="115">
        <f>G88*1.5</f>
        <v>106.22999999999999</v>
      </c>
    </row>
    <row r="89" spans="1:9" ht="15.75" customHeight="1">
      <c r="A89" s="116">
        <v>26</v>
      </c>
      <c r="B89" s="144" t="s">
        <v>240</v>
      </c>
      <c r="C89" s="124" t="s">
        <v>52</v>
      </c>
      <c r="D89" s="15"/>
      <c r="E89" s="19"/>
      <c r="F89" s="14"/>
      <c r="G89" s="126">
        <v>671.8</v>
      </c>
      <c r="H89" s="63"/>
      <c r="I89" s="115">
        <f>G89*1.5</f>
        <v>1007.6999999999999</v>
      </c>
    </row>
    <row r="90" spans="1:9" ht="15.75" customHeight="1">
      <c r="A90" s="116">
        <v>27</v>
      </c>
      <c r="B90" s="123" t="s">
        <v>241</v>
      </c>
      <c r="C90" s="124" t="s">
        <v>52</v>
      </c>
      <c r="D90" s="15"/>
      <c r="E90" s="19"/>
      <c r="F90" s="14"/>
      <c r="G90" s="126">
        <v>470.85</v>
      </c>
      <c r="H90" s="63"/>
      <c r="I90" s="115">
        <f>G90*0.5</f>
        <v>235.42500000000001</v>
      </c>
    </row>
    <row r="91" spans="1:9" ht="18" customHeight="1">
      <c r="A91" s="116">
        <v>28</v>
      </c>
      <c r="B91" s="149" t="s">
        <v>242</v>
      </c>
      <c r="C91" s="147" t="s">
        <v>85</v>
      </c>
      <c r="D91" s="15"/>
      <c r="E91" s="19"/>
      <c r="F91" s="14">
        <f>3/3</f>
        <v>1</v>
      </c>
      <c r="G91" s="126">
        <v>3413.41</v>
      </c>
      <c r="H91" s="63">
        <f t="shared" ref="H91" si="15">G91*F91/1000</f>
        <v>3.4134099999999998</v>
      </c>
      <c r="I91" s="115">
        <f>G91*0.06</f>
        <v>204.80459999999999</v>
      </c>
    </row>
    <row r="92" spans="1:9" ht="15.75" customHeight="1">
      <c r="A92" s="116">
        <v>29</v>
      </c>
      <c r="B92" s="123" t="s">
        <v>243</v>
      </c>
      <c r="C92" s="124" t="s">
        <v>129</v>
      </c>
      <c r="D92" s="15"/>
      <c r="E92" s="19"/>
      <c r="F92" s="14"/>
      <c r="G92" s="126">
        <v>1765</v>
      </c>
      <c r="H92" s="63"/>
      <c r="I92" s="115">
        <f>G92*1</f>
        <v>1765</v>
      </c>
    </row>
    <row r="93" spans="1:9" ht="15.75" customHeight="1">
      <c r="A93" s="116">
        <v>30</v>
      </c>
      <c r="B93" s="123" t="s">
        <v>76</v>
      </c>
      <c r="C93" s="124" t="s">
        <v>101</v>
      </c>
      <c r="D93" s="15"/>
      <c r="E93" s="19"/>
      <c r="F93" s="14"/>
      <c r="G93" s="126">
        <v>197.48</v>
      </c>
      <c r="H93" s="63"/>
      <c r="I93" s="115">
        <f>G93*1</f>
        <v>197.48</v>
      </c>
    </row>
    <row r="94" spans="1:9" ht="15.75" customHeight="1">
      <c r="A94" s="116"/>
      <c r="B94" s="41" t="s">
        <v>49</v>
      </c>
      <c r="C94" s="37"/>
      <c r="D94" s="44"/>
      <c r="E94" s="37">
        <v>1</v>
      </c>
      <c r="F94" s="37"/>
      <c r="G94" s="37"/>
      <c r="H94" s="37"/>
      <c r="I94" s="34">
        <f>SUM(I85:I93)</f>
        <v>3730.2233000000001</v>
      </c>
    </row>
    <row r="95" spans="1:9" ht="15.75" customHeight="1">
      <c r="A95" s="116"/>
      <c r="B95" s="43" t="s">
        <v>74</v>
      </c>
      <c r="C95" s="16"/>
      <c r="D95" s="16"/>
      <c r="E95" s="38"/>
      <c r="F95" s="38"/>
      <c r="G95" s="39"/>
      <c r="H95" s="39"/>
      <c r="I95" s="18">
        <v>0</v>
      </c>
    </row>
    <row r="96" spans="1:9" ht="15.75" customHeight="1">
      <c r="A96" s="45"/>
      <c r="B96" s="42" t="s">
        <v>153</v>
      </c>
      <c r="C96" s="35"/>
      <c r="D96" s="35"/>
      <c r="E96" s="35"/>
      <c r="F96" s="35"/>
      <c r="G96" s="35"/>
      <c r="H96" s="35"/>
      <c r="I96" s="40">
        <f>I94+I83</f>
        <v>77928.092681444439</v>
      </c>
    </row>
    <row r="97" spans="1:9" ht="15.75" customHeight="1">
      <c r="A97" s="153" t="s">
        <v>244</v>
      </c>
      <c r="B97" s="153"/>
      <c r="C97" s="153"/>
      <c r="D97" s="153"/>
      <c r="E97" s="153"/>
      <c r="F97" s="153"/>
      <c r="G97" s="153"/>
      <c r="H97" s="153"/>
      <c r="I97" s="153"/>
    </row>
    <row r="98" spans="1:9" ht="15.75" customHeight="1">
      <c r="A98" s="54"/>
      <c r="B98" s="178" t="s">
        <v>245</v>
      </c>
      <c r="C98" s="178"/>
      <c r="D98" s="178"/>
      <c r="E98" s="178"/>
      <c r="F98" s="178"/>
      <c r="G98" s="178"/>
      <c r="H98" s="58"/>
      <c r="I98" s="4"/>
    </row>
    <row r="99" spans="1:9" ht="15.75" customHeight="1">
      <c r="A99" s="97"/>
      <c r="B99" s="175" t="s">
        <v>6</v>
      </c>
      <c r="C99" s="175"/>
      <c r="D99" s="175"/>
      <c r="E99" s="175"/>
      <c r="F99" s="175"/>
      <c r="G99" s="175"/>
      <c r="H99" s="26"/>
      <c r="I99" s="6"/>
    </row>
    <row r="100" spans="1:9" ht="15.75" customHeight="1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5.75" customHeight="1">
      <c r="A101" s="179" t="s">
        <v>7</v>
      </c>
      <c r="B101" s="179"/>
      <c r="C101" s="179"/>
      <c r="D101" s="179"/>
      <c r="E101" s="179"/>
      <c r="F101" s="179"/>
      <c r="G101" s="179"/>
      <c r="H101" s="179"/>
      <c r="I101" s="179"/>
    </row>
    <row r="102" spans="1:9" ht="15.75" customHeight="1">
      <c r="A102" s="179" t="s">
        <v>8</v>
      </c>
      <c r="B102" s="179"/>
      <c r="C102" s="179"/>
      <c r="D102" s="179"/>
      <c r="E102" s="179"/>
      <c r="F102" s="179"/>
      <c r="G102" s="179"/>
      <c r="H102" s="179"/>
      <c r="I102" s="179"/>
    </row>
    <row r="103" spans="1:9" ht="15.75" customHeight="1">
      <c r="A103" s="180" t="s">
        <v>59</v>
      </c>
      <c r="B103" s="180"/>
      <c r="C103" s="180"/>
      <c r="D103" s="180"/>
      <c r="E103" s="180"/>
      <c r="F103" s="180"/>
      <c r="G103" s="180"/>
      <c r="H103" s="180"/>
      <c r="I103" s="180"/>
    </row>
    <row r="104" spans="1:9" ht="15.75" customHeight="1">
      <c r="A104" s="12"/>
    </row>
    <row r="105" spans="1:9" ht="15.75" customHeight="1">
      <c r="A105" s="160" t="s">
        <v>9</v>
      </c>
      <c r="B105" s="160"/>
      <c r="C105" s="160"/>
      <c r="D105" s="160"/>
      <c r="E105" s="160"/>
      <c r="F105" s="160"/>
      <c r="G105" s="160"/>
      <c r="H105" s="160"/>
      <c r="I105" s="160"/>
    </row>
    <row r="106" spans="1:9" ht="15.75" customHeight="1">
      <c r="A106" s="5"/>
    </row>
    <row r="107" spans="1:9" ht="15.75" customHeight="1">
      <c r="B107" s="100" t="s">
        <v>10</v>
      </c>
      <c r="C107" s="174" t="s">
        <v>81</v>
      </c>
      <c r="D107" s="174"/>
      <c r="E107" s="174"/>
      <c r="F107" s="56"/>
      <c r="I107" s="102"/>
    </row>
    <row r="108" spans="1:9" ht="15.75" customHeight="1">
      <c r="A108" s="97"/>
      <c r="C108" s="175" t="s">
        <v>11</v>
      </c>
      <c r="D108" s="175"/>
      <c r="E108" s="175"/>
      <c r="F108" s="26"/>
      <c r="I108" s="101" t="s">
        <v>12</v>
      </c>
    </row>
    <row r="109" spans="1:9" ht="15.75" customHeight="1">
      <c r="A109" s="27"/>
      <c r="C109" s="13"/>
      <c r="D109" s="13"/>
      <c r="G109" s="13"/>
      <c r="H109" s="13"/>
    </row>
    <row r="110" spans="1:9" ht="15.75" customHeight="1">
      <c r="B110" s="100" t="s">
        <v>13</v>
      </c>
      <c r="C110" s="176"/>
      <c r="D110" s="176"/>
      <c r="E110" s="176"/>
      <c r="F110" s="57"/>
      <c r="I110" s="102"/>
    </row>
    <row r="111" spans="1:9" ht="15.75" customHeight="1">
      <c r="A111" s="97"/>
      <c r="C111" s="152" t="s">
        <v>11</v>
      </c>
      <c r="D111" s="152"/>
      <c r="E111" s="152"/>
      <c r="F111" s="97"/>
      <c r="I111" s="101" t="s">
        <v>12</v>
      </c>
    </row>
    <row r="112" spans="1:9" ht="15.75" customHeight="1">
      <c r="A112" s="5" t="s">
        <v>14</v>
      </c>
    </row>
    <row r="113" spans="1:9" ht="15" customHeight="1">
      <c r="A113" s="177" t="s">
        <v>15</v>
      </c>
      <c r="B113" s="177"/>
      <c r="C113" s="177"/>
      <c r="D113" s="177"/>
      <c r="E113" s="177"/>
      <c r="F113" s="177"/>
      <c r="G113" s="177"/>
      <c r="H113" s="177"/>
      <c r="I113" s="177"/>
    </row>
    <row r="114" spans="1:9" ht="45" customHeight="1">
      <c r="A114" s="171" t="s">
        <v>16</v>
      </c>
      <c r="B114" s="171"/>
      <c r="C114" s="171"/>
      <c r="D114" s="171"/>
      <c r="E114" s="171"/>
      <c r="F114" s="171"/>
      <c r="G114" s="171"/>
      <c r="H114" s="171"/>
      <c r="I114" s="171"/>
    </row>
    <row r="115" spans="1:9" ht="30" customHeight="1">
      <c r="A115" s="171" t="s">
        <v>17</v>
      </c>
      <c r="B115" s="171"/>
      <c r="C115" s="171"/>
      <c r="D115" s="171"/>
      <c r="E115" s="171"/>
      <c r="F115" s="171"/>
      <c r="G115" s="171"/>
      <c r="H115" s="171"/>
      <c r="I115" s="171"/>
    </row>
    <row r="116" spans="1:9" ht="30" customHeight="1">
      <c r="A116" s="171" t="s">
        <v>21</v>
      </c>
      <c r="B116" s="171"/>
      <c r="C116" s="171"/>
      <c r="D116" s="171"/>
      <c r="E116" s="171"/>
      <c r="F116" s="171"/>
      <c r="G116" s="171"/>
      <c r="H116" s="171"/>
      <c r="I116" s="171"/>
    </row>
    <row r="117" spans="1:9" ht="15" customHeight="1">
      <c r="A117" s="171" t="s">
        <v>20</v>
      </c>
      <c r="B117" s="171"/>
      <c r="C117" s="171"/>
      <c r="D117" s="171"/>
      <c r="E117" s="171"/>
      <c r="F117" s="171"/>
      <c r="G117" s="171"/>
      <c r="H117" s="171"/>
      <c r="I117" s="171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11:E111"/>
    <mergeCell ref="A84:I84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0:I80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2018-09-13T06:59:44Z</cp:lastPrinted>
  <dcterms:created xsi:type="dcterms:W3CDTF">2016-03-25T08:33:47Z</dcterms:created>
  <dcterms:modified xsi:type="dcterms:W3CDTF">2019-01-10T07:17:29Z</dcterms:modified>
</cp:coreProperties>
</file>