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,2" sheetId="1" r:id="rId1"/>
  </sheets>
  <definedNames>
    <definedName name="_xlnm.Print_Area" localSheetId="0">'Нефт.,2'!$A$1:$U$159</definedName>
  </definedNames>
  <calcPr calcId="124519"/>
</workbook>
</file>

<file path=xl/calcChain.xml><?xml version="1.0" encoding="utf-8"?>
<calcChain xmlns="http://schemas.openxmlformats.org/spreadsheetml/2006/main">
  <c r="U140" i="1"/>
  <c r="Q140"/>
  <c r="H140"/>
  <c r="U139"/>
  <c r="Q139"/>
  <c r="H139"/>
  <c r="F139"/>
  <c r="T137"/>
  <c r="Q138"/>
  <c r="H73"/>
  <c r="S62"/>
  <c r="R62"/>
  <c r="R117"/>
  <c r="R115"/>
  <c r="R122"/>
  <c r="F122"/>
  <c r="R127"/>
  <c r="R116"/>
  <c r="Q62"/>
  <c r="R101"/>
  <c r="T122"/>
  <c r="C157"/>
  <c r="C154"/>
  <c r="T92"/>
  <c r="T146"/>
  <c r="U146" s="1"/>
  <c r="H146"/>
  <c r="T124"/>
  <c r="F124"/>
  <c r="T101"/>
  <c r="T56"/>
  <c r="T36"/>
  <c r="T41"/>
  <c r="T34"/>
  <c r="S34"/>
  <c r="S143"/>
  <c r="U143" s="1"/>
  <c r="H143"/>
  <c r="F144"/>
  <c r="S144" s="1"/>
  <c r="U144" s="1"/>
  <c r="F145"/>
  <c r="S145" s="1"/>
  <c r="U145" s="1"/>
  <c r="H144"/>
  <c r="S92"/>
  <c r="S124"/>
  <c r="S123"/>
  <c r="O123"/>
  <c r="U123" s="1"/>
  <c r="H123"/>
  <c r="R100"/>
  <c r="R138"/>
  <c r="R142"/>
  <c r="U142" s="1"/>
  <c r="F142"/>
  <c r="H142" s="1"/>
  <c r="U138"/>
  <c r="H138"/>
  <c r="Q141"/>
  <c r="U141" s="1"/>
  <c r="Q125"/>
  <c r="Q92"/>
  <c r="Q71"/>
  <c r="H141"/>
  <c r="Q75"/>
  <c r="Q124"/>
  <c r="Q135"/>
  <c r="Q137"/>
  <c r="U137" s="1"/>
  <c r="H137"/>
  <c r="Q101"/>
  <c r="Q69"/>
  <c r="S56"/>
  <c r="R51"/>
  <c r="S36"/>
  <c r="S41"/>
  <c r="L34"/>
  <c r="P134"/>
  <c r="N121"/>
  <c r="P62"/>
  <c r="P115"/>
  <c r="P116"/>
  <c r="U134"/>
  <c r="H134"/>
  <c r="N108"/>
  <c r="P133"/>
  <c r="U133" s="1"/>
  <c r="H133"/>
  <c r="P132"/>
  <c r="U132" s="1"/>
  <c r="H132"/>
  <c r="P131"/>
  <c r="U131" s="1"/>
  <c r="H131"/>
  <c r="P130"/>
  <c r="U130" s="1"/>
  <c r="H130"/>
  <c r="P129"/>
  <c r="U129" s="1"/>
  <c r="H129"/>
  <c r="P128"/>
  <c r="U128" s="1"/>
  <c r="H128"/>
  <c r="P127"/>
  <c r="U127" s="1"/>
  <c r="H127"/>
  <c r="P126"/>
  <c r="U126" s="1"/>
  <c r="H126"/>
  <c r="N104"/>
  <c r="O105"/>
  <c r="U105" s="1"/>
  <c r="M105"/>
  <c r="M104"/>
  <c r="H105"/>
  <c r="P124"/>
  <c r="P136"/>
  <c r="U136"/>
  <c r="H136"/>
  <c r="P73"/>
  <c r="P71"/>
  <c r="P135"/>
  <c r="U135" s="1"/>
  <c r="H135"/>
  <c r="P117"/>
  <c r="L51"/>
  <c r="P52"/>
  <c r="O125"/>
  <c r="U125" s="1"/>
  <c r="H125"/>
  <c r="O124"/>
  <c r="U124" s="1"/>
  <c r="H124"/>
  <c r="O92"/>
  <c r="O101"/>
  <c r="O62"/>
  <c r="O122"/>
  <c r="U122" s="1"/>
  <c r="H122"/>
  <c r="U82"/>
  <c r="N101"/>
  <c r="N62"/>
  <c r="F120"/>
  <c r="N120" s="1"/>
  <c r="U120" s="1"/>
  <c r="N118"/>
  <c r="U118" s="1"/>
  <c r="N117"/>
  <c r="U117" s="1"/>
  <c r="H117"/>
  <c r="H118"/>
  <c r="N116"/>
  <c r="U116" s="1"/>
  <c r="H116"/>
  <c r="N115"/>
  <c r="U115" s="1"/>
  <c r="H115"/>
  <c r="H145" l="1"/>
  <c r="H120"/>
  <c r="H108"/>
  <c r="H121" l="1"/>
  <c r="U121"/>
  <c r="N92"/>
  <c r="H119"/>
  <c r="N119"/>
  <c r="U119" s="1"/>
  <c r="H111"/>
  <c r="H112"/>
  <c r="H113"/>
  <c r="H114"/>
  <c r="N112"/>
  <c r="U112" s="1"/>
  <c r="N113"/>
  <c r="U113" s="1"/>
  <c r="N114"/>
  <c r="U114" s="1"/>
  <c r="N111"/>
  <c r="U111" s="1"/>
  <c r="N110"/>
  <c r="U110" s="1"/>
  <c r="U108"/>
  <c r="N109"/>
  <c r="U109" s="1"/>
  <c r="H109"/>
  <c r="H110"/>
  <c r="M107" l="1"/>
  <c r="U107" s="1"/>
  <c r="H107"/>
  <c r="U104" l="1"/>
  <c r="M106"/>
  <c r="U106" s="1"/>
  <c r="H106"/>
  <c r="H104"/>
  <c r="I52" l="1"/>
  <c r="M20" l="1"/>
  <c r="L56"/>
  <c r="L52"/>
  <c r="L36" l="1"/>
  <c r="L41"/>
  <c r="K34"/>
  <c r="K62"/>
  <c r="K56"/>
  <c r="K36" l="1"/>
  <c r="K41"/>
  <c r="J34"/>
  <c r="J92"/>
  <c r="H102"/>
  <c r="J102"/>
  <c r="U102" s="1"/>
  <c r="H103"/>
  <c r="J103"/>
  <c r="U103" s="1"/>
  <c r="J101"/>
  <c r="H101" l="1"/>
  <c r="U101"/>
  <c r="J62"/>
  <c r="O80"/>
  <c r="U80" s="1"/>
  <c r="I98"/>
  <c r="I97"/>
  <c r="F97"/>
  <c r="I96"/>
  <c r="I95"/>
  <c r="I94"/>
  <c r="I92"/>
  <c r="I100"/>
  <c r="I99"/>
  <c r="F99"/>
  <c r="I93"/>
  <c r="I62"/>
  <c r="U100" l="1"/>
  <c r="H100"/>
  <c r="U99"/>
  <c r="H99"/>
  <c r="F27" l="1"/>
  <c r="U98"/>
  <c r="H98"/>
  <c r="U97"/>
  <c r="H97"/>
  <c r="U96"/>
  <c r="H96"/>
  <c r="U95"/>
  <c r="H95"/>
  <c r="H94"/>
  <c r="H93"/>
  <c r="H92"/>
  <c r="H147" s="1"/>
  <c r="Q27" l="1"/>
  <c r="R27"/>
  <c r="P27"/>
  <c r="O27"/>
  <c r="N27"/>
  <c r="M27"/>
  <c r="U92"/>
  <c r="U93"/>
  <c r="U94"/>
  <c r="H80"/>
  <c r="F60"/>
  <c r="J56"/>
  <c r="J41"/>
  <c r="J36"/>
  <c r="U51"/>
  <c r="I75"/>
  <c r="U75" s="1"/>
  <c r="U78"/>
  <c r="U74"/>
  <c r="U73"/>
  <c r="U72"/>
  <c r="U71"/>
  <c r="U69"/>
  <c r="U63"/>
  <c r="U62"/>
  <c r="U59"/>
  <c r="U57"/>
  <c r="U52"/>
  <c r="U37"/>
  <c r="U30"/>
  <c r="U29"/>
  <c r="U20"/>
  <c r="I56"/>
  <c r="U56" s="1"/>
  <c r="I41"/>
  <c r="U41" s="1"/>
  <c r="I36"/>
  <c r="I34"/>
  <c r="U34" s="1"/>
  <c r="H60"/>
  <c r="T60" l="1"/>
  <c r="S60"/>
  <c r="U147"/>
  <c r="R60"/>
  <c r="P60"/>
  <c r="Q60"/>
  <c r="O60"/>
  <c r="N60"/>
  <c r="M60"/>
  <c r="L60"/>
  <c r="K60"/>
  <c r="U27"/>
  <c r="U36"/>
  <c r="J60"/>
  <c r="I60"/>
  <c r="H74"/>
  <c r="H72"/>
  <c r="H56"/>
  <c r="F52"/>
  <c r="U60" l="1"/>
  <c r="H37"/>
  <c r="H36"/>
  <c r="F39"/>
  <c r="F35"/>
  <c r="F14"/>
  <c r="M14" s="1"/>
  <c r="F15"/>
  <c r="F16"/>
  <c r="F17"/>
  <c r="F18"/>
  <c r="F19"/>
  <c r="S39" l="1"/>
  <c r="T39"/>
  <c r="S35"/>
  <c r="T35"/>
  <c r="M18"/>
  <c r="U18" s="1"/>
  <c r="M16"/>
  <c r="U16" s="1"/>
  <c r="U14"/>
  <c r="M19"/>
  <c r="U19" s="1"/>
  <c r="M17"/>
  <c r="U17" s="1"/>
  <c r="M15"/>
  <c r="U15" s="1"/>
  <c r="L35"/>
  <c r="K35"/>
  <c r="L39"/>
  <c r="K39"/>
  <c r="I35"/>
  <c r="J35"/>
  <c r="I39"/>
  <c r="J39"/>
  <c r="H59"/>
  <c r="H20"/>
  <c r="U39" l="1"/>
  <c r="U35"/>
  <c r="F150"/>
  <c r="H149"/>
  <c r="E84"/>
  <c r="H88" s="1"/>
  <c r="F82"/>
  <c r="H82" s="1"/>
  <c r="F81"/>
  <c r="H78"/>
  <c r="H76"/>
  <c r="F75"/>
  <c r="H75" s="1"/>
  <c r="H71"/>
  <c r="H69"/>
  <c r="F68"/>
  <c r="M68" s="1"/>
  <c r="F67"/>
  <c r="M67" s="1"/>
  <c r="F66"/>
  <c r="M66" s="1"/>
  <c r="F65"/>
  <c r="M65" s="1"/>
  <c r="F64"/>
  <c r="M64" s="1"/>
  <c r="H63"/>
  <c r="H62"/>
  <c r="H57"/>
  <c r="F55"/>
  <c r="H52"/>
  <c r="H51"/>
  <c r="F50"/>
  <c r="F49"/>
  <c r="F48"/>
  <c r="F47"/>
  <c r="F46"/>
  <c r="F45"/>
  <c r="F44"/>
  <c r="H41"/>
  <c r="F40"/>
  <c r="H39"/>
  <c r="F38"/>
  <c r="H35"/>
  <c r="H34"/>
  <c r="F31"/>
  <c r="T31" s="1"/>
  <c r="H30"/>
  <c r="H29"/>
  <c r="F28"/>
  <c r="H27"/>
  <c r="F26"/>
  <c r="F25"/>
  <c r="F24"/>
  <c r="F21"/>
  <c r="M21" s="1"/>
  <c r="H18"/>
  <c r="H17"/>
  <c r="H14"/>
  <c r="E13"/>
  <c r="F13" s="1"/>
  <c r="T13" s="1"/>
  <c r="F12"/>
  <c r="T12" s="1"/>
  <c r="F11"/>
  <c r="S11" l="1"/>
  <c r="T11"/>
  <c r="S55"/>
  <c r="T55"/>
  <c r="T81"/>
  <c r="S81"/>
  <c r="S28"/>
  <c r="T28"/>
  <c r="S38"/>
  <c r="T38"/>
  <c r="S40"/>
  <c r="T40"/>
  <c r="Q48"/>
  <c r="T48"/>
  <c r="R11"/>
  <c r="P11"/>
  <c r="Q11"/>
  <c r="Q13"/>
  <c r="S13"/>
  <c r="R13"/>
  <c r="Q25"/>
  <c r="R25"/>
  <c r="Q31"/>
  <c r="S31"/>
  <c r="R31"/>
  <c r="M45"/>
  <c r="Q45"/>
  <c r="M47"/>
  <c r="Q47"/>
  <c r="L49"/>
  <c r="R49"/>
  <c r="L55"/>
  <c r="R81"/>
  <c r="P81"/>
  <c r="Q81"/>
  <c r="R12"/>
  <c r="Q12"/>
  <c r="S12"/>
  <c r="R24"/>
  <c r="P24"/>
  <c r="Q24"/>
  <c r="M26"/>
  <c r="R28"/>
  <c r="Q28"/>
  <c r="M44"/>
  <c r="Q44"/>
  <c r="M46"/>
  <c r="Q46"/>
  <c r="L50"/>
  <c r="R50"/>
  <c r="P12"/>
  <c r="O12"/>
  <c r="N11"/>
  <c r="O11"/>
  <c r="P13"/>
  <c r="O13"/>
  <c r="P25"/>
  <c r="O25"/>
  <c r="N31"/>
  <c r="P31"/>
  <c r="O31"/>
  <c r="N81"/>
  <c r="O81"/>
  <c r="O24"/>
  <c r="N24"/>
  <c r="P28"/>
  <c r="O28"/>
  <c r="N28"/>
  <c r="N12"/>
  <c r="M12"/>
  <c r="L12"/>
  <c r="K12"/>
  <c r="M11"/>
  <c r="L11"/>
  <c r="K11"/>
  <c r="J11"/>
  <c r="N13"/>
  <c r="M13"/>
  <c r="L13"/>
  <c r="K13"/>
  <c r="N25"/>
  <c r="M25"/>
  <c r="M31"/>
  <c r="L31"/>
  <c r="K31"/>
  <c r="K55"/>
  <c r="J55"/>
  <c r="M81"/>
  <c r="L81"/>
  <c r="K81"/>
  <c r="J81"/>
  <c r="M24"/>
  <c r="M28"/>
  <c r="L28"/>
  <c r="K28"/>
  <c r="J28"/>
  <c r="L38"/>
  <c r="K38"/>
  <c r="L40"/>
  <c r="K40"/>
  <c r="J48"/>
  <c r="M48"/>
  <c r="H26"/>
  <c r="U26"/>
  <c r="H21"/>
  <c r="U21"/>
  <c r="H25"/>
  <c r="H64"/>
  <c r="U64"/>
  <c r="H66"/>
  <c r="U66"/>
  <c r="H68"/>
  <c r="U68"/>
  <c r="H24"/>
  <c r="H65"/>
  <c r="U65"/>
  <c r="H67"/>
  <c r="U67"/>
  <c r="I11"/>
  <c r="U11" s="1"/>
  <c r="I12"/>
  <c r="J12"/>
  <c r="I28"/>
  <c r="U28" s="1"/>
  <c r="J38"/>
  <c r="J40"/>
  <c r="H44"/>
  <c r="H46"/>
  <c r="U46"/>
  <c r="I48"/>
  <c r="H50"/>
  <c r="U50"/>
  <c r="I13"/>
  <c r="J13"/>
  <c r="J31"/>
  <c r="H45"/>
  <c r="U45"/>
  <c r="H47"/>
  <c r="U47"/>
  <c r="H49"/>
  <c r="U49"/>
  <c r="I81"/>
  <c r="U81" s="1"/>
  <c r="H31"/>
  <c r="I31"/>
  <c r="H55"/>
  <c r="H79" s="1"/>
  <c r="I55"/>
  <c r="U55" s="1"/>
  <c r="H38"/>
  <c r="I38"/>
  <c r="U38" s="1"/>
  <c r="H40"/>
  <c r="I40"/>
  <c r="U40" s="1"/>
  <c r="H81"/>
  <c r="H83" s="1"/>
  <c r="H28"/>
  <c r="H48"/>
  <c r="H11"/>
  <c r="H12"/>
  <c r="H16"/>
  <c r="H13"/>
  <c r="H15"/>
  <c r="F84"/>
  <c r="H19"/>
  <c r="H42"/>
  <c r="T84" l="1"/>
  <c r="S84"/>
  <c r="U44"/>
  <c r="R84"/>
  <c r="P84"/>
  <c r="Q84"/>
  <c r="U24"/>
  <c r="N84"/>
  <c r="O84"/>
  <c r="M84"/>
  <c r="L84"/>
  <c r="J84"/>
  <c r="J150" s="1"/>
  <c r="K84"/>
  <c r="H53"/>
  <c r="H32"/>
  <c r="U79"/>
  <c r="U86" s="1"/>
  <c r="U31"/>
  <c r="T150"/>
  <c r="Q150"/>
  <c r="R150"/>
  <c r="P150"/>
  <c r="M150"/>
  <c r="U25"/>
  <c r="U32" s="1"/>
  <c r="N150"/>
  <c r="O150"/>
  <c r="S150"/>
  <c r="I84"/>
  <c r="U84" s="1"/>
  <c r="L150"/>
  <c r="U83"/>
  <c r="U13"/>
  <c r="U48"/>
  <c r="U53" s="1"/>
  <c r="U12"/>
  <c r="K150"/>
  <c r="U42"/>
  <c r="H84"/>
  <c r="H85" s="1"/>
  <c r="H22"/>
  <c r="U22" l="1"/>
  <c r="U85"/>
  <c r="I150"/>
  <c r="H86"/>
  <c r="H89" s="1"/>
  <c r="G150" s="1"/>
  <c r="H150" s="1"/>
  <c r="C156" l="1"/>
  <c r="U150" l="1"/>
  <c r="C155" l="1"/>
  <c r="C159"/>
</calcChain>
</file>

<file path=xl/sharedStrings.xml><?xml version="1.0" encoding="utf-8"?>
<sst xmlns="http://schemas.openxmlformats.org/spreadsheetml/2006/main" count="441" uniqueCount="307">
  <si>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</si>
  <si>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</si>
  <si>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</si>
  <si>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</si>
  <si>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</si>
  <si>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</si>
  <si>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</si>
  <si>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</si>
  <si>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</si>
  <si>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</si>
  <si>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</si>
  <si>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</si>
  <si>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</si>
  <si>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</si>
  <si>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</si>
  <si>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</si>
  <si>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</si>
  <si>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</si>
  <si>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</si>
  <si>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</si>
  <si>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</si>
  <si>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</si>
  <si>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</si>
  <si>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</si>
  <si>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</si>
  <si>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</si>
  <si>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</si>
  <si>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</si>
  <si>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</si>
  <si>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</si>
  <si>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</si>
  <si>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</si>
  <si>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</si>
  <si>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</si>
  <si>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</si>
  <si>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</si>
  <si>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</si>
  <si>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</si>
  <si>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</si>
  <si>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</si>
  <si>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</si>
  <si>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</si>
  <si>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</si>
  <si>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</si>
  <si>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</si>
  <si>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</si>
  <si>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</si>
  <si>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</si>
  <si>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</si>
  <si>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</si>
  <si>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</si>
  <si>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</si>
  <si>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</si>
  <si>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</si>
  <si>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</si>
  <si>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</si>
  <si>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</si>
  <si>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</si>
  <si>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</si>
  <si>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</si>
  <si>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</si>
  <si>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</si>
  <si>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</si>
  <si>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</si>
  <si>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</si>
  <si>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</si>
  <si>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</si>
  <si>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</si>
  <si>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</si>
  <si>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</si>
  <si>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</si>
  <si>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</si>
  <si>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</si>
  <si>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</si>
  <si>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</si>
  <si>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</si>
  <si>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</si>
  <si>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</si>
  <si>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</si>
  <si>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</si>
  <si>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</si>
  <si>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</si>
  <si>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</si>
  <si>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</si>
  <si>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</si>
  <si>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Смена выключателей</t>
  </si>
  <si>
    <t>Смена патронов</t>
  </si>
  <si>
    <t>Замена ламп ДРЛ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</si>
  <si>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</si>
  <si>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</si>
  <si>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</si>
  <si>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</si>
  <si>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</si>
  <si>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</si>
  <si>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</si>
  <si>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Ремонт рулонной кровли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</si>
  <si>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</si>
  <si>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</si>
  <si>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</si>
  <si>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</si>
  <si>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</si>
  <si>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</si>
  <si>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</si>
  <si>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</si>
  <si>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</si>
  <si>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</si>
  <si>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</si>
  <si>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</si>
  <si>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Влажная протирка шкафов для щитов и слаботочн. устройств</t>
  </si>
  <si>
    <t>3 раза в год</t>
  </si>
  <si>
    <t>Очистка чердака, подвала от мусора</t>
  </si>
  <si>
    <t>12 раз за сезон</t>
  </si>
  <si>
    <t>24 раза за сезон</t>
  </si>
  <si>
    <t>30 раз за сезон</t>
  </si>
  <si>
    <t>Вывоз снега с придомовой территории</t>
  </si>
  <si>
    <t>Очистка внутреннего водостока</t>
  </si>
  <si>
    <t>водосток</t>
  </si>
  <si>
    <t xml:space="preserve">Очистка водостоков от наледи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</si>
  <si>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</si>
  <si>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</si>
  <si>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</si>
  <si>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</si>
  <si>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Дератизация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</si>
  <si>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</si>
  <si>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</si>
  <si>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</si>
  <si>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</si>
  <si>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</si>
  <si>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</si>
  <si>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</si>
  <si>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</si>
  <si>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</si>
  <si>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</si>
  <si>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</si>
  <si>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калькуляция</t>
  </si>
  <si>
    <t>Ремонт групповых щитков на лестничной клетке без ремонта автоматов</t>
  </si>
  <si>
    <t>Ремонт и регулировка доводчика (без стоимости доводчика)</t>
  </si>
  <si>
    <t>1шт.</t>
  </si>
  <si>
    <t>Стоимость (руб.)</t>
  </si>
  <si>
    <t>5 этажей, 8 подъездов</t>
  </si>
  <si>
    <t>договор</t>
  </si>
  <si>
    <t>ТО внутридомового газ.оборудования</t>
  </si>
  <si>
    <t>Выполне ние       май</t>
  </si>
  <si>
    <t>Баланс выполненных работ на 01.01.2016 г. ( -долг за предприятием, +долг за населением)</t>
  </si>
  <si>
    <t>Смена дверных приборов - пружины</t>
  </si>
  <si>
    <t>Демонтаж осветительных приборов. Выключатели, розетки</t>
  </si>
  <si>
    <t>10шт</t>
  </si>
  <si>
    <t>Ремонт дверных коробок в каменных стенах со снятием полотна</t>
  </si>
  <si>
    <t>коробка</t>
  </si>
  <si>
    <t>Ремонт дверных полотен со сменой брусков обвязки горизонтальных на 2 сопряжения верхних</t>
  </si>
  <si>
    <t>брусок</t>
  </si>
  <si>
    <t>Установка дверных полотен наружных кроме балконных (без стоимости полотен)</t>
  </si>
  <si>
    <t>полотно</t>
  </si>
  <si>
    <t>Смена дверных приборов - петли</t>
  </si>
  <si>
    <t>Начислено за содержание и текущий ремонт за  2016  г.</t>
  </si>
  <si>
    <t>Выполнено работ по содержанию за       2016 г.</t>
  </si>
  <si>
    <t>Выполнено работ по текущему ремонту за 2016 г.</t>
  </si>
  <si>
    <t>Фактически оплачено за 2016 г.</t>
  </si>
  <si>
    <t>место</t>
  </si>
  <si>
    <t>Ремонт силового предохранительного шкафа (без стоимости материалов)</t>
  </si>
  <si>
    <t>Смена плавкой вставки на электрощите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</si>
  <si>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2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</si>
  <si>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С учетом показателя инфляции (К=1,094)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</si>
  <si>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</si>
  <si>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</si>
  <si>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</si>
  <si>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</si>
  <si>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>Сдвигание снега в дни снегопада (проезды)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</si>
  <si>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</si>
  <si>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</si>
  <si>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</si>
  <si>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</si>
  <si>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</si>
  <si>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</si>
  <si>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смета</t>
  </si>
  <si>
    <t>1 м</t>
  </si>
  <si>
    <t>1 шт</t>
  </si>
  <si>
    <t>Ремонт вентиля</t>
  </si>
  <si>
    <t>Осмотр рулонной кровли</t>
  </si>
  <si>
    <t>Ремонт ограждений контейнерной площадки</t>
  </si>
  <si>
    <t>тыс.руб.</t>
  </si>
  <si>
    <t xml:space="preserve">Смена полиэтиленовых канализационных труб 110×2000 мм </t>
  </si>
  <si>
    <t>Смена полиэтиленовых канализационных труб 110×1000 мм</t>
  </si>
  <si>
    <t>счёт</t>
  </si>
  <si>
    <t>Манжета 110 мм</t>
  </si>
  <si>
    <t>Ревизия 110 мм</t>
  </si>
  <si>
    <t>Патрубок компнсационный ПП Ду 110</t>
  </si>
  <si>
    <t>Переход чугун-пластик Ду 110 с манжетой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</si>
  <si>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</si>
  <si>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</si>
  <si>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Работа гона</t>
  </si>
  <si>
    <t>маш/час</t>
  </si>
  <si>
    <t>Устройство хомута диметром до 50 мм</t>
  </si>
  <si>
    <t>Смена арматуры - вентилей и клапанов обратных муфтовых диаметром до 20 мм</t>
  </si>
  <si>
    <t>Смена арматуры - вентилей и клапанов обратных муфтовых диаметром до 32 мм</t>
  </si>
  <si>
    <t xml:space="preserve">Смена тройника диаметром 15 мм </t>
  </si>
  <si>
    <t xml:space="preserve">Смена тройника диаметром 25 мм </t>
  </si>
  <si>
    <t>Ремонт штукатурки потолков по камню известковым раствором площадью до 1 м2 толщиной слоя до 20 мм</t>
  </si>
  <si>
    <t>10 м2</t>
  </si>
  <si>
    <t>Прочистка засоров ГВС, XВC</t>
  </si>
  <si>
    <t>3м</t>
  </si>
  <si>
    <t>Внеплановый осмотр электросетей, армазуры и электрооборудования на лестничных клетках</t>
  </si>
  <si>
    <t>Смена дверных приборов (замки навесные)</t>
  </si>
  <si>
    <t>ТЕР 51-001</t>
  </si>
  <si>
    <t>ТЕР 51-009</t>
  </si>
  <si>
    <t>ТЕР 51-025</t>
  </si>
  <si>
    <t>ТЕР 51-031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</si>
  <si>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</si>
  <si>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</si>
  <si>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</si>
  <si>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</si>
  <si>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</si>
  <si>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</si>
  <si>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</si>
  <si>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</si>
  <si>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</si>
  <si>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</si>
  <si>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</si>
  <si>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</si>
  <si>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</si>
  <si>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</si>
  <si>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</si>
  <si>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</si>
  <si>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</si>
  <si>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</si>
  <si>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</si>
  <si>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</si>
  <si>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</si>
  <si>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</si>
  <si>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</si>
  <si>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</si>
  <si>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 xml:space="preserve">пр.ТЕР 54-041 </t>
  </si>
  <si>
    <t>пр.ТЕР 54-041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</si>
  <si>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</si>
  <si>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</si>
  <si>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</si>
  <si>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</si>
  <si>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</si>
  <si>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</si>
  <si>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</si>
  <si>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</si>
  <si>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</si>
  <si>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33-025</t>
  </si>
  <si>
    <t>ТЕР 33-028</t>
  </si>
  <si>
    <t>ТЕР 33-043</t>
  </si>
  <si>
    <t>ТЕР 33-049</t>
  </si>
  <si>
    <t>ТЕР 33-030</t>
  </si>
  <si>
    <t>ТЕР 15-048</t>
  </si>
  <si>
    <t>ТЕР 15-006</t>
  </si>
  <si>
    <t>ТЕР 15-033</t>
  </si>
  <si>
    <t>ТЕР 15-013</t>
  </si>
  <si>
    <t>ТЕР 15-018</t>
  </si>
  <si>
    <t>ТЕР 33-013</t>
  </si>
  <si>
    <t>ТЕР 33-023</t>
  </si>
  <si>
    <t>пр.ТЕР 32-098</t>
  </si>
  <si>
    <t>ТЕР 33-032</t>
  </si>
  <si>
    <t>пр.ТЕР 32-071</t>
  </si>
  <si>
    <t>пр.ТЕР 32-083</t>
  </si>
  <si>
    <t>ТЕР 32-027</t>
  </si>
  <si>
    <t>ТЕР 32-028</t>
  </si>
  <si>
    <t>пр.ТЕР 31-009</t>
  </si>
  <si>
    <t>пр.ТЕР 31-010</t>
  </si>
  <si>
    <t>пр.ТЕР 2-2-1-2-7</t>
  </si>
  <si>
    <t>ТЕР 21-009</t>
  </si>
  <si>
    <t>ТЕР 32-101</t>
  </si>
  <si>
    <t>ТЕР 15-051</t>
  </si>
  <si>
    <t>Подключение и отключение сварочного аппарата</t>
  </si>
  <si>
    <t>ТЕР 33-060</t>
  </si>
  <si>
    <t>Смена отдельных участков наружной проводки</t>
  </si>
  <si>
    <t>ТЕР 33-034</t>
  </si>
  <si>
    <t>м</t>
  </si>
  <si>
    <t>Смена трубопроводов на полипропиленовые трубы PN20 диаметром 25 мм</t>
  </si>
  <si>
    <t>Смена трубопроводов на полипропиленовые трубы PN25 диаметром 25 мм</t>
  </si>
  <si>
    <t xml:space="preserve">пр.ТЕР 31-010 </t>
  </si>
  <si>
    <t xml:space="preserve">Смена колена диаметом 25 мм 90° </t>
  </si>
  <si>
    <r>
      <t>Смена тройника 25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20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25</t>
    </r>
  </si>
  <si>
    <r>
      <t>Муфта разъем. НР 20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1/2</t>
    </r>
  </si>
  <si>
    <r>
      <t>Муфта разъем. ВР 20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1/2</t>
    </r>
  </si>
  <si>
    <r>
      <t>Муфта комб. НР 25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3/4</t>
    </r>
  </si>
  <si>
    <r>
      <t>Муфта с накид. гайкой 25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3/4</t>
    </r>
  </si>
  <si>
    <r>
      <t>Муфта переход. ВР 25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3/4</t>
    </r>
  </si>
  <si>
    <r>
      <t>Муфта переход. НР 25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3/4</t>
    </r>
  </si>
  <si>
    <t>Смена трубопроводов на металлополимерные трубы диаметром 20мм</t>
  </si>
  <si>
    <t>Смена вентилей ПП Ду-20</t>
  </si>
  <si>
    <t>пр.ТЕР 32-027</t>
  </si>
  <si>
    <t>Ремонт и регулировка доводчика (со стоимостью доводчика)</t>
  </si>
  <si>
    <t>ТЕР 2-1-1б</t>
  </si>
  <si>
    <t>Внеплановая проверка вентканалов</t>
  </si>
  <si>
    <t>Смена вентилей диаметром до 32 мм (без стоимости материалов)</t>
  </si>
  <si>
    <t>100шт</t>
  </si>
  <si>
    <t>Внеплановый осмотр вводных электрических щитков</t>
  </si>
  <si>
    <t>Смена светодиодных светильников</t>
  </si>
  <si>
    <t>Смена трубопроводов на полипропиленовые трубы PN25 диаметром 20 мм</t>
  </si>
  <si>
    <t>пр.ТЕР 11-013</t>
  </si>
  <si>
    <t>Заделка окон фанерой</t>
  </si>
  <si>
    <t>100 м шва</t>
  </si>
  <si>
    <t>пр.ТЕР 07-05-039-1</t>
  </si>
  <si>
    <t>Устройство герметизации горизонтальных и вертикальных стыков стеновых панелей</t>
  </si>
  <si>
    <t xml:space="preserve">Смена сосков у трубопроводов диаметром до 20 мм </t>
  </si>
  <si>
    <t>фотоэл.</t>
  </si>
  <si>
    <t>пр.ТЕР 33-059</t>
  </si>
  <si>
    <t>Замена фотореле ФР-7Е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</si>
  <si>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</si>
  <si>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</si>
  <si>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Ремонт отдельными местами рулонного покрытия, промазка битумными составами отдельными местами рулонного покрытия, замена 2 слоев.</t>
  </si>
  <si>
    <t>ТЕР 17-014</t>
  </si>
  <si>
    <t>Работа автовышки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</si>
</sst>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13" borderId="3" xfId="0" applyNumberFormat="1" applyFont="1" applyFill="1" applyBorder="1" applyAlignment="1" applyProtection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1" fillId="13" borderId="3" xfId="0" applyNumberFormat="1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4" fontId="0" fillId="8" borderId="3" xfId="0" applyNumberForma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" fontId="1" fillId="4" borderId="0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0" borderId="20" xfId="0" applyFont="1" applyBorder="1"/>
    <xf numFmtId="0" fontId="1" fillId="5" borderId="20" xfId="0" applyFont="1" applyFill="1" applyBorder="1"/>
    <xf numFmtId="0" fontId="1" fillId="4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4" fontId="1" fillId="2" borderId="22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7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4" fontId="1" fillId="4" borderId="8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8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63"/>
  <sheetViews>
    <sheetView tabSelected="1" view="pageBreakPreview" zoomScaleNormal="75" zoomScaleSheetLayoutView="100" workbookViewId="0">
      <pane ySplit="7" topLeftCell="A50" activePane="bottomLeft" state="frozen"/>
      <selection activeCell="B1" sqref="B1"/>
      <selection pane="bottomLeft" activeCell="A57" sqref="A57:XFD57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2" width="9.85546875" customWidth="1"/>
    <col min="13" max="13" width="11.28515625" customWidth="1"/>
    <col min="14" max="14" width="9.85546875" customWidth="1"/>
    <col min="15" max="15" width="11.28515625" customWidth="1"/>
    <col min="16" max="20" width="9.85546875" customWidth="1"/>
    <col min="21" max="21" width="13.42578125" customWidth="1"/>
  </cols>
  <sheetData>
    <row r="1" spans="1:21" ht="14.25" customHeight="1">
      <c r="A1" s="160"/>
    </row>
    <row r="3" spans="1:21" ht="18">
      <c r="A3" s="134"/>
      <c r="B3" s="185" t="s">
        <v>0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72"/>
      <c r="N3" s="72"/>
      <c r="O3" s="72"/>
      <c r="P3" s="72"/>
      <c r="Q3" s="72"/>
      <c r="R3" s="72"/>
      <c r="S3" s="72"/>
      <c r="T3" s="72"/>
      <c r="U3" s="72"/>
    </row>
    <row r="4" spans="1:21" ht="35.25" customHeight="1">
      <c r="A4" s="72"/>
      <c r="B4" s="186" t="s">
        <v>1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72"/>
      <c r="N4" s="72"/>
      <c r="O4" s="72"/>
      <c r="P4" s="72"/>
      <c r="Q4" s="72"/>
      <c r="R4" s="72"/>
      <c r="S4" s="72"/>
      <c r="T4" s="72"/>
      <c r="U4" s="72"/>
    </row>
    <row r="5" spans="1:21" ht="18">
      <c r="A5" s="72"/>
      <c r="B5" s="186" t="s">
        <v>161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72"/>
      <c r="N5" s="72"/>
      <c r="O5" s="72"/>
      <c r="P5" s="72"/>
      <c r="Q5" s="72"/>
      <c r="R5" s="72"/>
      <c r="S5" s="72"/>
      <c r="T5" s="72"/>
      <c r="U5" s="72"/>
    </row>
    <row r="6" spans="1:21" ht="14.25">
      <c r="A6" s="72"/>
      <c r="B6" s="187" t="s">
        <v>139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72"/>
      <c r="N6" s="72"/>
      <c r="O6" s="72"/>
      <c r="P6" s="72"/>
      <c r="Q6" s="72"/>
      <c r="R6" s="72"/>
      <c r="S6" s="72"/>
      <c r="T6" s="72"/>
      <c r="U6" s="72"/>
    </row>
    <row r="7" spans="1:21" ht="50.25" customHeight="1">
      <c r="A7" s="146" t="s">
        <v>2</v>
      </c>
      <c r="B7" s="147" t="s">
        <v>3</v>
      </c>
      <c r="C7" s="147" t="s">
        <v>4</v>
      </c>
      <c r="D7" s="147" t="s">
        <v>5</v>
      </c>
      <c r="E7" s="147" t="s">
        <v>6</v>
      </c>
      <c r="F7" s="147" t="s">
        <v>7</v>
      </c>
      <c r="G7" s="147" t="s">
        <v>8</v>
      </c>
      <c r="H7" s="148" t="s">
        <v>9</v>
      </c>
      <c r="I7" s="28" t="s">
        <v>123</v>
      </c>
      <c r="J7" s="28" t="s">
        <v>124</v>
      </c>
      <c r="K7" s="28" t="s">
        <v>125</v>
      </c>
      <c r="L7" s="28" t="s">
        <v>126</v>
      </c>
      <c r="M7" s="28" t="s">
        <v>142</v>
      </c>
      <c r="N7" s="28" t="s">
        <v>127</v>
      </c>
      <c r="O7" s="28" t="s">
        <v>128</v>
      </c>
      <c r="P7" s="28" t="s">
        <v>129</v>
      </c>
      <c r="Q7" s="28" t="s">
        <v>130</v>
      </c>
      <c r="R7" s="28" t="s">
        <v>131</v>
      </c>
      <c r="S7" s="28" t="s">
        <v>132</v>
      </c>
      <c r="T7" s="28" t="s">
        <v>133</v>
      </c>
      <c r="U7" s="28" t="s">
        <v>138</v>
      </c>
    </row>
    <row r="8" spans="1:21">
      <c r="A8" s="149">
        <v>1</v>
      </c>
      <c r="B8" s="8">
        <v>2</v>
      </c>
      <c r="C8" s="29">
        <v>3</v>
      </c>
      <c r="D8" s="8">
        <v>4</v>
      </c>
      <c r="E8" s="8">
        <v>5</v>
      </c>
      <c r="F8" s="29">
        <v>6</v>
      </c>
      <c r="G8" s="29">
        <v>7</v>
      </c>
      <c r="H8" s="30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  <c r="T8" s="31">
        <v>20</v>
      </c>
      <c r="U8" s="31">
        <v>21</v>
      </c>
    </row>
    <row r="9" spans="1:21" ht="38.25">
      <c r="A9" s="149"/>
      <c r="B9" s="10" t="s">
        <v>10</v>
      </c>
      <c r="C9" s="29"/>
      <c r="D9" s="11"/>
      <c r="E9" s="11"/>
      <c r="F9" s="29"/>
      <c r="G9" s="29"/>
      <c r="H9" s="32"/>
      <c r="I9" s="33"/>
      <c r="J9" s="33"/>
      <c r="K9" s="33"/>
      <c r="L9" s="33"/>
      <c r="M9" s="34"/>
      <c r="N9" s="35"/>
      <c r="O9" s="35"/>
      <c r="P9" s="35"/>
      <c r="Q9" s="35"/>
      <c r="R9" s="35"/>
      <c r="S9" s="35"/>
      <c r="T9" s="35"/>
      <c r="U9" s="35"/>
    </row>
    <row r="10" spans="1:21">
      <c r="A10" s="149"/>
      <c r="B10" s="10" t="s">
        <v>11</v>
      </c>
      <c r="C10" s="29"/>
      <c r="D10" s="11"/>
      <c r="E10" s="11"/>
      <c r="F10" s="29"/>
      <c r="G10" s="29"/>
      <c r="H10" s="32"/>
      <c r="I10" s="33"/>
      <c r="J10" s="33"/>
      <c r="K10" s="33"/>
      <c r="L10" s="33"/>
      <c r="M10" s="34"/>
      <c r="N10" s="35"/>
      <c r="O10" s="35"/>
      <c r="P10" s="35"/>
      <c r="Q10" s="35"/>
      <c r="R10" s="35"/>
      <c r="S10" s="35"/>
      <c r="T10" s="35"/>
      <c r="U10" s="35"/>
    </row>
    <row r="11" spans="1:21" ht="25.5">
      <c r="A11" s="149" t="s">
        <v>203</v>
      </c>
      <c r="B11" s="11" t="s">
        <v>12</v>
      </c>
      <c r="C11" s="29" t="s">
        <v>13</v>
      </c>
      <c r="D11" s="11" t="s">
        <v>14</v>
      </c>
      <c r="E11" s="36">
        <v>129.88</v>
      </c>
      <c r="F11" s="37">
        <f>SUM(E11*156/100)</f>
        <v>202.61279999999999</v>
      </c>
      <c r="G11" s="37">
        <v>175.38</v>
      </c>
      <c r="H11" s="38">
        <f t="shared" ref="H11:H21" si="0">SUM(F11*G11/1000)</f>
        <v>35.534232863999996</v>
      </c>
      <c r="I11" s="39">
        <f>F11/12*G11</f>
        <v>2961.186072</v>
      </c>
      <c r="J11" s="39">
        <f>F11/12*G11</f>
        <v>2961.186072</v>
      </c>
      <c r="K11" s="39">
        <f>F11/12*G11</f>
        <v>2961.186072</v>
      </c>
      <c r="L11" s="39">
        <f>F11/12*G11</f>
        <v>2961.186072</v>
      </c>
      <c r="M11" s="39">
        <f>F11/12*G11</f>
        <v>2961.186072</v>
      </c>
      <c r="N11" s="39">
        <f>F11/12*G11</f>
        <v>2961.186072</v>
      </c>
      <c r="O11" s="39">
        <f>F11/12*G11</f>
        <v>2961.186072</v>
      </c>
      <c r="P11" s="39">
        <f>F11/12*G11</f>
        <v>2961.186072</v>
      </c>
      <c r="Q11" s="39">
        <f>F11/12*G11</f>
        <v>2961.186072</v>
      </c>
      <c r="R11" s="39">
        <f>F11/12*G11</f>
        <v>2961.186072</v>
      </c>
      <c r="S11" s="39">
        <f>F11/12*G11</f>
        <v>2961.186072</v>
      </c>
      <c r="T11" s="39">
        <f>F11/12*G11</f>
        <v>2961.186072</v>
      </c>
      <c r="U11" s="39">
        <f>SUM(I11:T11)</f>
        <v>35534.232863999998</v>
      </c>
    </row>
    <row r="12" spans="1:21" ht="25.5">
      <c r="A12" s="149" t="s">
        <v>203</v>
      </c>
      <c r="B12" s="11" t="s">
        <v>15</v>
      </c>
      <c r="C12" s="29" t="s">
        <v>13</v>
      </c>
      <c r="D12" s="11" t="s">
        <v>16</v>
      </c>
      <c r="E12" s="36">
        <v>519.52</v>
      </c>
      <c r="F12" s="37">
        <f>SUM(E12*104/100)</f>
        <v>540.30079999999998</v>
      </c>
      <c r="G12" s="37">
        <v>175.38</v>
      </c>
      <c r="H12" s="38">
        <f t="shared" si="0"/>
        <v>94.757954303999995</v>
      </c>
      <c r="I12" s="39">
        <f>F12/12*G12</f>
        <v>7896.4961919999996</v>
      </c>
      <c r="J12" s="39">
        <f>F12/12*G12</f>
        <v>7896.4961919999996</v>
      </c>
      <c r="K12" s="39">
        <f t="shared" ref="K12:K13" si="1">F12/12*G12</f>
        <v>7896.4961919999996</v>
      </c>
      <c r="L12" s="39">
        <f t="shared" ref="L12:L13" si="2">F12/12*G12</f>
        <v>7896.4961919999996</v>
      </c>
      <c r="M12" s="39">
        <f t="shared" ref="M12:M13" si="3">F12/12*G12</f>
        <v>7896.4961919999996</v>
      </c>
      <c r="N12" s="39">
        <f t="shared" ref="N12:N13" si="4">F12/12*G12</f>
        <v>7896.4961919999996</v>
      </c>
      <c r="O12" s="39">
        <f t="shared" ref="O12:O13" si="5">F12/12*G12</f>
        <v>7896.4961919999996</v>
      </c>
      <c r="P12" s="39">
        <f t="shared" ref="P12:P13" si="6">F12/12*G12</f>
        <v>7896.4961919999996</v>
      </c>
      <c r="Q12" s="39">
        <f t="shared" ref="Q12:Q13" si="7">F12/12*G12</f>
        <v>7896.4961919999996</v>
      </c>
      <c r="R12" s="39">
        <f t="shared" ref="R12:R13" si="8">F12/12*G12</f>
        <v>7896.4961919999996</v>
      </c>
      <c r="S12" s="39">
        <f t="shared" ref="S12:S13" si="9">F12/12*G12</f>
        <v>7896.4961919999996</v>
      </c>
      <c r="T12" s="39">
        <f t="shared" ref="T12:T13" si="10">F12/12*G12</f>
        <v>7896.4961919999996</v>
      </c>
      <c r="U12" s="39">
        <f t="shared" ref="U12:U21" si="11">SUM(I12:T12)</f>
        <v>94757.954304000014</v>
      </c>
    </row>
    <row r="13" spans="1:21" ht="25.5">
      <c r="A13" s="149" t="s">
        <v>204</v>
      </c>
      <c r="B13" s="11" t="s">
        <v>17</v>
      </c>
      <c r="C13" s="29" t="s">
        <v>13</v>
      </c>
      <c r="D13" s="11" t="s">
        <v>18</v>
      </c>
      <c r="E13" s="36">
        <f>SUM(E11+E12)</f>
        <v>649.4</v>
      </c>
      <c r="F13" s="37">
        <f>SUM(E13*24/100)</f>
        <v>155.85599999999999</v>
      </c>
      <c r="G13" s="37">
        <v>504.5</v>
      </c>
      <c r="H13" s="38">
        <f t="shared" si="0"/>
        <v>78.629351999999997</v>
      </c>
      <c r="I13" s="39">
        <f>F13/12*G13</f>
        <v>6552.4459999999999</v>
      </c>
      <c r="J13" s="39">
        <f>F13/12*G13</f>
        <v>6552.4459999999999</v>
      </c>
      <c r="K13" s="39">
        <f t="shared" si="1"/>
        <v>6552.4459999999999</v>
      </c>
      <c r="L13" s="39">
        <f t="shared" si="2"/>
        <v>6552.4459999999999</v>
      </c>
      <c r="M13" s="39">
        <f t="shared" si="3"/>
        <v>6552.4459999999999</v>
      </c>
      <c r="N13" s="39">
        <f t="shared" si="4"/>
        <v>6552.4459999999999</v>
      </c>
      <c r="O13" s="39">
        <f t="shared" si="5"/>
        <v>6552.4459999999999</v>
      </c>
      <c r="P13" s="39">
        <f t="shared" si="6"/>
        <v>6552.4459999999999</v>
      </c>
      <c r="Q13" s="39">
        <f t="shared" si="7"/>
        <v>6552.4459999999999</v>
      </c>
      <c r="R13" s="39">
        <f t="shared" si="8"/>
        <v>6552.4459999999999</v>
      </c>
      <c r="S13" s="39">
        <f t="shared" si="9"/>
        <v>6552.4459999999999</v>
      </c>
      <c r="T13" s="39">
        <f t="shared" si="10"/>
        <v>6552.4459999999999</v>
      </c>
      <c r="U13" s="39">
        <f t="shared" si="11"/>
        <v>78629.351999999984</v>
      </c>
    </row>
    <row r="14" spans="1:21">
      <c r="A14" s="149" t="s">
        <v>206</v>
      </c>
      <c r="B14" s="11" t="s">
        <v>19</v>
      </c>
      <c r="C14" s="29" t="s">
        <v>20</v>
      </c>
      <c r="D14" s="11" t="s">
        <v>106</v>
      </c>
      <c r="E14" s="36">
        <v>124.8</v>
      </c>
      <c r="F14" s="37">
        <f>SUM(E14/10)</f>
        <v>12.48</v>
      </c>
      <c r="G14" s="37">
        <v>170.16</v>
      </c>
      <c r="H14" s="38">
        <f t="shared" si="0"/>
        <v>2.1235967999999996</v>
      </c>
      <c r="I14" s="39">
        <v>0</v>
      </c>
      <c r="J14" s="39">
        <v>0</v>
      </c>
      <c r="K14" s="39">
        <v>0</v>
      </c>
      <c r="L14" s="39">
        <v>0</v>
      </c>
      <c r="M14" s="39">
        <f>F14/2*G14</f>
        <v>1061.7983999999999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f t="shared" si="11"/>
        <v>1061.7983999999999</v>
      </c>
    </row>
    <row r="15" spans="1:21">
      <c r="A15" s="149" t="s">
        <v>205</v>
      </c>
      <c r="B15" s="11" t="s">
        <v>21</v>
      </c>
      <c r="C15" s="29" t="s">
        <v>13</v>
      </c>
      <c r="D15" s="11" t="s">
        <v>34</v>
      </c>
      <c r="E15" s="36">
        <v>57.5</v>
      </c>
      <c r="F15" s="37">
        <f>SUM(E15/100)</f>
        <v>0.57499999999999996</v>
      </c>
      <c r="G15" s="37">
        <v>217.88</v>
      </c>
      <c r="H15" s="38">
        <f t="shared" si="0"/>
        <v>0.125281</v>
      </c>
      <c r="I15" s="39">
        <v>0</v>
      </c>
      <c r="J15" s="39">
        <v>0</v>
      </c>
      <c r="K15" s="39">
        <v>0</v>
      </c>
      <c r="L15" s="39">
        <v>0</v>
      </c>
      <c r="M15" s="39">
        <f t="shared" ref="M15:M21" si="12">F15*G15</f>
        <v>125.28099999999999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f t="shared" si="11"/>
        <v>125.28099999999999</v>
      </c>
    </row>
    <row r="16" spans="1:21">
      <c r="A16" s="149" t="s">
        <v>207</v>
      </c>
      <c r="B16" s="11" t="s">
        <v>22</v>
      </c>
      <c r="C16" s="29" t="s">
        <v>13</v>
      </c>
      <c r="D16" s="11" t="s">
        <v>34</v>
      </c>
      <c r="E16" s="36">
        <v>13.41</v>
      </c>
      <c r="F16" s="37">
        <f>SUM(E16/100)</f>
        <v>0.1341</v>
      </c>
      <c r="G16" s="37">
        <v>216.12</v>
      </c>
      <c r="H16" s="38">
        <f t="shared" si="0"/>
        <v>2.8981692E-2</v>
      </c>
      <c r="I16" s="39">
        <v>0</v>
      </c>
      <c r="J16" s="39">
        <v>0</v>
      </c>
      <c r="K16" s="39">
        <v>0</v>
      </c>
      <c r="L16" s="39">
        <v>0</v>
      </c>
      <c r="M16" s="39">
        <f t="shared" si="12"/>
        <v>28.981691999999999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f t="shared" si="11"/>
        <v>28.981691999999999</v>
      </c>
    </row>
    <row r="17" spans="1:21">
      <c r="A17" s="149" t="s">
        <v>208</v>
      </c>
      <c r="B17" s="11" t="s">
        <v>23</v>
      </c>
      <c r="C17" s="29" t="s">
        <v>24</v>
      </c>
      <c r="D17" s="11" t="s">
        <v>106</v>
      </c>
      <c r="E17" s="36">
        <v>820.5</v>
      </c>
      <c r="F17" s="37">
        <f>SUM(E17/100)</f>
        <v>8.2050000000000001</v>
      </c>
      <c r="G17" s="37">
        <v>269.26</v>
      </c>
      <c r="H17" s="38">
        <f t="shared" si="0"/>
        <v>2.2092782999999998</v>
      </c>
      <c r="I17" s="39">
        <v>0</v>
      </c>
      <c r="J17" s="39">
        <v>0</v>
      </c>
      <c r="K17" s="39">
        <v>0</v>
      </c>
      <c r="L17" s="39">
        <v>0</v>
      </c>
      <c r="M17" s="39">
        <f t="shared" si="12"/>
        <v>2209.2782999999999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f t="shared" si="11"/>
        <v>2209.2782999999999</v>
      </c>
    </row>
    <row r="18" spans="1:21">
      <c r="A18" s="149" t="s">
        <v>209</v>
      </c>
      <c r="B18" s="11" t="s">
        <v>25</v>
      </c>
      <c r="C18" s="29" t="s">
        <v>24</v>
      </c>
      <c r="D18" s="11" t="s">
        <v>106</v>
      </c>
      <c r="E18" s="41">
        <v>60.25</v>
      </c>
      <c r="F18" s="37">
        <f>SUM(E18/100)</f>
        <v>0.60250000000000004</v>
      </c>
      <c r="G18" s="37">
        <v>44.29</v>
      </c>
      <c r="H18" s="38">
        <f t="shared" si="0"/>
        <v>2.6684724999999999E-2</v>
      </c>
      <c r="I18" s="39">
        <v>0</v>
      </c>
      <c r="J18" s="39">
        <v>0</v>
      </c>
      <c r="K18" s="39">
        <v>0</v>
      </c>
      <c r="L18" s="39">
        <v>0</v>
      </c>
      <c r="M18" s="39">
        <f t="shared" si="12"/>
        <v>26.684725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f t="shared" si="11"/>
        <v>26.684725</v>
      </c>
    </row>
    <row r="19" spans="1:21">
      <c r="A19" s="149" t="s">
        <v>210</v>
      </c>
      <c r="B19" s="11" t="s">
        <v>26</v>
      </c>
      <c r="C19" s="29" t="s">
        <v>24</v>
      </c>
      <c r="D19" s="11" t="s">
        <v>107</v>
      </c>
      <c r="E19" s="36">
        <v>19.149999999999999</v>
      </c>
      <c r="F19" s="37">
        <f>E19/100</f>
        <v>0.19149999999999998</v>
      </c>
      <c r="G19" s="37">
        <v>389.72</v>
      </c>
      <c r="H19" s="38">
        <f t="shared" si="0"/>
        <v>7.4631379999999997E-2</v>
      </c>
      <c r="I19" s="39">
        <v>0</v>
      </c>
      <c r="J19" s="39">
        <v>0</v>
      </c>
      <c r="K19" s="39">
        <v>0</v>
      </c>
      <c r="L19" s="39">
        <v>0</v>
      </c>
      <c r="M19" s="39">
        <f t="shared" si="12"/>
        <v>74.631379999999993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f t="shared" si="11"/>
        <v>74.631379999999993</v>
      </c>
    </row>
    <row r="20" spans="1:21" ht="25.5">
      <c r="A20" s="149" t="s">
        <v>211</v>
      </c>
      <c r="B20" s="11" t="s">
        <v>108</v>
      </c>
      <c r="C20" s="29" t="s">
        <v>24</v>
      </c>
      <c r="D20" s="11" t="s">
        <v>34</v>
      </c>
      <c r="E20" s="36">
        <v>31.5</v>
      </c>
      <c r="F20" s="37">
        <v>0.32</v>
      </c>
      <c r="G20" s="37">
        <v>216.12</v>
      </c>
      <c r="H20" s="38">
        <f>G20*F20/1000</f>
        <v>6.9158399999999995E-2</v>
      </c>
      <c r="I20" s="39">
        <v>0</v>
      </c>
      <c r="J20" s="39">
        <v>0</v>
      </c>
      <c r="K20" s="39">
        <v>0</v>
      </c>
      <c r="L20" s="39">
        <v>0</v>
      </c>
      <c r="M20" s="39">
        <f t="shared" si="12"/>
        <v>69.1584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f t="shared" si="11"/>
        <v>69.1584</v>
      </c>
    </row>
    <row r="21" spans="1:21">
      <c r="A21" s="149" t="s">
        <v>212</v>
      </c>
      <c r="B21" s="11" t="s">
        <v>27</v>
      </c>
      <c r="C21" s="29" t="s">
        <v>24</v>
      </c>
      <c r="D21" s="11" t="s">
        <v>106</v>
      </c>
      <c r="E21" s="36">
        <v>37.5</v>
      </c>
      <c r="F21" s="37">
        <f>SUM(E21/100)</f>
        <v>0.375</v>
      </c>
      <c r="G21" s="37">
        <v>520.79999999999995</v>
      </c>
      <c r="H21" s="38">
        <f t="shared" si="0"/>
        <v>0.19529999999999997</v>
      </c>
      <c r="I21" s="39">
        <v>0</v>
      </c>
      <c r="J21" s="39">
        <v>0</v>
      </c>
      <c r="K21" s="39">
        <v>0</v>
      </c>
      <c r="L21" s="39">
        <v>0</v>
      </c>
      <c r="M21" s="39">
        <f t="shared" si="12"/>
        <v>195.29999999999998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f t="shared" si="11"/>
        <v>195.29999999999998</v>
      </c>
    </row>
    <row r="22" spans="1:21" s="20" customFormat="1">
      <c r="A22" s="150"/>
      <c r="B22" s="21" t="s">
        <v>28</v>
      </c>
      <c r="C22" s="42"/>
      <c r="D22" s="21"/>
      <c r="E22" s="43"/>
      <c r="F22" s="44"/>
      <c r="G22" s="44"/>
      <c r="H22" s="45">
        <f>SUM(H11:H21)</f>
        <v>213.77445146499997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>
        <f>SUM(U11:U21)</f>
        <v>212712.65306499996</v>
      </c>
    </row>
    <row r="23" spans="1:21">
      <c r="A23" s="149"/>
      <c r="B23" s="13" t="s">
        <v>29</v>
      </c>
      <c r="C23" s="29"/>
      <c r="D23" s="11"/>
      <c r="E23" s="36"/>
      <c r="F23" s="37"/>
      <c r="G23" s="37"/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21" ht="25.5" customHeight="1">
      <c r="A24" s="149" t="s">
        <v>213</v>
      </c>
      <c r="B24" s="11" t="s">
        <v>163</v>
      </c>
      <c r="C24" s="29" t="s">
        <v>31</v>
      </c>
      <c r="D24" s="11" t="s">
        <v>30</v>
      </c>
      <c r="E24" s="37">
        <v>1304.45</v>
      </c>
      <c r="F24" s="37">
        <f>SUM(E24*52/1000)</f>
        <v>67.831400000000002</v>
      </c>
      <c r="G24" s="37">
        <v>155.88999999999999</v>
      </c>
      <c r="H24" s="38">
        <f>SUM(F24*G24/1000)</f>
        <v>10.574236945999999</v>
      </c>
      <c r="I24" s="39">
        <v>0</v>
      </c>
      <c r="J24" s="39">
        <v>0</v>
      </c>
      <c r="K24" s="39">
        <v>0</v>
      </c>
      <c r="L24" s="39">
        <v>0</v>
      </c>
      <c r="M24" s="39">
        <f>F24/6*G24</f>
        <v>1762.3728243333333</v>
      </c>
      <c r="N24" s="39">
        <f>F24/6*G24</f>
        <v>1762.3728243333333</v>
      </c>
      <c r="O24" s="39">
        <f>F24/6*G24</f>
        <v>1762.3728243333333</v>
      </c>
      <c r="P24" s="39">
        <f>F24/6*G24</f>
        <v>1762.3728243333333</v>
      </c>
      <c r="Q24" s="39">
        <f>F24/6*G24</f>
        <v>1762.3728243333333</v>
      </c>
      <c r="R24" s="39">
        <f>F24/6*G24</f>
        <v>1762.3728243333333</v>
      </c>
      <c r="S24" s="39">
        <v>0</v>
      </c>
      <c r="T24" s="39">
        <v>0</v>
      </c>
      <c r="U24" s="39">
        <f>SUM(I24:T24)</f>
        <v>10574.236945999999</v>
      </c>
    </row>
    <row r="25" spans="1:21" ht="38.25" customHeight="1">
      <c r="A25" s="149" t="s">
        <v>214</v>
      </c>
      <c r="B25" s="11" t="s">
        <v>164</v>
      </c>
      <c r="C25" s="29" t="s">
        <v>31</v>
      </c>
      <c r="D25" s="11" t="s">
        <v>32</v>
      </c>
      <c r="E25" s="37">
        <v>287.83999999999997</v>
      </c>
      <c r="F25" s="37">
        <f>SUM(E25*78/1000)</f>
        <v>22.451519999999995</v>
      </c>
      <c r="G25" s="37">
        <v>258.63</v>
      </c>
      <c r="H25" s="38">
        <f>SUM(F25*G25/1000)</f>
        <v>5.8066366175999979</v>
      </c>
      <c r="I25" s="39">
        <v>0</v>
      </c>
      <c r="J25" s="39">
        <v>0</v>
      </c>
      <c r="K25" s="39">
        <v>0</v>
      </c>
      <c r="L25" s="39">
        <v>0</v>
      </c>
      <c r="M25" s="39">
        <f>F25/6*G25</f>
        <v>967.77276959999972</v>
      </c>
      <c r="N25" s="39">
        <f t="shared" ref="N25:N27" si="13">F25/6*G25</f>
        <v>967.77276959999972</v>
      </c>
      <c r="O25" s="39">
        <f t="shared" ref="O25:O27" si="14">F25/6*G25</f>
        <v>967.77276959999972</v>
      </c>
      <c r="P25" s="39">
        <f t="shared" ref="P25:P27" si="15">F25/6*G25</f>
        <v>967.77276959999972</v>
      </c>
      <c r="Q25" s="39">
        <f t="shared" ref="Q25:Q27" si="16">F25/6*G25</f>
        <v>967.77276959999972</v>
      </c>
      <c r="R25" s="39">
        <f t="shared" ref="R25:R27" si="17">F25/6*G25</f>
        <v>967.77276959999972</v>
      </c>
      <c r="S25" s="39">
        <v>0</v>
      </c>
      <c r="T25" s="39">
        <v>0</v>
      </c>
      <c r="U25" s="39">
        <f t="shared" ref="U25:U31" si="18">SUM(I25:T25)</f>
        <v>5806.6366175999992</v>
      </c>
    </row>
    <row r="26" spans="1:21">
      <c r="A26" s="149" t="s">
        <v>215</v>
      </c>
      <c r="B26" s="11" t="s">
        <v>33</v>
      </c>
      <c r="C26" s="29" t="s">
        <v>31</v>
      </c>
      <c r="D26" s="11" t="s">
        <v>34</v>
      </c>
      <c r="E26" s="37">
        <v>1304.45</v>
      </c>
      <c r="F26" s="37">
        <f>SUM(E26/1000)</f>
        <v>1.3044500000000001</v>
      </c>
      <c r="G26" s="37">
        <v>3020.33</v>
      </c>
      <c r="H26" s="38">
        <f>SUM(F26*G26/1000)</f>
        <v>3.9398694685</v>
      </c>
      <c r="I26" s="39">
        <v>0</v>
      </c>
      <c r="J26" s="39">
        <v>0</v>
      </c>
      <c r="K26" s="39">
        <v>0</v>
      </c>
      <c r="L26" s="39">
        <v>0</v>
      </c>
      <c r="M26" s="39">
        <f>F26*G26</f>
        <v>3939.8694685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f t="shared" si="18"/>
        <v>3939.8694685</v>
      </c>
    </row>
    <row r="27" spans="1:21">
      <c r="A27" s="149" t="s">
        <v>216</v>
      </c>
      <c r="B27" s="11" t="s">
        <v>35</v>
      </c>
      <c r="C27" s="29" t="s">
        <v>36</v>
      </c>
      <c r="D27" s="11" t="s">
        <v>37</v>
      </c>
      <c r="E27" s="48">
        <v>0.33333333333333331</v>
      </c>
      <c r="F27" s="37">
        <f>155/3</f>
        <v>51.666666666666664</v>
      </c>
      <c r="G27" s="37">
        <v>56.69</v>
      </c>
      <c r="H27" s="38">
        <f>SUM(G27*155/3/1000)</f>
        <v>2.9289833333333331</v>
      </c>
      <c r="I27" s="39">
        <v>0</v>
      </c>
      <c r="J27" s="39">
        <v>0</v>
      </c>
      <c r="K27" s="39">
        <v>0</v>
      </c>
      <c r="L27" s="39">
        <v>0</v>
      </c>
      <c r="M27" s="39">
        <f>F27/6*G27</f>
        <v>488.16388888888883</v>
      </c>
      <c r="N27" s="39">
        <f t="shared" si="13"/>
        <v>488.16388888888883</v>
      </c>
      <c r="O27" s="39">
        <f t="shared" si="14"/>
        <v>488.16388888888883</v>
      </c>
      <c r="P27" s="39">
        <f t="shared" si="15"/>
        <v>488.16388888888883</v>
      </c>
      <c r="Q27" s="39">
        <f t="shared" si="16"/>
        <v>488.16388888888883</v>
      </c>
      <c r="R27" s="39">
        <f t="shared" si="17"/>
        <v>488.16388888888883</v>
      </c>
      <c r="S27" s="39">
        <v>0</v>
      </c>
      <c r="T27" s="39">
        <v>0</v>
      </c>
      <c r="U27" s="39">
        <f t="shared" si="18"/>
        <v>2928.9833333333331</v>
      </c>
    </row>
    <row r="28" spans="1:21" ht="12.75" customHeight="1">
      <c r="A28" s="149" t="s">
        <v>217</v>
      </c>
      <c r="B28" s="11" t="s">
        <v>38</v>
      </c>
      <c r="C28" s="29" t="s">
        <v>39</v>
      </c>
      <c r="D28" s="11" t="s">
        <v>40</v>
      </c>
      <c r="E28" s="49">
        <v>0.1</v>
      </c>
      <c r="F28" s="37">
        <f>SUM(E28*365)</f>
        <v>36.5</v>
      </c>
      <c r="G28" s="37">
        <v>147.03</v>
      </c>
      <c r="H28" s="38">
        <f>SUM(F28*G28/1000)</f>
        <v>5.3665950000000002</v>
      </c>
      <c r="I28" s="39">
        <f>F28/12*G28</f>
        <v>447.21625</v>
      </c>
      <c r="J28" s="39">
        <f>F28/12*G28</f>
        <v>447.21625</v>
      </c>
      <c r="K28" s="39">
        <f>F28/12*G28</f>
        <v>447.21625</v>
      </c>
      <c r="L28" s="39">
        <f>F28/12*G28</f>
        <v>447.21625</v>
      </c>
      <c r="M28" s="39">
        <f>F28/12*G28</f>
        <v>447.21625</v>
      </c>
      <c r="N28" s="39">
        <f>F28/12*G28</f>
        <v>447.21625</v>
      </c>
      <c r="O28" s="39">
        <f>F28/12*G28</f>
        <v>447.21625</v>
      </c>
      <c r="P28" s="39">
        <f>F28/12*G28</f>
        <v>447.21625</v>
      </c>
      <c r="Q28" s="39">
        <f>F28/12*G28</f>
        <v>447.21625</v>
      </c>
      <c r="R28" s="39">
        <f>F28/12*G28</f>
        <v>447.21625</v>
      </c>
      <c r="S28" s="39">
        <f>F28/12*G28</f>
        <v>447.21625</v>
      </c>
      <c r="T28" s="39">
        <f>F28/12*G28</f>
        <v>447.21625</v>
      </c>
      <c r="U28" s="39">
        <f>SUM(I28:T28)</f>
        <v>5366.5950000000012</v>
      </c>
    </row>
    <row r="29" spans="1:21" ht="12.75" customHeight="1">
      <c r="A29" s="149" t="s">
        <v>218</v>
      </c>
      <c r="B29" s="11" t="s">
        <v>165</v>
      </c>
      <c r="C29" s="29" t="s">
        <v>39</v>
      </c>
      <c r="D29" s="11" t="s">
        <v>41</v>
      </c>
      <c r="E29" s="36"/>
      <c r="F29" s="37">
        <v>3</v>
      </c>
      <c r="G29" s="37">
        <v>191.32</v>
      </c>
      <c r="H29" s="38">
        <f>SUM(F29*G29/1000)</f>
        <v>0.57396000000000003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f t="shared" si="18"/>
        <v>0</v>
      </c>
    </row>
    <row r="30" spans="1:21" ht="12.75" customHeight="1">
      <c r="A30" s="149" t="s">
        <v>134</v>
      </c>
      <c r="B30" s="11" t="s">
        <v>166</v>
      </c>
      <c r="C30" s="29" t="s">
        <v>42</v>
      </c>
      <c r="D30" s="11" t="s">
        <v>41</v>
      </c>
      <c r="E30" s="36"/>
      <c r="F30" s="37">
        <v>2</v>
      </c>
      <c r="G30" s="37">
        <v>1136.32</v>
      </c>
      <c r="H30" s="38">
        <f>SUM(F30*G30/1000)</f>
        <v>2.27264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f t="shared" si="18"/>
        <v>0</v>
      </c>
    </row>
    <row r="31" spans="1:21">
      <c r="A31" s="149"/>
      <c r="B31" s="50" t="s">
        <v>43</v>
      </c>
      <c r="C31" s="29" t="s">
        <v>44</v>
      </c>
      <c r="D31" s="50" t="s">
        <v>45</v>
      </c>
      <c r="E31" s="36">
        <v>5162.6000000000004</v>
      </c>
      <c r="F31" s="37">
        <f>SUM(E31*12)</f>
        <v>61951.200000000004</v>
      </c>
      <c r="G31" s="37">
        <v>3.33</v>
      </c>
      <c r="H31" s="38">
        <f>SUM(F31*G31/1000)</f>
        <v>206.29749600000002</v>
      </c>
      <c r="I31" s="39">
        <f>F31/12*G31</f>
        <v>17191.458000000002</v>
      </c>
      <c r="J31" s="39">
        <f>F31/12*G31</f>
        <v>17191.458000000002</v>
      </c>
      <c r="K31" s="39">
        <f>F31/12*G31</f>
        <v>17191.458000000002</v>
      </c>
      <c r="L31" s="39">
        <f>F31/12*G31</f>
        <v>17191.458000000002</v>
      </c>
      <c r="M31" s="39">
        <f>F31/12*G31</f>
        <v>17191.458000000002</v>
      </c>
      <c r="N31" s="39">
        <f>F31/12*G31</f>
        <v>17191.458000000002</v>
      </c>
      <c r="O31" s="39">
        <f>F31/12*G31</f>
        <v>17191.458000000002</v>
      </c>
      <c r="P31" s="39">
        <f>F31/12*G31</f>
        <v>17191.458000000002</v>
      </c>
      <c r="Q31" s="39">
        <f t="shared" ref="Q31" si="19">F31/12*G31</f>
        <v>17191.458000000002</v>
      </c>
      <c r="R31" s="39">
        <f t="shared" ref="R31" si="20">F31/12*G31</f>
        <v>17191.458000000002</v>
      </c>
      <c r="S31" s="39">
        <f t="shared" ref="S31" si="21">F31/12*G31</f>
        <v>17191.458000000002</v>
      </c>
      <c r="T31" s="39">
        <f t="shared" ref="T31" si="22">F31/12*G31</f>
        <v>17191.458000000002</v>
      </c>
      <c r="U31" s="39">
        <f t="shared" si="18"/>
        <v>206297.49600000007</v>
      </c>
    </row>
    <row r="32" spans="1:21" s="20" customFormat="1">
      <c r="A32" s="150"/>
      <c r="B32" s="21" t="s">
        <v>28</v>
      </c>
      <c r="C32" s="42"/>
      <c r="D32" s="21"/>
      <c r="E32" s="43"/>
      <c r="F32" s="44"/>
      <c r="G32" s="44"/>
      <c r="H32" s="51">
        <f>SUM(H24:H31)</f>
        <v>237.76041736543334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>
        <f>SUM(U24:U31)</f>
        <v>234913.81736543341</v>
      </c>
    </row>
    <row r="33" spans="1:21">
      <c r="A33" s="149"/>
      <c r="B33" s="13" t="s">
        <v>46</v>
      </c>
      <c r="C33" s="29"/>
      <c r="D33" s="11"/>
      <c r="E33" s="36"/>
      <c r="F33" s="37"/>
      <c r="G33" s="37"/>
      <c r="H33" s="38" t="s">
        <v>45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ht="12.75" customHeight="1">
      <c r="A34" s="149" t="s">
        <v>134</v>
      </c>
      <c r="B34" s="14" t="s">
        <v>47</v>
      </c>
      <c r="C34" s="29" t="s">
        <v>42</v>
      </c>
      <c r="D34" s="11"/>
      <c r="E34" s="36"/>
      <c r="F34" s="37">
        <v>10</v>
      </c>
      <c r="G34" s="37">
        <v>1527.22</v>
      </c>
      <c r="H34" s="38">
        <f t="shared" ref="H34:H41" si="23">SUM(F34*G34/1000)</f>
        <v>15.272200000000002</v>
      </c>
      <c r="I34" s="39">
        <f>F34/6*G34</f>
        <v>2545.3666666666668</v>
      </c>
      <c r="J34" s="39">
        <f>F34/6*G34</f>
        <v>2545.3666666666668</v>
      </c>
      <c r="K34" s="39">
        <f>F34/6*G34</f>
        <v>2545.3666666666668</v>
      </c>
      <c r="L34" s="39">
        <f>F34/6*G34</f>
        <v>2545.3666666666668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f>F34/6*G34</f>
        <v>2545.3666666666668</v>
      </c>
      <c r="T34" s="39">
        <f>F34/6*G34</f>
        <v>2545.3666666666668</v>
      </c>
      <c r="U34" s="39">
        <f>SUM(I34:T34)</f>
        <v>15272.2</v>
      </c>
    </row>
    <row r="35" spans="1:21" s="1" customFormat="1">
      <c r="A35" s="151" t="s">
        <v>219</v>
      </c>
      <c r="B35" s="14" t="s">
        <v>167</v>
      </c>
      <c r="C35" s="52" t="s">
        <v>48</v>
      </c>
      <c r="D35" s="14" t="s">
        <v>111</v>
      </c>
      <c r="E35" s="53">
        <v>495</v>
      </c>
      <c r="F35" s="53">
        <f>SUM(E35*12/1000)</f>
        <v>5.94</v>
      </c>
      <c r="G35" s="53">
        <v>2102.71</v>
      </c>
      <c r="H35" s="38">
        <f t="shared" si="23"/>
        <v>12.4900974</v>
      </c>
      <c r="I35" s="54">
        <f>F35/6*G35</f>
        <v>2081.6829000000002</v>
      </c>
      <c r="J35" s="54">
        <f>F35/6*G35</f>
        <v>2081.6829000000002</v>
      </c>
      <c r="K35" s="39">
        <f t="shared" ref="K35:K41" si="24">F35/6*G35</f>
        <v>2081.6829000000002</v>
      </c>
      <c r="L35" s="39">
        <f t="shared" ref="L35:L41" si="25">F35/6*G35</f>
        <v>2081.6829000000002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f t="shared" ref="S35:S41" si="26">F35/6*G35</f>
        <v>2081.6829000000002</v>
      </c>
      <c r="T35" s="39">
        <f t="shared" ref="T35:T41" si="27">F35/6*G35</f>
        <v>2081.6829000000002</v>
      </c>
      <c r="U35" s="39">
        <f t="shared" ref="U35:U41" si="28">SUM(I35:T35)</f>
        <v>12490.097400000001</v>
      </c>
    </row>
    <row r="36" spans="1:21" ht="25.5">
      <c r="A36" s="151" t="s">
        <v>219</v>
      </c>
      <c r="B36" s="14" t="s">
        <v>168</v>
      </c>
      <c r="C36" s="52" t="s">
        <v>48</v>
      </c>
      <c r="D36" s="11" t="s">
        <v>113</v>
      </c>
      <c r="E36" s="36">
        <v>287.83999999999997</v>
      </c>
      <c r="F36" s="53">
        <v>8.64</v>
      </c>
      <c r="G36" s="37">
        <v>2102.71</v>
      </c>
      <c r="H36" s="38">
        <f>G36*F36/1000</f>
        <v>18.167414400000002</v>
      </c>
      <c r="I36" s="39">
        <f>F36/6*G36</f>
        <v>3027.9024000000004</v>
      </c>
      <c r="J36" s="39">
        <f>F36/6*G36</f>
        <v>3027.9024000000004</v>
      </c>
      <c r="K36" s="39">
        <f t="shared" si="24"/>
        <v>3027.9024000000004</v>
      </c>
      <c r="L36" s="39">
        <f t="shared" si="25"/>
        <v>3027.9024000000004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f t="shared" si="26"/>
        <v>3027.9024000000004</v>
      </c>
      <c r="T36" s="39">
        <f t="shared" si="27"/>
        <v>3027.9024000000004</v>
      </c>
      <c r="U36" s="39">
        <f t="shared" si="28"/>
        <v>18167.414400000001</v>
      </c>
    </row>
    <row r="37" spans="1:21">
      <c r="A37" s="149" t="s">
        <v>134</v>
      </c>
      <c r="B37" s="11" t="s">
        <v>114</v>
      </c>
      <c r="C37" s="29" t="s">
        <v>70</v>
      </c>
      <c r="D37" s="11" t="s">
        <v>41</v>
      </c>
      <c r="E37" s="36"/>
      <c r="F37" s="53">
        <v>80</v>
      </c>
      <c r="G37" s="37">
        <v>199.44</v>
      </c>
      <c r="H37" s="38">
        <f>G37*F37/1000</f>
        <v>15.955200000000001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f t="shared" si="28"/>
        <v>0</v>
      </c>
    </row>
    <row r="38" spans="1:21" ht="25.5" customHeight="1">
      <c r="A38" s="149" t="s">
        <v>220</v>
      </c>
      <c r="B38" s="11" t="s">
        <v>169</v>
      </c>
      <c r="C38" s="29" t="s">
        <v>48</v>
      </c>
      <c r="D38" s="11" t="s">
        <v>49</v>
      </c>
      <c r="E38" s="37">
        <v>287.83999999999997</v>
      </c>
      <c r="F38" s="53">
        <f>SUM(E38*155/1000)</f>
        <v>44.615199999999994</v>
      </c>
      <c r="G38" s="37">
        <v>350.75</v>
      </c>
      <c r="H38" s="38">
        <f t="shared" si="23"/>
        <v>15.648781399999997</v>
      </c>
      <c r="I38" s="39">
        <f>F38/6*G38</f>
        <v>2608.1302333333329</v>
      </c>
      <c r="J38" s="39">
        <f>F38/6*G38</f>
        <v>2608.1302333333329</v>
      </c>
      <c r="K38" s="39">
        <f t="shared" si="24"/>
        <v>2608.1302333333329</v>
      </c>
      <c r="L38" s="39">
        <f t="shared" si="25"/>
        <v>2608.1302333333329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f t="shared" si="26"/>
        <v>2608.1302333333329</v>
      </c>
      <c r="T38" s="39">
        <f t="shared" si="27"/>
        <v>2608.1302333333329</v>
      </c>
      <c r="U38" s="39">
        <f t="shared" si="28"/>
        <v>15648.781399999998</v>
      </c>
    </row>
    <row r="39" spans="1:21" ht="51" customHeight="1">
      <c r="A39" s="149" t="s">
        <v>221</v>
      </c>
      <c r="B39" s="11" t="s">
        <v>170</v>
      </c>
      <c r="C39" s="29" t="s">
        <v>31</v>
      </c>
      <c r="D39" s="11" t="s">
        <v>112</v>
      </c>
      <c r="E39" s="37">
        <v>89.43</v>
      </c>
      <c r="F39" s="53">
        <f>SUM(E39*24/1000)</f>
        <v>2.1463200000000002</v>
      </c>
      <c r="G39" s="37">
        <v>5803.28</v>
      </c>
      <c r="H39" s="38">
        <f t="shared" si="23"/>
        <v>12.455695929600001</v>
      </c>
      <c r="I39" s="39">
        <f>F39/6*G39</f>
        <v>2075.9493216000001</v>
      </c>
      <c r="J39" s="39">
        <f>F39/6*G39</f>
        <v>2075.9493216000001</v>
      </c>
      <c r="K39" s="39">
        <f t="shared" si="24"/>
        <v>2075.9493216000001</v>
      </c>
      <c r="L39" s="39">
        <f t="shared" si="25"/>
        <v>2075.9493216000001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f t="shared" si="26"/>
        <v>2075.9493216000001</v>
      </c>
      <c r="T39" s="39">
        <f t="shared" si="27"/>
        <v>2075.9493216000001</v>
      </c>
      <c r="U39" s="39">
        <f t="shared" si="28"/>
        <v>12455.695929600002</v>
      </c>
    </row>
    <row r="40" spans="1:21" ht="12.75" customHeight="1">
      <c r="A40" s="149" t="s">
        <v>222</v>
      </c>
      <c r="B40" s="11" t="s">
        <v>171</v>
      </c>
      <c r="C40" s="29" t="s">
        <v>31</v>
      </c>
      <c r="D40" s="11" t="s">
        <v>50</v>
      </c>
      <c r="E40" s="37">
        <v>130.08000000000001</v>
      </c>
      <c r="F40" s="53">
        <f>SUM(E40*45/1000)</f>
        <v>5.8536000000000001</v>
      </c>
      <c r="G40" s="37">
        <v>428.7</v>
      </c>
      <c r="H40" s="38">
        <f t="shared" si="23"/>
        <v>2.5094383200000001</v>
      </c>
      <c r="I40" s="39">
        <f>F40/6*G40</f>
        <v>418.23971999999998</v>
      </c>
      <c r="J40" s="39">
        <f>F40/6*G40</f>
        <v>418.23971999999998</v>
      </c>
      <c r="K40" s="39">
        <f t="shared" si="24"/>
        <v>418.23971999999998</v>
      </c>
      <c r="L40" s="39">
        <f t="shared" si="25"/>
        <v>418.23971999999998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f t="shared" si="26"/>
        <v>418.23971999999998</v>
      </c>
      <c r="T40" s="39">
        <f t="shared" si="27"/>
        <v>418.23971999999998</v>
      </c>
      <c r="U40" s="39">
        <f t="shared" si="28"/>
        <v>2509.4383199999997</v>
      </c>
    </row>
    <row r="41" spans="1:21" s="2" customFormat="1">
      <c r="A41" s="151"/>
      <c r="B41" s="14" t="s">
        <v>172</v>
      </c>
      <c r="C41" s="52" t="s">
        <v>39</v>
      </c>
      <c r="D41" s="14"/>
      <c r="E41" s="49"/>
      <c r="F41" s="53">
        <v>0.9</v>
      </c>
      <c r="G41" s="53">
        <v>798</v>
      </c>
      <c r="H41" s="38">
        <f t="shared" si="23"/>
        <v>0.71820000000000006</v>
      </c>
      <c r="I41" s="54">
        <f>F41/6*G41</f>
        <v>119.69999999999999</v>
      </c>
      <c r="J41" s="54">
        <f>F41/6*G41</f>
        <v>119.69999999999999</v>
      </c>
      <c r="K41" s="39">
        <f t="shared" si="24"/>
        <v>119.69999999999999</v>
      </c>
      <c r="L41" s="39">
        <f t="shared" si="25"/>
        <v>119.69999999999999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f t="shared" si="26"/>
        <v>119.69999999999999</v>
      </c>
      <c r="T41" s="39">
        <f t="shared" si="27"/>
        <v>119.69999999999999</v>
      </c>
      <c r="U41" s="39">
        <f t="shared" si="28"/>
        <v>718.2</v>
      </c>
    </row>
    <row r="42" spans="1:21" s="20" customFormat="1">
      <c r="A42" s="150"/>
      <c r="B42" s="21" t="s">
        <v>28</v>
      </c>
      <c r="C42" s="42"/>
      <c r="D42" s="21"/>
      <c r="E42" s="43"/>
      <c r="F42" s="44" t="s">
        <v>45</v>
      </c>
      <c r="G42" s="44"/>
      <c r="H42" s="51">
        <f>SUM(H34:H41)</f>
        <v>93.21702744960001</v>
      </c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>
        <f>SUM(U34:U41)</f>
        <v>77261.827449600009</v>
      </c>
    </row>
    <row r="43" spans="1:21">
      <c r="A43" s="149"/>
      <c r="B43" s="15" t="s">
        <v>51</v>
      </c>
      <c r="C43" s="29"/>
      <c r="D43" s="11"/>
      <c r="E43" s="36"/>
      <c r="F43" s="37"/>
      <c r="G43" s="37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>
      <c r="A44" s="149" t="s">
        <v>223</v>
      </c>
      <c r="B44" s="11" t="s">
        <v>178</v>
      </c>
      <c r="C44" s="29" t="s">
        <v>31</v>
      </c>
      <c r="D44" s="11" t="s">
        <v>52</v>
      </c>
      <c r="E44" s="36">
        <v>1369</v>
      </c>
      <c r="F44" s="37">
        <f>SUM(E44*2/1000)</f>
        <v>2.738</v>
      </c>
      <c r="G44" s="55">
        <v>849.49</v>
      </c>
      <c r="H44" s="38">
        <f t="shared" ref="H44:H52" si="29">SUM(F44*G44/1000)</f>
        <v>2.3259036200000001</v>
      </c>
      <c r="I44" s="39">
        <v>0</v>
      </c>
      <c r="J44" s="39">
        <v>0</v>
      </c>
      <c r="K44" s="39">
        <v>0</v>
      </c>
      <c r="L44" s="39">
        <v>0</v>
      </c>
      <c r="M44" s="39">
        <f>F44/2*G44</f>
        <v>1162.95181</v>
      </c>
      <c r="N44" s="39">
        <v>0</v>
      </c>
      <c r="O44" s="39">
        <v>0</v>
      </c>
      <c r="P44" s="39">
        <v>0</v>
      </c>
      <c r="Q44" s="39">
        <f>F44/2*G44</f>
        <v>1162.95181</v>
      </c>
      <c r="R44" s="39">
        <v>0</v>
      </c>
      <c r="S44" s="39">
        <v>0</v>
      </c>
      <c r="T44" s="39">
        <v>0</v>
      </c>
      <c r="U44" s="39">
        <f>SUM(I44:T44)</f>
        <v>2325.90362</v>
      </c>
    </row>
    <row r="45" spans="1:21">
      <c r="A45" s="149" t="s">
        <v>224</v>
      </c>
      <c r="B45" s="11" t="s">
        <v>53</v>
      </c>
      <c r="C45" s="29" t="s">
        <v>31</v>
      </c>
      <c r="D45" s="11" t="s">
        <v>52</v>
      </c>
      <c r="E45" s="36">
        <v>1418</v>
      </c>
      <c r="F45" s="37">
        <f>SUM(E45*2/1000)</f>
        <v>2.8359999999999999</v>
      </c>
      <c r="G45" s="55">
        <v>579.48</v>
      </c>
      <c r="H45" s="38">
        <f t="shared" si="29"/>
        <v>1.6434052799999999</v>
      </c>
      <c r="I45" s="39">
        <v>0</v>
      </c>
      <c r="J45" s="39">
        <v>0</v>
      </c>
      <c r="K45" s="39">
        <v>0</v>
      </c>
      <c r="L45" s="39">
        <v>0</v>
      </c>
      <c r="M45" s="39">
        <f t="shared" ref="M45:M46" si="30">F45/2*G45</f>
        <v>821.70263999999997</v>
      </c>
      <c r="N45" s="39">
        <v>0</v>
      </c>
      <c r="O45" s="39">
        <v>0</v>
      </c>
      <c r="P45" s="39">
        <v>0</v>
      </c>
      <c r="Q45" s="39">
        <f t="shared" ref="Q45:Q47" si="31">F45/2*G45</f>
        <v>821.70263999999997</v>
      </c>
      <c r="R45" s="39">
        <v>0</v>
      </c>
      <c r="S45" s="39">
        <v>0</v>
      </c>
      <c r="T45" s="39">
        <v>0</v>
      </c>
      <c r="U45" s="39">
        <f t="shared" ref="U45:U52" si="32">SUM(I45:T45)</f>
        <v>1643.4052799999999</v>
      </c>
    </row>
    <row r="46" spans="1:21" ht="12.75" customHeight="1">
      <c r="A46" s="149" t="s">
        <v>225</v>
      </c>
      <c r="B46" s="11" t="s">
        <v>54</v>
      </c>
      <c r="C46" s="29" t="s">
        <v>31</v>
      </c>
      <c r="D46" s="11" t="s">
        <v>52</v>
      </c>
      <c r="E46" s="36">
        <v>4985.21</v>
      </c>
      <c r="F46" s="37">
        <f>SUM(E46*2/1000)</f>
        <v>9.9704200000000007</v>
      </c>
      <c r="G46" s="55">
        <v>579.48</v>
      </c>
      <c r="H46" s="38">
        <f t="shared" si="29"/>
        <v>5.7776589816000001</v>
      </c>
      <c r="I46" s="39">
        <v>0</v>
      </c>
      <c r="J46" s="39">
        <v>0</v>
      </c>
      <c r="K46" s="39">
        <v>0</v>
      </c>
      <c r="L46" s="39">
        <v>0</v>
      </c>
      <c r="M46" s="39">
        <f t="shared" si="30"/>
        <v>2888.8294908000003</v>
      </c>
      <c r="N46" s="39">
        <v>0</v>
      </c>
      <c r="O46" s="39">
        <v>0</v>
      </c>
      <c r="P46" s="39">
        <v>0</v>
      </c>
      <c r="Q46" s="39">
        <f t="shared" si="31"/>
        <v>2888.8294908000003</v>
      </c>
      <c r="R46" s="39">
        <v>0</v>
      </c>
      <c r="S46" s="39">
        <v>0</v>
      </c>
      <c r="T46" s="39">
        <v>0</v>
      </c>
      <c r="U46" s="39">
        <f t="shared" si="32"/>
        <v>5777.6589816000005</v>
      </c>
    </row>
    <row r="47" spans="1:21">
      <c r="A47" s="149" t="s">
        <v>226</v>
      </c>
      <c r="B47" s="11" t="s">
        <v>55</v>
      </c>
      <c r="C47" s="29" t="s">
        <v>31</v>
      </c>
      <c r="D47" s="11" t="s">
        <v>52</v>
      </c>
      <c r="E47" s="36">
        <v>2474</v>
      </c>
      <c r="F47" s="37">
        <f>SUM(E47*2/1000)</f>
        <v>4.9480000000000004</v>
      </c>
      <c r="G47" s="55">
        <v>606.77</v>
      </c>
      <c r="H47" s="38">
        <f t="shared" si="29"/>
        <v>3.0022979600000004</v>
      </c>
      <c r="I47" s="39">
        <v>0</v>
      </c>
      <c r="J47" s="39">
        <v>0</v>
      </c>
      <c r="K47" s="39">
        <v>0</v>
      </c>
      <c r="L47" s="39">
        <v>0</v>
      </c>
      <c r="M47" s="39">
        <f>F47/2*G47</f>
        <v>1501.1489800000002</v>
      </c>
      <c r="N47" s="39">
        <v>0</v>
      </c>
      <c r="O47" s="39">
        <v>0</v>
      </c>
      <c r="P47" s="39">
        <v>0</v>
      </c>
      <c r="Q47" s="39">
        <f t="shared" si="31"/>
        <v>1501.1489800000002</v>
      </c>
      <c r="R47" s="39">
        <v>0</v>
      </c>
      <c r="S47" s="39">
        <v>0</v>
      </c>
      <c r="T47" s="39">
        <v>0</v>
      </c>
      <c r="U47" s="39">
        <f t="shared" si="32"/>
        <v>3002.2979600000003</v>
      </c>
    </row>
    <row r="48" spans="1:21" ht="25.5">
      <c r="A48" s="149" t="s">
        <v>227</v>
      </c>
      <c r="B48" s="11" t="s">
        <v>56</v>
      </c>
      <c r="C48" s="29" t="s">
        <v>31</v>
      </c>
      <c r="D48" s="11" t="s">
        <v>57</v>
      </c>
      <c r="E48" s="36">
        <v>1349.3</v>
      </c>
      <c r="F48" s="37">
        <f>SUM(E48*5/1000)</f>
        <v>6.7465000000000002</v>
      </c>
      <c r="G48" s="55">
        <v>1213.55</v>
      </c>
      <c r="H48" s="38">
        <f t="shared" si="29"/>
        <v>8.1872150749999992</v>
      </c>
      <c r="I48" s="39">
        <f>F48/5*G48</f>
        <v>1637.4430149999998</v>
      </c>
      <c r="J48" s="39">
        <f>F48/5*G48</f>
        <v>1637.4430149999998</v>
      </c>
      <c r="K48" s="39">
        <v>0</v>
      </c>
      <c r="L48" s="39">
        <v>0</v>
      </c>
      <c r="M48" s="39">
        <f>F48/5*G48</f>
        <v>1637.4430149999998</v>
      </c>
      <c r="N48" s="39">
        <v>0</v>
      </c>
      <c r="O48" s="39">
        <v>0</v>
      </c>
      <c r="P48" s="39">
        <v>0</v>
      </c>
      <c r="Q48" s="39">
        <f>F48/5*G48</f>
        <v>1637.4430149999998</v>
      </c>
      <c r="R48" s="39">
        <v>0</v>
      </c>
      <c r="S48" s="39">
        <v>0</v>
      </c>
      <c r="T48" s="39">
        <f>F48/5*G48</f>
        <v>1637.4430149999998</v>
      </c>
      <c r="U48" s="39">
        <f t="shared" si="32"/>
        <v>8187.2150749999992</v>
      </c>
    </row>
    <row r="49" spans="1:21" ht="38.25" customHeight="1">
      <c r="A49" s="149" t="s">
        <v>228</v>
      </c>
      <c r="B49" s="11" t="s">
        <v>58</v>
      </c>
      <c r="C49" s="29" t="s">
        <v>31</v>
      </c>
      <c r="D49" s="11" t="s">
        <v>52</v>
      </c>
      <c r="E49" s="36">
        <v>1349.3</v>
      </c>
      <c r="F49" s="37">
        <f>SUM(E49*2/1000)</f>
        <v>2.6985999999999999</v>
      </c>
      <c r="G49" s="55">
        <v>1213.55</v>
      </c>
      <c r="H49" s="38">
        <f t="shared" si="29"/>
        <v>3.2748860299999998</v>
      </c>
      <c r="I49" s="39">
        <v>0</v>
      </c>
      <c r="J49" s="39">
        <v>0</v>
      </c>
      <c r="K49" s="39">
        <v>0</v>
      </c>
      <c r="L49" s="39">
        <f>F49/2*G49</f>
        <v>1637.4430149999998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f>F49/2*G49</f>
        <v>1637.4430149999998</v>
      </c>
      <c r="S49" s="39">
        <v>0</v>
      </c>
      <c r="T49" s="39">
        <v>0</v>
      </c>
      <c r="U49" s="39">
        <f t="shared" si="32"/>
        <v>3274.8860299999997</v>
      </c>
    </row>
    <row r="50" spans="1:21" ht="25.5" customHeight="1">
      <c r="A50" s="149" t="s">
        <v>229</v>
      </c>
      <c r="B50" s="11" t="s">
        <v>59</v>
      </c>
      <c r="C50" s="29" t="s">
        <v>60</v>
      </c>
      <c r="D50" s="11" t="s">
        <v>52</v>
      </c>
      <c r="E50" s="36">
        <v>40</v>
      </c>
      <c r="F50" s="37">
        <f>SUM(E50*2/100)</f>
        <v>0.8</v>
      </c>
      <c r="G50" s="55">
        <v>2730.49</v>
      </c>
      <c r="H50" s="38">
        <f t="shared" si="29"/>
        <v>2.1843919999999999</v>
      </c>
      <c r="I50" s="39">
        <v>0</v>
      </c>
      <c r="J50" s="39">
        <v>0</v>
      </c>
      <c r="K50" s="39">
        <v>0</v>
      </c>
      <c r="L50" s="39">
        <f>F50/2*G50</f>
        <v>1092.1959999999999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f t="shared" ref="R50:R51" si="33">F50/2*G50</f>
        <v>1092.1959999999999</v>
      </c>
      <c r="S50" s="39">
        <v>0</v>
      </c>
      <c r="T50" s="39">
        <v>0</v>
      </c>
      <c r="U50" s="39">
        <f t="shared" si="32"/>
        <v>2184.3919999999998</v>
      </c>
    </row>
    <row r="51" spans="1:21">
      <c r="A51" s="149" t="s">
        <v>230</v>
      </c>
      <c r="B51" s="11" t="s">
        <v>61</v>
      </c>
      <c r="C51" s="29" t="s">
        <v>62</v>
      </c>
      <c r="D51" s="11" t="s">
        <v>52</v>
      </c>
      <c r="E51" s="36">
        <v>1</v>
      </c>
      <c r="F51" s="37">
        <v>0.02</v>
      </c>
      <c r="G51" s="55">
        <v>5652.13</v>
      </c>
      <c r="H51" s="38">
        <f t="shared" si="29"/>
        <v>0.11304260000000001</v>
      </c>
      <c r="I51" s="39">
        <v>0</v>
      </c>
      <c r="J51" s="39">
        <v>0</v>
      </c>
      <c r="K51" s="39">
        <v>0</v>
      </c>
      <c r="L51" s="39">
        <f>F51/2*G51</f>
        <v>56.521300000000004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f t="shared" si="33"/>
        <v>56.521300000000004</v>
      </c>
      <c r="S51" s="39">
        <v>0</v>
      </c>
      <c r="T51" s="39">
        <v>0</v>
      </c>
      <c r="U51" s="39">
        <f t="shared" si="32"/>
        <v>113.04260000000001</v>
      </c>
    </row>
    <row r="52" spans="1:21" ht="13.5" customHeight="1">
      <c r="A52" s="149" t="s">
        <v>64</v>
      </c>
      <c r="B52" s="11" t="s">
        <v>65</v>
      </c>
      <c r="C52" s="29" t="s">
        <v>63</v>
      </c>
      <c r="D52" s="11" t="s">
        <v>109</v>
      </c>
      <c r="E52" s="36">
        <v>238</v>
      </c>
      <c r="F52" s="37">
        <f>SUM(E52)*3</f>
        <v>714</v>
      </c>
      <c r="G52" s="56">
        <v>65.67</v>
      </c>
      <c r="H52" s="38">
        <f t="shared" si="29"/>
        <v>46.888380000000005</v>
      </c>
      <c r="I52" s="39">
        <f>G52*E52</f>
        <v>15629.460000000001</v>
      </c>
      <c r="J52" s="39">
        <v>0</v>
      </c>
      <c r="K52" s="39">
        <v>0</v>
      </c>
      <c r="L52" s="39">
        <f>E52*G52</f>
        <v>15629.460000000001</v>
      </c>
      <c r="M52" s="39">
        <v>0</v>
      </c>
      <c r="N52" s="39">
        <v>0</v>
      </c>
      <c r="O52" s="39">
        <v>0</v>
      </c>
      <c r="P52" s="39">
        <f>E52*G52</f>
        <v>15629.460000000001</v>
      </c>
      <c r="Q52" s="39">
        <v>0</v>
      </c>
      <c r="R52" s="39">
        <v>0</v>
      </c>
      <c r="S52" s="39">
        <v>0</v>
      </c>
      <c r="T52" s="39">
        <v>0</v>
      </c>
      <c r="U52" s="39">
        <f t="shared" si="32"/>
        <v>46888.380000000005</v>
      </c>
    </row>
    <row r="53" spans="1:21" s="22" customFormat="1">
      <c r="A53" s="150"/>
      <c r="B53" s="21" t="s">
        <v>28</v>
      </c>
      <c r="C53" s="57"/>
      <c r="D53" s="21"/>
      <c r="E53" s="58"/>
      <c r="F53" s="59"/>
      <c r="G53" s="59"/>
      <c r="H53" s="51">
        <f>SUM(H44:H52)</f>
        <v>73.397181546599995</v>
      </c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>
        <f>SUM(U44:U52)</f>
        <v>73397.181546600012</v>
      </c>
    </row>
    <row r="54" spans="1:21">
      <c r="A54" s="149"/>
      <c r="B54" s="13" t="s">
        <v>66</v>
      </c>
      <c r="C54" s="29"/>
      <c r="D54" s="11"/>
      <c r="E54" s="36"/>
      <c r="F54" s="37"/>
      <c r="G54" s="37"/>
      <c r="H54" s="38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ht="38.25" customHeight="1">
      <c r="A55" s="149" t="s">
        <v>231</v>
      </c>
      <c r="B55" s="11" t="s">
        <v>173</v>
      </c>
      <c r="C55" s="29" t="s">
        <v>13</v>
      </c>
      <c r="D55" s="11" t="s">
        <v>67</v>
      </c>
      <c r="E55" s="36">
        <v>136.9</v>
      </c>
      <c r="F55" s="37">
        <f>SUM(E55*6/100)</f>
        <v>8.2140000000000004</v>
      </c>
      <c r="G55" s="55">
        <v>1547.28</v>
      </c>
      <c r="H55" s="38">
        <f>SUM(F55*G55/1000)</f>
        <v>12.70935792</v>
      </c>
      <c r="I55" s="39">
        <f>F55/6*G55</f>
        <v>2118.2263199999998</v>
      </c>
      <c r="J55" s="39">
        <f>F55/6*G55</f>
        <v>2118.2263199999998</v>
      </c>
      <c r="K55" s="39">
        <f>F55/6*G55</f>
        <v>2118.2263199999998</v>
      </c>
      <c r="L55" s="39">
        <f>F55/6*G55</f>
        <v>2118.2263199999998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f>F55/6*G55</f>
        <v>2118.2263199999998</v>
      </c>
      <c r="T55" s="39">
        <f>F55/6*G55</f>
        <v>2118.2263199999998</v>
      </c>
      <c r="U55" s="39">
        <f>SUM(I55:T55)</f>
        <v>12709.357919999999</v>
      </c>
    </row>
    <row r="56" spans="1:21" ht="12.75" customHeight="1">
      <c r="A56" s="152" t="s">
        <v>232</v>
      </c>
      <c r="B56" s="11" t="s">
        <v>117</v>
      </c>
      <c r="C56" s="29" t="s">
        <v>13</v>
      </c>
      <c r="D56" s="11" t="s">
        <v>67</v>
      </c>
      <c r="E56" s="61">
        <v>56</v>
      </c>
      <c r="F56" s="62">
        <v>3.36</v>
      </c>
      <c r="G56" s="37">
        <v>1547.28</v>
      </c>
      <c r="H56" s="38">
        <f>F56*G56/1000</f>
        <v>5.1988607999999994</v>
      </c>
      <c r="I56" s="39">
        <f>F56/6*G56</f>
        <v>866.47679999999991</v>
      </c>
      <c r="J56" s="39">
        <f>F56/6*G56</f>
        <v>866.47679999999991</v>
      </c>
      <c r="K56" s="39">
        <f>F56/6*G56</f>
        <v>866.47679999999991</v>
      </c>
      <c r="L56" s="39">
        <f>F56/6*G56</f>
        <v>866.47679999999991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f>F56/6*G56</f>
        <v>866.47679999999991</v>
      </c>
      <c r="T56" s="39">
        <f>F56/6*G56</f>
        <v>866.47679999999991</v>
      </c>
      <c r="U56" s="39">
        <f>SUM(I56:T56)</f>
        <v>5198.8608000000004</v>
      </c>
    </row>
    <row r="57" spans="1:21" hidden="1">
      <c r="A57" s="149" t="s">
        <v>233</v>
      </c>
      <c r="B57" s="11" t="s">
        <v>115</v>
      </c>
      <c r="C57" s="29" t="s">
        <v>116</v>
      </c>
      <c r="D57" s="11" t="s">
        <v>52</v>
      </c>
      <c r="E57" s="63">
        <v>8</v>
      </c>
      <c r="F57" s="55">
        <v>16</v>
      </c>
      <c r="G57" s="53">
        <v>180.78</v>
      </c>
      <c r="H57" s="38">
        <f>SUM(F57*G57/1000)</f>
        <v>2.8924799999999999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f>SUM(I57:T57)</f>
        <v>0</v>
      </c>
    </row>
    <row r="58" spans="1:21">
      <c r="A58" s="149"/>
      <c r="B58" s="12" t="s">
        <v>68</v>
      </c>
      <c r="C58" s="29"/>
      <c r="D58" s="11"/>
      <c r="E58" s="36"/>
      <c r="F58" s="37"/>
      <c r="G58" s="145"/>
      <c r="H58" s="38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>
      <c r="A59" s="149" t="s">
        <v>234</v>
      </c>
      <c r="B59" s="11" t="s">
        <v>110</v>
      </c>
      <c r="C59" s="29"/>
      <c r="D59" s="11" t="s">
        <v>34</v>
      </c>
      <c r="E59" s="36">
        <v>1349.3</v>
      </c>
      <c r="F59" s="38">
        <v>13.493</v>
      </c>
      <c r="G59" s="55">
        <v>793.61</v>
      </c>
      <c r="H59" s="64">
        <f>F59*G59/1000</f>
        <v>10.708179729999999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f>SUM(I59:T59)</f>
        <v>0</v>
      </c>
    </row>
    <row r="60" spans="1:21" ht="12.75" customHeight="1">
      <c r="A60" s="153"/>
      <c r="B60" s="25" t="s">
        <v>122</v>
      </c>
      <c r="C60" s="65" t="s">
        <v>69</v>
      </c>
      <c r="D60" s="25"/>
      <c r="E60" s="66">
        <v>270</v>
      </c>
      <c r="F60" s="67">
        <f>E60*12</f>
        <v>3240</v>
      </c>
      <c r="G60" s="145">
        <v>2.5960000000000001</v>
      </c>
      <c r="H60" s="68">
        <f>F60*G60</f>
        <v>8411.0400000000009</v>
      </c>
      <c r="I60" s="39">
        <f>F60/12*G60</f>
        <v>700.92000000000007</v>
      </c>
      <c r="J60" s="39">
        <f>F60/12*G60</f>
        <v>700.92000000000007</v>
      </c>
      <c r="K60" s="39">
        <f>F60/12*G60</f>
        <v>700.92000000000007</v>
      </c>
      <c r="L60" s="39">
        <f>F60/12*G60</f>
        <v>700.92000000000007</v>
      </c>
      <c r="M60" s="39">
        <f>F60/12*G60</f>
        <v>700.92000000000007</v>
      </c>
      <c r="N60" s="39">
        <f>F60/12*G60</f>
        <v>700.92000000000007</v>
      </c>
      <c r="O60" s="39">
        <f>F60/12*G60</f>
        <v>700.92000000000007</v>
      </c>
      <c r="P60" s="39">
        <f>F60/12*G60</f>
        <v>700.92000000000007</v>
      </c>
      <c r="Q60" s="39">
        <f>F60/12*G60</f>
        <v>700.92000000000007</v>
      </c>
      <c r="R60" s="39">
        <f>F60/12*G60</f>
        <v>700.92000000000007</v>
      </c>
      <c r="S60" s="39">
        <f>F60/12*G60</f>
        <v>700.92000000000007</v>
      </c>
      <c r="T60" s="39">
        <f>F60/12*G60</f>
        <v>700.92000000000007</v>
      </c>
      <c r="U60" s="39">
        <f>SUM(I60:T60)</f>
        <v>8411.0400000000009</v>
      </c>
    </row>
    <row r="61" spans="1:21">
      <c r="A61" s="153"/>
      <c r="B61" s="16" t="s">
        <v>71</v>
      </c>
      <c r="C61" s="65"/>
      <c r="D61" s="25"/>
      <c r="E61" s="66"/>
      <c r="F61" s="67"/>
      <c r="G61" s="67"/>
      <c r="H61" s="68" t="s">
        <v>45</v>
      </c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</row>
    <row r="62" spans="1:21" ht="12.75" customHeight="1">
      <c r="A62" s="69" t="s">
        <v>235</v>
      </c>
      <c r="B62" s="17" t="s">
        <v>72</v>
      </c>
      <c r="C62" s="69" t="s">
        <v>63</v>
      </c>
      <c r="D62" s="9" t="s">
        <v>41</v>
      </c>
      <c r="E62" s="70">
        <v>40</v>
      </c>
      <c r="F62" s="37">
        <v>40</v>
      </c>
      <c r="G62" s="55">
        <v>222.4</v>
      </c>
      <c r="H62" s="136">
        <f t="shared" ref="H62:H78" si="34">SUM(F62*G62/1000)</f>
        <v>8.8960000000000008</v>
      </c>
      <c r="I62" s="39">
        <f>G62*2</f>
        <v>444.8</v>
      </c>
      <c r="J62" s="39">
        <f>G62*3</f>
        <v>667.2</v>
      </c>
      <c r="K62" s="39">
        <f>G62</f>
        <v>222.4</v>
      </c>
      <c r="L62" s="39">
        <v>0</v>
      </c>
      <c r="M62" s="39">
        <v>0</v>
      </c>
      <c r="N62" s="39">
        <f>G62</f>
        <v>222.4</v>
      </c>
      <c r="O62" s="39">
        <f>G62*3</f>
        <v>667.2</v>
      </c>
      <c r="P62" s="39">
        <f>G62*12</f>
        <v>2668.8</v>
      </c>
      <c r="Q62" s="39">
        <f>G62*23</f>
        <v>5115.2</v>
      </c>
      <c r="R62" s="39">
        <f>G62*11</f>
        <v>2446.4</v>
      </c>
      <c r="S62" s="39">
        <f>G62*2</f>
        <v>444.8</v>
      </c>
      <c r="T62" s="39">
        <v>0</v>
      </c>
      <c r="U62" s="39">
        <f t="shared" ref="U62:U69" si="35">SUM(I62:T62)</f>
        <v>12899.199999999999</v>
      </c>
    </row>
    <row r="63" spans="1:21" ht="12.75" customHeight="1">
      <c r="A63" s="69" t="s">
        <v>236</v>
      </c>
      <c r="B63" s="17" t="s">
        <v>73</v>
      </c>
      <c r="C63" s="69" t="s">
        <v>63</v>
      </c>
      <c r="D63" s="9" t="s">
        <v>41</v>
      </c>
      <c r="E63" s="70">
        <v>20</v>
      </c>
      <c r="F63" s="37">
        <v>20</v>
      </c>
      <c r="G63" s="55">
        <v>76.25</v>
      </c>
      <c r="H63" s="136">
        <f t="shared" si="34"/>
        <v>1.5249999999999999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f t="shared" si="35"/>
        <v>0</v>
      </c>
    </row>
    <row r="64" spans="1:21" s="2" customFormat="1">
      <c r="A64" s="71" t="s">
        <v>237</v>
      </c>
      <c r="B64" s="17" t="s">
        <v>74</v>
      </c>
      <c r="C64" s="71" t="s">
        <v>75</v>
      </c>
      <c r="D64" s="9" t="s">
        <v>34</v>
      </c>
      <c r="E64" s="36">
        <v>18890</v>
      </c>
      <c r="F64" s="56">
        <f>SUM(E64/100)</f>
        <v>188.9</v>
      </c>
      <c r="G64" s="55">
        <v>212.15</v>
      </c>
      <c r="H64" s="136">
        <f t="shared" si="34"/>
        <v>40.075135000000003</v>
      </c>
      <c r="I64" s="54">
        <v>0</v>
      </c>
      <c r="J64" s="54">
        <v>0</v>
      </c>
      <c r="K64" s="39">
        <v>0</v>
      </c>
      <c r="L64" s="39">
        <v>0</v>
      </c>
      <c r="M64" s="39">
        <f>F64*G64</f>
        <v>40075.135000000002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f t="shared" si="35"/>
        <v>40075.135000000002</v>
      </c>
    </row>
    <row r="65" spans="1:21" ht="12.75" customHeight="1">
      <c r="A65" s="69" t="s">
        <v>238</v>
      </c>
      <c r="B65" s="17" t="s">
        <v>76</v>
      </c>
      <c r="C65" s="69" t="s">
        <v>77</v>
      </c>
      <c r="D65" s="9"/>
      <c r="E65" s="36">
        <v>18890</v>
      </c>
      <c r="F65" s="55">
        <f>SUM(E65/1000)</f>
        <v>18.89</v>
      </c>
      <c r="G65" s="55">
        <v>165.21</v>
      </c>
      <c r="H65" s="136">
        <f t="shared" si="34"/>
        <v>3.1208169000000003</v>
      </c>
      <c r="I65" s="39">
        <v>0</v>
      </c>
      <c r="J65" s="39">
        <v>0</v>
      </c>
      <c r="K65" s="39">
        <v>0</v>
      </c>
      <c r="L65" s="39">
        <v>0</v>
      </c>
      <c r="M65" s="39">
        <f t="shared" ref="M65:M68" si="36">F65*G65</f>
        <v>3120.8169000000003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f t="shared" si="35"/>
        <v>3120.8169000000003</v>
      </c>
    </row>
    <row r="66" spans="1:21">
      <c r="A66" s="69" t="s">
        <v>239</v>
      </c>
      <c r="B66" s="17" t="s">
        <v>78</v>
      </c>
      <c r="C66" s="69" t="s">
        <v>79</v>
      </c>
      <c r="D66" s="9" t="s">
        <v>34</v>
      </c>
      <c r="E66" s="36">
        <v>3004</v>
      </c>
      <c r="F66" s="55">
        <f>SUM(E66/100)</f>
        <v>30.04</v>
      </c>
      <c r="G66" s="55">
        <v>2074.63</v>
      </c>
      <c r="H66" s="136">
        <f t="shared" si="34"/>
        <v>62.321885200000004</v>
      </c>
      <c r="I66" s="39">
        <v>0</v>
      </c>
      <c r="J66" s="39">
        <v>0</v>
      </c>
      <c r="K66" s="39">
        <v>0</v>
      </c>
      <c r="L66" s="39">
        <v>0</v>
      </c>
      <c r="M66" s="39">
        <f>F66*G66</f>
        <v>62321.885200000004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f t="shared" si="35"/>
        <v>62321.885200000004</v>
      </c>
    </row>
    <row r="67" spans="1:21">
      <c r="A67" s="69"/>
      <c r="B67" s="18" t="s">
        <v>118</v>
      </c>
      <c r="C67" s="69" t="s">
        <v>39</v>
      </c>
      <c r="D67" s="9"/>
      <c r="E67" s="36">
        <v>15.8</v>
      </c>
      <c r="F67" s="55">
        <f>SUM(E67)</f>
        <v>15.8</v>
      </c>
      <c r="G67" s="55">
        <v>42.67</v>
      </c>
      <c r="H67" s="136">
        <f t="shared" si="34"/>
        <v>0.67418600000000006</v>
      </c>
      <c r="I67" s="39">
        <v>0</v>
      </c>
      <c r="J67" s="39">
        <v>0</v>
      </c>
      <c r="K67" s="39">
        <v>0</v>
      </c>
      <c r="L67" s="39">
        <v>0</v>
      </c>
      <c r="M67" s="39">
        <f t="shared" si="36"/>
        <v>674.18600000000004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f t="shared" si="35"/>
        <v>674.18600000000004</v>
      </c>
    </row>
    <row r="68" spans="1:21" ht="12.75" customHeight="1">
      <c r="A68" s="154"/>
      <c r="B68" s="18" t="s">
        <v>119</v>
      </c>
      <c r="C68" s="69" t="s">
        <v>39</v>
      </c>
      <c r="D68" s="9"/>
      <c r="E68" s="36">
        <v>15.8</v>
      </c>
      <c r="F68" s="55">
        <f>SUM(E68)</f>
        <v>15.8</v>
      </c>
      <c r="G68" s="55">
        <v>39.81</v>
      </c>
      <c r="H68" s="136">
        <f t="shared" si="34"/>
        <v>0.62899800000000006</v>
      </c>
      <c r="I68" s="39">
        <v>0</v>
      </c>
      <c r="J68" s="39">
        <v>0</v>
      </c>
      <c r="K68" s="39">
        <v>0</v>
      </c>
      <c r="L68" s="39">
        <v>0</v>
      </c>
      <c r="M68" s="39">
        <f t="shared" si="36"/>
        <v>628.99800000000005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f t="shared" si="35"/>
        <v>628.99800000000005</v>
      </c>
    </row>
    <row r="69" spans="1:21">
      <c r="A69" s="69" t="s">
        <v>240</v>
      </c>
      <c r="B69" s="9" t="s">
        <v>80</v>
      </c>
      <c r="C69" s="69" t="s">
        <v>81</v>
      </c>
      <c r="D69" s="9" t="s">
        <v>34</v>
      </c>
      <c r="E69" s="70">
        <v>15</v>
      </c>
      <c r="F69" s="37">
        <v>15</v>
      </c>
      <c r="G69" s="55">
        <v>49.88</v>
      </c>
      <c r="H69" s="136">
        <f t="shared" si="34"/>
        <v>0.74820000000000009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f>G69*15</f>
        <v>748.2</v>
      </c>
      <c r="R69" s="39">
        <v>0</v>
      </c>
      <c r="S69" s="39">
        <v>0</v>
      </c>
      <c r="T69" s="39">
        <v>0</v>
      </c>
      <c r="U69" s="39">
        <f t="shared" si="35"/>
        <v>748.2</v>
      </c>
    </row>
    <row r="70" spans="1:21">
      <c r="A70" s="154"/>
      <c r="B70" s="19" t="s">
        <v>82</v>
      </c>
      <c r="C70" s="69"/>
      <c r="D70" s="9"/>
      <c r="E70" s="70"/>
      <c r="F70" s="55"/>
      <c r="G70" s="55"/>
      <c r="H70" s="136" t="s">
        <v>45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</row>
    <row r="71" spans="1:21">
      <c r="A71" s="69" t="s">
        <v>241</v>
      </c>
      <c r="B71" s="9" t="s">
        <v>83</v>
      </c>
      <c r="C71" s="69" t="s">
        <v>84</v>
      </c>
      <c r="D71" s="9"/>
      <c r="E71" s="70">
        <v>10</v>
      </c>
      <c r="F71" s="55">
        <v>1</v>
      </c>
      <c r="G71" s="55">
        <v>501.62</v>
      </c>
      <c r="H71" s="136">
        <f t="shared" si="34"/>
        <v>0.50161999999999995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f>G71*0.1</f>
        <v>50.162000000000006</v>
      </c>
      <c r="Q71" s="39">
        <f>G71*0.1</f>
        <v>50.162000000000006</v>
      </c>
      <c r="R71" s="39">
        <v>0</v>
      </c>
      <c r="S71" s="39">
        <v>0</v>
      </c>
      <c r="T71" s="39">
        <v>0</v>
      </c>
      <c r="U71" s="39">
        <f>SUM(I71:T71)</f>
        <v>100.32400000000001</v>
      </c>
    </row>
    <row r="72" spans="1:21">
      <c r="A72" s="69" t="s">
        <v>242</v>
      </c>
      <c r="B72" s="9" t="s">
        <v>85</v>
      </c>
      <c r="C72" s="69" t="s">
        <v>36</v>
      </c>
      <c r="D72" s="9"/>
      <c r="E72" s="70">
        <v>1</v>
      </c>
      <c r="F72" s="55">
        <v>1</v>
      </c>
      <c r="G72" s="55">
        <v>99.85</v>
      </c>
      <c r="H72" s="136">
        <f>F72*G72/1000</f>
        <v>9.9849999999999994E-2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9">
        <f>SUM(I72:T72)</f>
        <v>0</v>
      </c>
    </row>
    <row r="73" spans="1:21">
      <c r="A73" s="69" t="s">
        <v>243</v>
      </c>
      <c r="B73" s="9" t="s">
        <v>86</v>
      </c>
      <c r="C73" s="69" t="s">
        <v>36</v>
      </c>
      <c r="D73" s="9"/>
      <c r="E73" s="70">
        <v>1</v>
      </c>
      <c r="F73" s="55">
        <v>1</v>
      </c>
      <c r="G73" s="55">
        <v>120.26</v>
      </c>
      <c r="H73" s="136">
        <f>F73*G73/1000</f>
        <v>0.12026000000000001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f>G73</f>
        <v>120.26</v>
      </c>
      <c r="Q73" s="39">
        <v>0</v>
      </c>
      <c r="R73" s="39">
        <v>0</v>
      </c>
      <c r="S73" s="39">
        <v>0</v>
      </c>
      <c r="T73" s="39">
        <v>0</v>
      </c>
      <c r="U73" s="39">
        <f>SUM(I73:T73)</f>
        <v>120.26</v>
      </c>
    </row>
    <row r="74" spans="1:21">
      <c r="A74" s="69" t="s">
        <v>244</v>
      </c>
      <c r="B74" s="9" t="s">
        <v>120</v>
      </c>
      <c r="C74" s="69" t="s">
        <v>36</v>
      </c>
      <c r="D74" s="9"/>
      <c r="E74" s="70">
        <v>2</v>
      </c>
      <c r="F74" s="145">
        <v>2</v>
      </c>
      <c r="G74" s="55">
        <v>852.99</v>
      </c>
      <c r="H74" s="136">
        <f>F74*G74/1000</f>
        <v>1.7059800000000001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f>SUM(I74:T74)</f>
        <v>0</v>
      </c>
    </row>
    <row r="75" spans="1:21">
      <c r="A75" s="69" t="s">
        <v>245</v>
      </c>
      <c r="B75" s="9" t="s">
        <v>87</v>
      </c>
      <c r="C75" s="69" t="s">
        <v>63</v>
      </c>
      <c r="D75" s="9"/>
      <c r="E75" s="70">
        <v>1</v>
      </c>
      <c r="F75" s="37">
        <f>SUM(E75)</f>
        <v>1</v>
      </c>
      <c r="G75" s="55">
        <v>358.51</v>
      </c>
      <c r="H75" s="136">
        <f t="shared" si="34"/>
        <v>0.35851</v>
      </c>
      <c r="I75" s="39">
        <f>G75*2</f>
        <v>717.02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f>G75*2</f>
        <v>717.02</v>
      </c>
      <c r="R75" s="39">
        <v>0</v>
      </c>
      <c r="S75" s="39">
        <v>0</v>
      </c>
      <c r="T75" s="39">
        <v>0</v>
      </c>
      <c r="U75" s="39">
        <f>SUM(I75:T76)</f>
        <v>1434.04</v>
      </c>
    </row>
    <row r="76" spans="1:21" hidden="1">
      <c r="A76" s="69"/>
      <c r="B76" s="9" t="s">
        <v>88</v>
      </c>
      <c r="C76" s="69" t="s">
        <v>89</v>
      </c>
      <c r="D76" s="9"/>
      <c r="E76" s="70"/>
      <c r="F76" s="55"/>
      <c r="G76" s="55">
        <v>31.54</v>
      </c>
      <c r="H76" s="136">
        <f t="shared" si="34"/>
        <v>0</v>
      </c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1">
      <c r="A77" s="154"/>
      <c r="B77" s="73" t="s">
        <v>90</v>
      </c>
      <c r="C77" s="69"/>
      <c r="D77" s="9"/>
      <c r="E77" s="70"/>
      <c r="F77" s="55"/>
      <c r="G77" s="55" t="s">
        <v>45</v>
      </c>
      <c r="H77" s="136" t="s">
        <v>45</v>
      </c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1" s="2" customFormat="1">
      <c r="A78" s="71" t="s">
        <v>91</v>
      </c>
      <c r="B78" s="74" t="s">
        <v>92</v>
      </c>
      <c r="C78" s="71" t="s">
        <v>79</v>
      </c>
      <c r="D78" s="17"/>
      <c r="E78" s="75"/>
      <c r="F78" s="56">
        <v>1.35</v>
      </c>
      <c r="G78" s="56">
        <v>2759.44</v>
      </c>
      <c r="H78" s="136">
        <f t="shared" si="34"/>
        <v>3.725244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39">
        <f>SUM(I78:T78)</f>
        <v>0</v>
      </c>
    </row>
    <row r="79" spans="1:21" s="22" customFormat="1">
      <c r="A79" s="155"/>
      <c r="B79" s="21" t="s">
        <v>28</v>
      </c>
      <c r="C79" s="76"/>
      <c r="D79" s="77"/>
      <c r="E79" s="78"/>
      <c r="F79" s="60"/>
      <c r="G79" s="60"/>
      <c r="H79" s="79">
        <f>SUM(H55:H78)</f>
        <v>8567.0505635500012</v>
      </c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>
        <f>SUM(U55:U78)</f>
        <v>148442.30382</v>
      </c>
    </row>
    <row r="80" spans="1:21">
      <c r="A80" s="156" t="s">
        <v>140</v>
      </c>
      <c r="B80" s="11" t="s">
        <v>141</v>
      </c>
      <c r="C80" s="80"/>
      <c r="D80" s="81"/>
      <c r="E80" s="61"/>
      <c r="F80" s="82">
        <v>1</v>
      </c>
      <c r="G80" s="83">
        <v>25654.2</v>
      </c>
      <c r="H80" s="136">
        <f>G80*F80/1000</f>
        <v>25.654199999999999</v>
      </c>
      <c r="I80" s="39">
        <v>0</v>
      </c>
      <c r="J80" s="39">
        <v>0</v>
      </c>
      <c r="K80" s="39">
        <v>0</v>
      </c>
      <c r="L80" s="39">
        <v>0</v>
      </c>
      <c r="M80" s="40">
        <v>0</v>
      </c>
      <c r="N80" s="40">
        <v>0</v>
      </c>
      <c r="O80" s="39">
        <f>G80</f>
        <v>25654.2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f>SUM(I80:S80)</f>
        <v>25654.2</v>
      </c>
    </row>
    <row r="81" spans="1:26" ht="12.75" customHeight="1">
      <c r="A81" s="69"/>
      <c r="B81" s="12" t="s">
        <v>93</v>
      </c>
      <c r="C81" s="69" t="s">
        <v>94</v>
      </c>
      <c r="D81" s="84"/>
      <c r="E81" s="55">
        <v>5162.6000000000004</v>
      </c>
      <c r="F81" s="55">
        <f>SUM(E81*12)</f>
        <v>61951.200000000004</v>
      </c>
      <c r="G81" s="85">
        <v>2.1</v>
      </c>
      <c r="H81" s="136">
        <f>SUM(F81*G81/1000)</f>
        <v>130.09752000000003</v>
      </c>
      <c r="I81" s="39">
        <f>F81/12*G81</f>
        <v>10841.460000000001</v>
      </c>
      <c r="J81" s="39">
        <f>F81/12*G81</f>
        <v>10841.460000000001</v>
      </c>
      <c r="K81" s="39">
        <f>F81/12*G81</f>
        <v>10841.460000000001</v>
      </c>
      <c r="L81" s="39">
        <f>F81/12*G81</f>
        <v>10841.460000000001</v>
      </c>
      <c r="M81" s="40">
        <f>F81/12*G81</f>
        <v>10841.460000000001</v>
      </c>
      <c r="N81" s="40">
        <f>F81/12*G81</f>
        <v>10841.460000000001</v>
      </c>
      <c r="O81" s="39">
        <f>F81/12*G81</f>
        <v>10841.460000000001</v>
      </c>
      <c r="P81" s="135">
        <f>F81/12*G81</f>
        <v>10841.460000000001</v>
      </c>
      <c r="Q81" s="135">
        <f>F81/12*G81</f>
        <v>10841.460000000001</v>
      </c>
      <c r="R81" s="135">
        <f>F81/12*G81</f>
        <v>10841.460000000001</v>
      </c>
      <c r="S81" s="135">
        <f>F81/12*G81</f>
        <v>10841.460000000001</v>
      </c>
      <c r="T81" s="135">
        <f>F81/12*G81</f>
        <v>10841.460000000001</v>
      </c>
      <c r="U81" s="135">
        <f>SUM(I81:S81)</f>
        <v>119256.06000000003</v>
      </c>
    </row>
    <row r="82" spans="1:26" hidden="1">
      <c r="A82" s="86"/>
      <c r="B82" s="9" t="s">
        <v>95</v>
      </c>
      <c r="C82" s="65" t="s">
        <v>13</v>
      </c>
      <c r="D82" s="9"/>
      <c r="E82" s="70">
        <v>30</v>
      </c>
      <c r="F82" s="55">
        <f>E82/100</f>
        <v>0.3</v>
      </c>
      <c r="G82" s="55">
        <v>0</v>
      </c>
      <c r="H82" s="136">
        <f>F82*G82/1000</f>
        <v>0</v>
      </c>
      <c r="I82" s="39"/>
      <c r="J82" s="39"/>
      <c r="K82" s="39"/>
      <c r="L82" s="39"/>
      <c r="M82" s="40">
        <v>0</v>
      </c>
      <c r="N82" s="40">
        <v>0</v>
      </c>
      <c r="O82" s="39"/>
      <c r="P82" s="39"/>
      <c r="Q82" s="39"/>
      <c r="R82" s="39"/>
      <c r="S82" s="39"/>
      <c r="T82" s="39"/>
      <c r="U82" s="135">
        <f t="shared" ref="U82" si="37">SUM(I82:O82)</f>
        <v>0</v>
      </c>
    </row>
    <row r="83" spans="1:26" s="20" customFormat="1">
      <c r="A83" s="86"/>
      <c r="B83" s="21" t="s">
        <v>28</v>
      </c>
      <c r="C83" s="87"/>
      <c r="D83" s="88"/>
      <c r="E83" s="89"/>
      <c r="F83" s="46"/>
      <c r="G83" s="90"/>
      <c r="H83" s="47">
        <f>SUM(H80:H82)</f>
        <v>155.75172000000003</v>
      </c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>
        <f>SUM(U80:U82)</f>
        <v>144910.26000000004</v>
      </c>
    </row>
    <row r="84" spans="1:26" ht="25.5" customHeight="1">
      <c r="A84" s="154"/>
      <c r="B84" s="9" t="s">
        <v>96</v>
      </c>
      <c r="C84" s="69"/>
      <c r="D84" s="27"/>
      <c r="E84" s="36">
        <f>E81</f>
        <v>5162.6000000000004</v>
      </c>
      <c r="F84" s="55">
        <f>E84*12</f>
        <v>61951.200000000004</v>
      </c>
      <c r="G84" s="55">
        <v>1.63</v>
      </c>
      <c r="H84" s="136">
        <f>F84*G84/1000</f>
        <v>100.980456</v>
      </c>
      <c r="I84" s="39">
        <f>F84/12*G84</f>
        <v>8415.0380000000005</v>
      </c>
      <c r="J84" s="39">
        <f>F84/12*G84</f>
        <v>8415.0380000000005</v>
      </c>
      <c r="K84" s="39">
        <f>F84/12*G84</f>
        <v>8415.0380000000005</v>
      </c>
      <c r="L84" s="39">
        <f>F84/12*G84</f>
        <v>8415.0380000000005</v>
      </c>
      <c r="M84" s="39">
        <f>F84/12*G84</f>
        <v>8415.0380000000005</v>
      </c>
      <c r="N84" s="39">
        <f>F84/12*G84</f>
        <v>8415.0380000000005</v>
      </c>
      <c r="O84" s="39">
        <f>F84/12*G84</f>
        <v>8415.0380000000005</v>
      </c>
      <c r="P84" s="39">
        <f>F84/12*G84</f>
        <v>8415.0380000000005</v>
      </c>
      <c r="Q84" s="39">
        <f>F84/12*G84</f>
        <v>8415.0380000000005</v>
      </c>
      <c r="R84" s="39">
        <f>F84/12*G84</f>
        <v>8415.0380000000005</v>
      </c>
      <c r="S84" s="39">
        <f>F84/12*G84</f>
        <v>8415.0380000000005</v>
      </c>
      <c r="T84" s="39">
        <f>F84/12*G84</f>
        <v>8415.0380000000005</v>
      </c>
      <c r="U84" s="39">
        <f>SUM(I84:T84)</f>
        <v>100980.45600000001</v>
      </c>
    </row>
    <row r="85" spans="1:26" s="20" customFormat="1">
      <c r="A85" s="86"/>
      <c r="B85" s="91" t="s">
        <v>97</v>
      </c>
      <c r="C85" s="92"/>
      <c r="D85" s="91"/>
      <c r="E85" s="46"/>
      <c r="F85" s="46"/>
      <c r="G85" s="46"/>
      <c r="H85" s="79">
        <f>H84</f>
        <v>100.980456</v>
      </c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130">
        <f>U84</f>
        <v>100980.45600000001</v>
      </c>
    </row>
    <row r="86" spans="1:26" s="20" customFormat="1">
      <c r="A86" s="86"/>
      <c r="B86" s="91" t="s">
        <v>98</v>
      </c>
      <c r="C86" s="93"/>
      <c r="D86" s="94"/>
      <c r="E86" s="95"/>
      <c r="F86" s="95"/>
      <c r="G86" s="95"/>
      <c r="H86" s="79">
        <f>SUM(H85+H83+H79+H53+H42+H32+H22)</f>
        <v>9441.9318173766333</v>
      </c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130">
        <f>SUM(U85+U83+U79+U53+U42+U32+U22)</f>
        <v>992618.4992466335</v>
      </c>
    </row>
    <row r="87" spans="1:26" s="121" customFormat="1" ht="51" hidden="1">
      <c r="A87" s="157"/>
      <c r="B87" s="73"/>
      <c r="C87" s="69"/>
      <c r="D87" s="27"/>
      <c r="E87" s="55"/>
      <c r="F87" s="55"/>
      <c r="G87" s="55"/>
      <c r="H87" s="120"/>
      <c r="I87" s="55"/>
      <c r="J87" s="55"/>
      <c r="K87" s="55"/>
      <c r="L87" s="55"/>
      <c r="M87" s="55"/>
      <c r="N87" s="55"/>
      <c r="O87" s="55"/>
      <c r="P87" s="55"/>
      <c r="Q87" s="55"/>
      <c r="R87" s="138"/>
      <c r="S87" s="138"/>
      <c r="T87" s="138"/>
      <c r="U87" s="137" t="s">
        <v>162</v>
      </c>
      <c r="W87" s="184"/>
      <c r="X87" s="184"/>
      <c r="Y87" s="184"/>
      <c r="Z87" s="184"/>
    </row>
    <row r="88" spans="1:26">
      <c r="A88" s="158"/>
      <c r="B88" s="27" t="s">
        <v>99</v>
      </c>
      <c r="C88" s="69"/>
      <c r="D88" s="27"/>
      <c r="E88" s="55"/>
      <c r="F88" s="55"/>
      <c r="G88" s="55" t="s">
        <v>100</v>
      </c>
      <c r="H88" s="96">
        <f>E84</f>
        <v>5162.6000000000004</v>
      </c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6" s="20" customFormat="1">
      <c r="A89" s="86"/>
      <c r="B89" s="94" t="s">
        <v>101</v>
      </c>
      <c r="C89" s="93"/>
      <c r="D89" s="94"/>
      <c r="E89" s="95"/>
      <c r="F89" s="95"/>
      <c r="G89" s="95"/>
      <c r="H89" s="97">
        <f>SUM(H86/H88/12*1000)</f>
        <v>152.40918363771215</v>
      </c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131"/>
    </row>
    <row r="90" spans="1:26">
      <c r="A90" s="98"/>
      <c r="B90" s="27"/>
      <c r="C90" s="69"/>
      <c r="D90" s="27"/>
      <c r="E90" s="55"/>
      <c r="F90" s="55"/>
      <c r="G90" s="55"/>
      <c r="H90" s="9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132"/>
    </row>
    <row r="91" spans="1:26">
      <c r="A91" s="154"/>
      <c r="B91" s="73" t="s">
        <v>102</v>
      </c>
      <c r="C91" s="69"/>
      <c r="D91" s="27"/>
      <c r="E91" s="55"/>
      <c r="F91" s="55"/>
      <c r="G91" s="55"/>
      <c r="H91" s="55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:26" ht="25.5">
      <c r="A92" s="124" t="s">
        <v>246</v>
      </c>
      <c r="B92" s="123" t="s">
        <v>135</v>
      </c>
      <c r="C92" s="122" t="s">
        <v>63</v>
      </c>
      <c r="D92" s="142"/>
      <c r="E92" s="55"/>
      <c r="F92" s="55">
        <v>17</v>
      </c>
      <c r="G92" s="55">
        <v>79.09</v>
      </c>
      <c r="H92" s="136">
        <f t="shared" ref="H92:H98" si="38">G92*F92/1000</f>
        <v>1.34453</v>
      </c>
      <c r="I92" s="39">
        <f>G92*2</f>
        <v>158.18</v>
      </c>
      <c r="J92" s="39">
        <f>G92*3</f>
        <v>237.27</v>
      </c>
      <c r="K92" s="39">
        <v>0</v>
      </c>
      <c r="L92" s="39">
        <v>0</v>
      </c>
      <c r="M92" s="39">
        <v>0</v>
      </c>
      <c r="N92" s="39">
        <f>G92*2</f>
        <v>158.18</v>
      </c>
      <c r="O92" s="39">
        <f>G92*2</f>
        <v>158.18</v>
      </c>
      <c r="P92" s="39">
        <v>0</v>
      </c>
      <c r="Q92" s="39">
        <f>G92*4</f>
        <v>316.36</v>
      </c>
      <c r="R92" s="39">
        <v>0</v>
      </c>
      <c r="S92" s="39">
        <f>G92*3</f>
        <v>237.27</v>
      </c>
      <c r="T92" s="39">
        <f>G92</f>
        <v>79.09</v>
      </c>
      <c r="U92" s="39">
        <f t="shared" ref="U92:U98" si="39">SUM(I92:T92)</f>
        <v>1344.53</v>
      </c>
    </row>
    <row r="93" spans="1:26" ht="25.5">
      <c r="A93" s="125" t="s">
        <v>134</v>
      </c>
      <c r="B93" s="126" t="s">
        <v>136</v>
      </c>
      <c r="C93" s="127" t="s">
        <v>137</v>
      </c>
      <c r="D93" s="27"/>
      <c r="E93" s="55"/>
      <c r="F93" s="55">
        <v>1</v>
      </c>
      <c r="G93" s="55">
        <v>383.01</v>
      </c>
      <c r="H93" s="136">
        <f t="shared" si="38"/>
        <v>0.38301000000000002</v>
      </c>
      <c r="I93" s="39">
        <f>G93</f>
        <v>383.01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9">
        <v>0</v>
      </c>
      <c r="U93" s="39">
        <f t="shared" si="39"/>
        <v>383.01</v>
      </c>
    </row>
    <row r="94" spans="1:26" ht="25.5">
      <c r="A94" s="140" t="s">
        <v>247</v>
      </c>
      <c r="B94" s="26" t="s">
        <v>147</v>
      </c>
      <c r="C94" s="129" t="s">
        <v>148</v>
      </c>
      <c r="D94" s="142"/>
      <c r="E94" s="55"/>
      <c r="F94" s="55">
        <v>1</v>
      </c>
      <c r="G94" s="55">
        <v>754.93</v>
      </c>
      <c r="H94" s="136">
        <f t="shared" si="38"/>
        <v>0.75492999999999999</v>
      </c>
      <c r="I94" s="39">
        <f>G94</f>
        <v>754.93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9">
        <f t="shared" si="39"/>
        <v>754.93</v>
      </c>
    </row>
    <row r="95" spans="1:26" ht="38.25">
      <c r="A95" s="140" t="s">
        <v>248</v>
      </c>
      <c r="B95" s="26" t="s">
        <v>149</v>
      </c>
      <c r="C95" s="139" t="s">
        <v>150</v>
      </c>
      <c r="D95" s="142"/>
      <c r="E95" s="55"/>
      <c r="F95" s="55">
        <v>1</v>
      </c>
      <c r="G95" s="55">
        <v>811.24</v>
      </c>
      <c r="H95" s="136">
        <f t="shared" si="38"/>
        <v>0.81123999999999996</v>
      </c>
      <c r="I95" s="39">
        <f>G95</f>
        <v>811.24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T95" s="39">
        <v>0</v>
      </c>
      <c r="U95" s="39">
        <f t="shared" si="39"/>
        <v>811.24</v>
      </c>
    </row>
    <row r="96" spans="1:26" ht="25.5">
      <c r="A96" s="140" t="s">
        <v>249</v>
      </c>
      <c r="B96" s="26" t="s">
        <v>151</v>
      </c>
      <c r="C96" s="129" t="s">
        <v>152</v>
      </c>
      <c r="D96" s="142"/>
      <c r="E96" s="55"/>
      <c r="F96" s="55">
        <v>1</v>
      </c>
      <c r="G96" s="55">
        <v>1005.07</v>
      </c>
      <c r="H96" s="136">
        <f t="shared" si="38"/>
        <v>1.0050700000000001</v>
      </c>
      <c r="I96" s="39">
        <f>G96</f>
        <v>1005.07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f t="shared" si="39"/>
        <v>1005.07</v>
      </c>
    </row>
    <row r="97" spans="1:21">
      <c r="A97" s="140" t="s">
        <v>250</v>
      </c>
      <c r="B97" s="141" t="s">
        <v>153</v>
      </c>
      <c r="C97" s="139" t="s">
        <v>84</v>
      </c>
      <c r="D97" s="142"/>
      <c r="E97" s="55"/>
      <c r="F97" s="55">
        <f>2/10</f>
        <v>0.2</v>
      </c>
      <c r="G97" s="55">
        <v>3800</v>
      </c>
      <c r="H97" s="136">
        <f t="shared" si="38"/>
        <v>0.76</v>
      </c>
      <c r="I97" s="39">
        <f>G97*0.2</f>
        <v>760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si="39"/>
        <v>760</v>
      </c>
    </row>
    <row r="98" spans="1:21">
      <c r="A98" s="140" t="s">
        <v>251</v>
      </c>
      <c r="B98" s="141" t="s">
        <v>144</v>
      </c>
      <c r="C98" s="139" t="s">
        <v>63</v>
      </c>
      <c r="D98" s="142"/>
      <c r="E98" s="55"/>
      <c r="F98" s="55">
        <v>1</v>
      </c>
      <c r="G98" s="55">
        <v>295.58999999999997</v>
      </c>
      <c r="H98" s="136">
        <f t="shared" si="38"/>
        <v>0.29558999999999996</v>
      </c>
      <c r="I98" s="39">
        <f>G98</f>
        <v>295.58999999999997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f t="shared" si="39"/>
        <v>295.58999999999997</v>
      </c>
    </row>
    <row r="99" spans="1:21" ht="26.25" customHeight="1">
      <c r="A99" s="139" t="s">
        <v>252</v>
      </c>
      <c r="B99" s="26" t="s">
        <v>145</v>
      </c>
      <c r="C99" s="129" t="s">
        <v>146</v>
      </c>
      <c r="D99" s="142"/>
      <c r="E99" s="55"/>
      <c r="F99" s="55">
        <f>2/10</f>
        <v>0.2</v>
      </c>
      <c r="G99" s="55">
        <v>180.43</v>
      </c>
      <c r="H99" s="136">
        <f t="shared" ref="H99:H100" si="40">G99*F99/1000</f>
        <v>3.6086000000000007E-2</v>
      </c>
      <c r="I99" s="39">
        <f>G99*0.2</f>
        <v>36.086000000000006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f t="shared" ref="U99:U100" si="41">SUM(I99:T99)</f>
        <v>36.086000000000006</v>
      </c>
    </row>
    <row r="100" spans="1:21" ht="12.75" customHeight="1">
      <c r="A100" s="124" t="s">
        <v>253</v>
      </c>
      <c r="B100" s="123" t="s">
        <v>291</v>
      </c>
      <c r="C100" s="122" t="s">
        <v>63</v>
      </c>
      <c r="D100" s="142"/>
      <c r="E100" s="55"/>
      <c r="F100" s="55">
        <v>5</v>
      </c>
      <c r="G100" s="55">
        <v>1072.21</v>
      </c>
      <c r="H100" s="136">
        <f t="shared" si="40"/>
        <v>5.3610500000000005</v>
      </c>
      <c r="I100" s="39">
        <f>G100*3</f>
        <v>3216.63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f>G100*2</f>
        <v>2144.42</v>
      </c>
      <c r="S100" s="39">
        <v>0</v>
      </c>
      <c r="T100" s="39">
        <v>0</v>
      </c>
      <c r="U100" s="39">
        <f t="shared" si="41"/>
        <v>5361.05</v>
      </c>
    </row>
    <row r="101" spans="1:21" ht="12.75" customHeight="1">
      <c r="A101" s="122" t="s">
        <v>254</v>
      </c>
      <c r="B101" s="123" t="s">
        <v>192</v>
      </c>
      <c r="C101" s="122" t="s">
        <v>158</v>
      </c>
      <c r="D101" s="27"/>
      <c r="E101" s="55"/>
      <c r="F101" s="55">
        <v>12</v>
      </c>
      <c r="G101" s="55">
        <v>185.81</v>
      </c>
      <c r="H101" s="136">
        <f t="shared" ref="H101" si="42">G101*F101/1000</f>
        <v>2.2297200000000004</v>
      </c>
      <c r="I101" s="39">
        <v>0</v>
      </c>
      <c r="J101" s="39">
        <f>G101</f>
        <v>185.81</v>
      </c>
      <c r="K101" s="39">
        <v>0</v>
      </c>
      <c r="L101" s="39">
        <v>0</v>
      </c>
      <c r="M101" s="39">
        <v>0</v>
      </c>
      <c r="N101" s="39">
        <f>G101*3</f>
        <v>557.43000000000006</v>
      </c>
      <c r="O101" s="39">
        <f>G101*4</f>
        <v>743.24</v>
      </c>
      <c r="P101" s="39">
        <v>0</v>
      </c>
      <c r="Q101" s="39">
        <f>G101</f>
        <v>185.81</v>
      </c>
      <c r="R101" s="39">
        <f>G101*2</f>
        <v>371.62</v>
      </c>
      <c r="S101" s="39">
        <v>0</v>
      </c>
      <c r="T101" s="39">
        <f>G101</f>
        <v>185.81</v>
      </c>
      <c r="U101" s="39">
        <f t="shared" ref="U101" si="43">SUM(I101:T101)</f>
        <v>2229.7199999999998</v>
      </c>
    </row>
    <row r="102" spans="1:21" ht="12.75" customHeight="1">
      <c r="A102" s="139" t="s">
        <v>255</v>
      </c>
      <c r="B102" s="26" t="s">
        <v>159</v>
      </c>
      <c r="C102" s="129" t="s">
        <v>63</v>
      </c>
      <c r="D102" s="27"/>
      <c r="E102" s="55"/>
      <c r="F102" s="55">
        <v>1</v>
      </c>
      <c r="G102" s="55">
        <v>2179.33</v>
      </c>
      <c r="H102" s="136">
        <f t="shared" ref="H102:H108" si="44">G102*F102/1000</f>
        <v>2.1793299999999998</v>
      </c>
      <c r="I102" s="39">
        <v>0</v>
      </c>
      <c r="J102" s="39">
        <f t="shared" ref="J102:J103" si="45">G102</f>
        <v>2179.33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  <c r="P102" s="39">
        <v>0</v>
      </c>
      <c r="Q102" s="39">
        <v>0</v>
      </c>
      <c r="R102" s="39">
        <v>0</v>
      </c>
      <c r="S102" s="39">
        <v>0</v>
      </c>
      <c r="T102" s="39">
        <v>0</v>
      </c>
      <c r="U102" s="39">
        <f t="shared" ref="U102:U109" si="46">SUM(I102:T102)</f>
        <v>2179.33</v>
      </c>
    </row>
    <row r="103" spans="1:21" ht="12.75" customHeight="1">
      <c r="A103" s="129" t="s">
        <v>244</v>
      </c>
      <c r="B103" s="26" t="s">
        <v>160</v>
      </c>
      <c r="C103" s="129" t="s">
        <v>63</v>
      </c>
      <c r="D103" s="27"/>
      <c r="E103" s="55"/>
      <c r="F103" s="55">
        <v>1</v>
      </c>
      <c r="G103" s="55">
        <v>1079.27</v>
      </c>
      <c r="H103" s="136">
        <f t="shared" si="44"/>
        <v>1.07927</v>
      </c>
      <c r="I103" s="39">
        <v>0</v>
      </c>
      <c r="J103" s="39">
        <f t="shared" si="45"/>
        <v>1079.27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T103" s="39">
        <v>0</v>
      </c>
      <c r="U103" s="39">
        <f t="shared" si="46"/>
        <v>1079.27</v>
      </c>
    </row>
    <row r="104" spans="1:21" ht="25.5" customHeight="1">
      <c r="A104" s="124" t="s">
        <v>174</v>
      </c>
      <c r="B104" s="123" t="s">
        <v>271</v>
      </c>
      <c r="C104" s="122" t="s">
        <v>175</v>
      </c>
      <c r="D104" s="142"/>
      <c r="E104" s="55"/>
      <c r="F104" s="55">
        <v>16</v>
      </c>
      <c r="G104" s="55">
        <v>1206</v>
      </c>
      <c r="H104" s="136">
        <f t="shared" si="44"/>
        <v>19.295999999999999</v>
      </c>
      <c r="I104" s="39">
        <v>0</v>
      </c>
      <c r="J104" s="39">
        <v>0</v>
      </c>
      <c r="K104" s="39">
        <v>0</v>
      </c>
      <c r="L104" s="39">
        <v>0</v>
      </c>
      <c r="M104" s="39">
        <f>G104*8</f>
        <v>9648</v>
      </c>
      <c r="N104" s="39">
        <f>G104*8</f>
        <v>9648</v>
      </c>
      <c r="O104" s="39">
        <v>0</v>
      </c>
      <c r="P104" s="39">
        <v>0</v>
      </c>
      <c r="Q104" s="39">
        <v>0</v>
      </c>
      <c r="R104" s="39">
        <v>0</v>
      </c>
      <c r="S104" s="39">
        <v>0</v>
      </c>
      <c r="T104" s="39">
        <v>0</v>
      </c>
      <c r="U104" s="39">
        <f t="shared" si="46"/>
        <v>19296</v>
      </c>
    </row>
    <row r="105" spans="1:21" ht="25.5" customHeight="1">
      <c r="A105" s="124" t="s">
        <v>174</v>
      </c>
      <c r="B105" s="123" t="s">
        <v>272</v>
      </c>
      <c r="C105" s="122" t="s">
        <v>175</v>
      </c>
      <c r="D105" s="142"/>
      <c r="E105" s="55"/>
      <c r="F105" s="55">
        <v>25</v>
      </c>
      <c r="G105" s="55">
        <v>1272</v>
      </c>
      <c r="H105" s="136">
        <f t="shared" ref="H105" si="47">G105*F105/1000</f>
        <v>31.8</v>
      </c>
      <c r="I105" s="39">
        <v>0</v>
      </c>
      <c r="J105" s="39">
        <v>0</v>
      </c>
      <c r="K105" s="39">
        <v>0</v>
      </c>
      <c r="L105" s="39">
        <v>0</v>
      </c>
      <c r="M105" s="39">
        <f>G105*17</f>
        <v>21624</v>
      </c>
      <c r="N105" s="39">
        <v>0</v>
      </c>
      <c r="O105" s="39">
        <f>G105*8</f>
        <v>10176</v>
      </c>
      <c r="P105" s="39">
        <v>0</v>
      </c>
      <c r="Q105" s="39">
        <v>0</v>
      </c>
      <c r="R105" s="39">
        <v>0</v>
      </c>
      <c r="S105" s="39">
        <v>0</v>
      </c>
      <c r="T105" s="39">
        <v>0</v>
      </c>
      <c r="U105" s="39">
        <f t="shared" ref="U105" si="48">SUM(I105:T105)</f>
        <v>31800</v>
      </c>
    </row>
    <row r="106" spans="1:21" ht="12.75" customHeight="1">
      <c r="A106" s="129" t="s">
        <v>256</v>
      </c>
      <c r="B106" s="144" t="s">
        <v>177</v>
      </c>
      <c r="C106" s="129" t="s">
        <v>176</v>
      </c>
      <c r="D106" s="142"/>
      <c r="E106" s="55"/>
      <c r="F106" s="55">
        <v>1</v>
      </c>
      <c r="G106" s="55">
        <v>498.11</v>
      </c>
      <c r="H106" s="136">
        <f t="shared" si="44"/>
        <v>0.49811</v>
      </c>
      <c r="I106" s="39">
        <v>0</v>
      </c>
      <c r="J106" s="39">
        <v>0</v>
      </c>
      <c r="K106" s="39">
        <v>0</v>
      </c>
      <c r="L106" s="39">
        <v>0</v>
      </c>
      <c r="M106" s="39">
        <f>G106</f>
        <v>498.11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39">
        <v>0</v>
      </c>
      <c r="U106" s="39">
        <f t="shared" si="46"/>
        <v>498.11</v>
      </c>
    </row>
    <row r="107" spans="1:21" ht="12.75" customHeight="1">
      <c r="A107" s="143" t="s">
        <v>174</v>
      </c>
      <c r="B107" s="144" t="s">
        <v>179</v>
      </c>
      <c r="C107" s="143" t="s">
        <v>180</v>
      </c>
      <c r="D107" s="142"/>
      <c r="E107" s="55"/>
      <c r="F107" s="55">
        <v>1</v>
      </c>
      <c r="G107" s="55">
        <v>1529</v>
      </c>
      <c r="H107" s="136">
        <f t="shared" si="44"/>
        <v>1.5289999999999999</v>
      </c>
      <c r="I107" s="39">
        <v>0</v>
      </c>
      <c r="J107" s="39">
        <v>0</v>
      </c>
      <c r="K107" s="39">
        <v>0</v>
      </c>
      <c r="L107" s="39">
        <v>0</v>
      </c>
      <c r="M107" s="39">
        <f>G107</f>
        <v>1529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T107" s="39">
        <v>0</v>
      </c>
      <c r="U107" s="39">
        <f t="shared" si="46"/>
        <v>1529</v>
      </c>
    </row>
    <row r="108" spans="1:21" ht="25.5" customHeight="1">
      <c r="A108" s="143" t="s">
        <v>174</v>
      </c>
      <c r="B108" s="123" t="s">
        <v>282</v>
      </c>
      <c r="C108" s="143" t="s">
        <v>175</v>
      </c>
      <c r="D108" s="142"/>
      <c r="E108" s="55"/>
      <c r="F108" s="55">
        <v>1.5</v>
      </c>
      <c r="G108" s="55">
        <v>2057</v>
      </c>
      <c r="H108" s="136">
        <f t="shared" si="44"/>
        <v>3.0855000000000001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f>G108*1.5</f>
        <v>3085.5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f t="shared" si="46"/>
        <v>3085.5</v>
      </c>
    </row>
    <row r="109" spans="1:21" ht="25.5" customHeight="1">
      <c r="A109" s="129" t="s">
        <v>257</v>
      </c>
      <c r="B109" s="26" t="s">
        <v>182</v>
      </c>
      <c r="C109" s="129" t="s">
        <v>175</v>
      </c>
      <c r="D109" s="27"/>
      <c r="E109" s="55"/>
      <c r="F109" s="55">
        <v>1</v>
      </c>
      <c r="G109" s="55">
        <v>771.29</v>
      </c>
      <c r="H109" s="136">
        <f t="shared" ref="H109" si="49">G109*F109/1000</f>
        <v>0.77128999999999992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f>G109</f>
        <v>771.29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T109" s="39">
        <v>0</v>
      </c>
      <c r="U109" s="39">
        <f t="shared" si="46"/>
        <v>771.29</v>
      </c>
    </row>
    <row r="110" spans="1:21" ht="25.5" customHeight="1">
      <c r="A110" s="129" t="s">
        <v>257</v>
      </c>
      <c r="B110" s="26" t="s">
        <v>181</v>
      </c>
      <c r="C110" s="129" t="s">
        <v>175</v>
      </c>
      <c r="D110" s="27"/>
      <c r="E110" s="55"/>
      <c r="F110" s="55">
        <v>1</v>
      </c>
      <c r="G110" s="55">
        <v>960.74</v>
      </c>
      <c r="H110" s="136">
        <f t="shared" ref="H110:H146" si="50">G110*F110/1000</f>
        <v>0.96074000000000004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f>G110</f>
        <v>960.74</v>
      </c>
      <c r="O110" s="39">
        <v>0</v>
      </c>
      <c r="P110" s="39">
        <v>0</v>
      </c>
      <c r="Q110" s="39">
        <v>0</v>
      </c>
      <c r="R110" s="39">
        <v>0</v>
      </c>
      <c r="S110" s="39">
        <v>0</v>
      </c>
      <c r="T110" s="39">
        <v>0</v>
      </c>
      <c r="U110" s="39">
        <f t="shared" ref="U110" si="51">SUM(I110:T110)</f>
        <v>960.74</v>
      </c>
    </row>
    <row r="111" spans="1:21" ht="12.75" customHeight="1">
      <c r="A111" s="129" t="s">
        <v>183</v>
      </c>
      <c r="B111" s="26" t="s">
        <v>184</v>
      </c>
      <c r="C111" s="129" t="s">
        <v>63</v>
      </c>
      <c r="D111" s="27"/>
      <c r="E111" s="55"/>
      <c r="F111" s="55">
        <v>1</v>
      </c>
      <c r="G111" s="55">
        <v>27.36</v>
      </c>
      <c r="H111" s="136">
        <f t="shared" si="50"/>
        <v>2.7359999999999999E-2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f>G111</f>
        <v>27.36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39">
        <v>0</v>
      </c>
      <c r="U111" s="39">
        <f t="shared" ref="U111" si="52">SUM(I111:T111)</f>
        <v>27.36</v>
      </c>
    </row>
    <row r="112" spans="1:21" ht="12.75" customHeight="1">
      <c r="A112" s="129" t="s">
        <v>183</v>
      </c>
      <c r="B112" s="26" t="s">
        <v>185</v>
      </c>
      <c r="C112" s="129" t="s">
        <v>63</v>
      </c>
      <c r="D112" s="27"/>
      <c r="E112" s="55"/>
      <c r="F112" s="55">
        <v>1</v>
      </c>
      <c r="G112" s="55">
        <v>89.15</v>
      </c>
      <c r="H112" s="136">
        <f t="shared" si="50"/>
        <v>8.9150000000000007E-2</v>
      </c>
      <c r="I112" s="39">
        <v>0</v>
      </c>
      <c r="J112" s="39">
        <v>0</v>
      </c>
      <c r="K112" s="39">
        <v>0</v>
      </c>
      <c r="L112" s="39">
        <v>0</v>
      </c>
      <c r="M112" s="39">
        <v>0</v>
      </c>
      <c r="N112" s="39">
        <f t="shared" ref="N112:N119" si="53">G112</f>
        <v>89.15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39">
        <v>0</v>
      </c>
      <c r="U112" s="39">
        <f t="shared" ref="U112:U118" si="54">SUM(I112:T112)</f>
        <v>89.15</v>
      </c>
    </row>
    <row r="113" spans="1:21" ht="12.75" customHeight="1">
      <c r="A113" s="129" t="s">
        <v>183</v>
      </c>
      <c r="B113" s="26" t="s">
        <v>186</v>
      </c>
      <c r="C113" s="129" t="s">
        <v>63</v>
      </c>
      <c r="D113" s="27"/>
      <c r="E113" s="55"/>
      <c r="F113" s="55">
        <v>1</v>
      </c>
      <c r="G113" s="55">
        <v>78.89</v>
      </c>
      <c r="H113" s="136">
        <f t="shared" si="50"/>
        <v>7.8890000000000002E-2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f t="shared" si="53"/>
        <v>78.89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T113" s="39">
        <v>0</v>
      </c>
      <c r="U113" s="39">
        <f t="shared" si="54"/>
        <v>78.89</v>
      </c>
    </row>
    <row r="114" spans="1:21" ht="12.75" customHeight="1">
      <c r="A114" s="129" t="s">
        <v>183</v>
      </c>
      <c r="B114" s="26" t="s">
        <v>187</v>
      </c>
      <c r="C114" s="129" t="s">
        <v>63</v>
      </c>
      <c r="D114" s="27"/>
      <c r="E114" s="55"/>
      <c r="F114" s="55">
        <v>1</v>
      </c>
      <c r="G114" s="55">
        <v>109.73</v>
      </c>
      <c r="H114" s="136">
        <f t="shared" si="50"/>
        <v>0.10973000000000001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f t="shared" si="53"/>
        <v>109.73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f t="shared" si="54"/>
        <v>109.73</v>
      </c>
    </row>
    <row r="115" spans="1:21" ht="25.5" customHeight="1">
      <c r="A115" s="161" t="s">
        <v>258</v>
      </c>
      <c r="B115" s="144" t="s">
        <v>193</v>
      </c>
      <c r="C115" s="143" t="s">
        <v>176</v>
      </c>
      <c r="D115" s="27"/>
      <c r="E115" s="55"/>
      <c r="F115" s="55">
        <v>10</v>
      </c>
      <c r="G115" s="55">
        <v>559.62</v>
      </c>
      <c r="H115" s="136">
        <f t="shared" si="50"/>
        <v>5.5961999999999996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f>G115*2</f>
        <v>1119.24</v>
      </c>
      <c r="O115" s="39">
        <v>0</v>
      </c>
      <c r="P115" s="39">
        <f>G115*(1+1+1)</f>
        <v>1678.8600000000001</v>
      </c>
      <c r="Q115" s="39">
        <v>0</v>
      </c>
      <c r="R115" s="39">
        <f>G115*5</f>
        <v>2798.1</v>
      </c>
      <c r="S115" s="39">
        <v>0</v>
      </c>
      <c r="T115" s="39">
        <v>0</v>
      </c>
      <c r="U115" s="39">
        <f t="shared" si="54"/>
        <v>5596.2000000000007</v>
      </c>
    </row>
    <row r="116" spans="1:21" ht="25.5" customHeight="1">
      <c r="A116" s="161" t="s">
        <v>259</v>
      </c>
      <c r="B116" s="144" t="s">
        <v>194</v>
      </c>
      <c r="C116" s="143" t="s">
        <v>176</v>
      </c>
      <c r="D116" s="27"/>
      <c r="E116" s="55"/>
      <c r="F116" s="55">
        <v>5</v>
      </c>
      <c r="G116" s="55">
        <v>762.37</v>
      </c>
      <c r="H116" s="136">
        <f t="shared" si="50"/>
        <v>3.8118499999999997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f>G116</f>
        <v>762.37</v>
      </c>
      <c r="O116" s="39">
        <v>0</v>
      </c>
      <c r="P116" s="39">
        <f>G116*3</f>
        <v>2287.11</v>
      </c>
      <c r="Q116" s="39">
        <v>0</v>
      </c>
      <c r="R116" s="39">
        <f>G116</f>
        <v>762.37</v>
      </c>
      <c r="S116" s="39">
        <v>0</v>
      </c>
      <c r="T116" s="39">
        <v>0</v>
      </c>
      <c r="U116" s="39">
        <f t="shared" si="54"/>
        <v>3811.85</v>
      </c>
    </row>
    <row r="117" spans="1:21" ht="12.75" customHeight="1">
      <c r="A117" s="143" t="s">
        <v>260</v>
      </c>
      <c r="B117" s="144" t="s">
        <v>195</v>
      </c>
      <c r="C117" s="143" t="s">
        <v>176</v>
      </c>
      <c r="D117" s="27"/>
      <c r="E117" s="55"/>
      <c r="F117" s="55">
        <v>4</v>
      </c>
      <c r="G117" s="55">
        <v>174.63</v>
      </c>
      <c r="H117" s="136">
        <f t="shared" si="50"/>
        <v>0.69852000000000003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f>G117</f>
        <v>174.63</v>
      </c>
      <c r="O117" s="39">
        <v>0</v>
      </c>
      <c r="P117" s="39">
        <f>G117</f>
        <v>174.63</v>
      </c>
      <c r="Q117" s="39">
        <v>0</v>
      </c>
      <c r="R117" s="39">
        <f>G117*2</f>
        <v>349.26</v>
      </c>
      <c r="S117" s="39">
        <v>0</v>
      </c>
      <c r="T117" s="39">
        <v>0</v>
      </c>
      <c r="U117" s="39">
        <f t="shared" si="54"/>
        <v>698.52</v>
      </c>
    </row>
    <row r="118" spans="1:21" ht="12.75" customHeight="1">
      <c r="A118" s="143" t="s">
        <v>261</v>
      </c>
      <c r="B118" s="144" t="s">
        <v>196</v>
      </c>
      <c r="C118" s="143" t="s">
        <v>176</v>
      </c>
      <c r="D118" s="27"/>
      <c r="E118" s="55"/>
      <c r="F118" s="55">
        <v>1</v>
      </c>
      <c r="G118" s="55">
        <v>267.58</v>
      </c>
      <c r="H118" s="136">
        <f t="shared" si="50"/>
        <v>0.26757999999999998</v>
      </c>
      <c r="I118" s="39">
        <v>0</v>
      </c>
      <c r="J118" s="39">
        <v>0</v>
      </c>
      <c r="K118" s="39">
        <v>0</v>
      </c>
      <c r="L118" s="39">
        <v>0</v>
      </c>
      <c r="M118" s="39">
        <v>0</v>
      </c>
      <c r="N118" s="39">
        <f>G118</f>
        <v>267.58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39">
        <v>0</v>
      </c>
      <c r="U118" s="39">
        <f t="shared" si="54"/>
        <v>267.58</v>
      </c>
    </row>
    <row r="119" spans="1:21" ht="38.25" customHeight="1">
      <c r="A119" s="129" t="s">
        <v>262</v>
      </c>
      <c r="B119" s="144" t="s">
        <v>188</v>
      </c>
      <c r="C119" s="129" t="s">
        <v>189</v>
      </c>
      <c r="D119" s="27"/>
      <c r="E119" s="55"/>
      <c r="F119" s="55">
        <v>1</v>
      </c>
      <c r="G119" s="55">
        <v>51.39</v>
      </c>
      <c r="H119" s="136">
        <f t="shared" si="50"/>
        <v>5.1389999999999998E-2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f t="shared" si="53"/>
        <v>51.39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T119" s="39">
        <v>0</v>
      </c>
      <c r="U119" s="39">
        <f>SUM(I119:T119)</f>
        <v>51.39</v>
      </c>
    </row>
    <row r="120" spans="1:21" ht="38.25" customHeight="1">
      <c r="A120" s="140" t="s">
        <v>263</v>
      </c>
      <c r="B120" s="26" t="s">
        <v>197</v>
      </c>
      <c r="C120" s="129" t="s">
        <v>198</v>
      </c>
      <c r="D120" s="27"/>
      <c r="E120" s="55"/>
      <c r="F120" s="55">
        <f>0.2/10</f>
        <v>0.02</v>
      </c>
      <c r="G120" s="55">
        <v>10454.09</v>
      </c>
      <c r="H120" s="136">
        <f t="shared" si="50"/>
        <v>0.20908180000000001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f>G120*F120</f>
        <v>209.08180000000002</v>
      </c>
      <c r="O120" s="39">
        <v>0</v>
      </c>
      <c r="P120" s="39">
        <v>0</v>
      </c>
      <c r="Q120" s="39">
        <v>0</v>
      </c>
      <c r="R120" s="39">
        <v>0</v>
      </c>
      <c r="S120" s="39">
        <v>0</v>
      </c>
      <c r="T120" s="39">
        <v>0</v>
      </c>
      <c r="U120" s="39">
        <f>SUM(I120:T120)</f>
        <v>209.08180000000002</v>
      </c>
    </row>
    <row r="121" spans="1:21" ht="12.75" customHeight="1">
      <c r="A121" s="143" t="s">
        <v>134</v>
      </c>
      <c r="B121" s="144" t="s">
        <v>190</v>
      </c>
      <c r="C121" s="143" t="s">
        <v>191</v>
      </c>
      <c r="D121" s="27"/>
      <c r="E121" s="55"/>
      <c r="F121" s="55">
        <v>2</v>
      </c>
      <c r="G121" s="55">
        <v>1620</v>
      </c>
      <c r="H121" s="136">
        <f t="shared" si="50"/>
        <v>3.24</v>
      </c>
      <c r="I121" s="39">
        <v>0</v>
      </c>
      <c r="J121" s="39">
        <v>0</v>
      </c>
      <c r="K121" s="39">
        <v>0</v>
      </c>
      <c r="L121" s="39">
        <v>0</v>
      </c>
      <c r="M121" s="39">
        <v>0</v>
      </c>
      <c r="N121" s="39">
        <f>G121*2</f>
        <v>3240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39">
        <v>0</v>
      </c>
      <c r="U121" s="39">
        <f t="shared" ref="U121:U142" si="55">SUM(I121:T121)</f>
        <v>3240</v>
      </c>
    </row>
    <row r="122" spans="1:21" ht="12.75" customHeight="1">
      <c r="A122" s="162" t="s">
        <v>264</v>
      </c>
      <c r="B122" s="163" t="s">
        <v>199</v>
      </c>
      <c r="C122" s="162" t="s">
        <v>200</v>
      </c>
      <c r="D122" s="27"/>
      <c r="E122" s="55"/>
      <c r="F122" s="55">
        <f>7.5/3</f>
        <v>2.5</v>
      </c>
      <c r="G122" s="55">
        <v>1063.47</v>
      </c>
      <c r="H122" s="136">
        <f t="shared" si="50"/>
        <v>2.6586750000000001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f>G122</f>
        <v>1063.47</v>
      </c>
      <c r="P122" s="39">
        <v>0</v>
      </c>
      <c r="Q122" s="39">
        <v>0</v>
      </c>
      <c r="R122" s="39">
        <f>G122</f>
        <v>1063.47</v>
      </c>
      <c r="S122" s="39">
        <v>0</v>
      </c>
      <c r="T122" s="39">
        <f>G122*((1.5)/3)</f>
        <v>531.73500000000001</v>
      </c>
      <c r="U122" s="39">
        <f t="shared" si="55"/>
        <v>2658.6750000000002</v>
      </c>
    </row>
    <row r="123" spans="1:21" ht="25.5" customHeight="1">
      <c r="A123" s="124" t="s">
        <v>174</v>
      </c>
      <c r="B123" s="123" t="s">
        <v>292</v>
      </c>
      <c r="C123" s="122" t="s">
        <v>175</v>
      </c>
      <c r="D123" s="142"/>
      <c r="E123" s="55"/>
      <c r="F123" s="55">
        <v>16</v>
      </c>
      <c r="G123" s="55">
        <v>1187</v>
      </c>
      <c r="H123" s="136">
        <f>G123*F123/1000</f>
        <v>18.992000000000001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f>G123*8</f>
        <v>9496</v>
      </c>
      <c r="P123" s="39">
        <v>0</v>
      </c>
      <c r="Q123" s="39">
        <v>0</v>
      </c>
      <c r="R123" s="39">
        <v>0</v>
      </c>
      <c r="S123" s="39">
        <f>G123*8</f>
        <v>9496</v>
      </c>
      <c r="T123" s="39">
        <v>0</v>
      </c>
      <c r="U123" s="39">
        <f>SUM(I123:T123)</f>
        <v>18992</v>
      </c>
    </row>
    <row r="124" spans="1:21" ht="25.5" customHeight="1">
      <c r="A124" s="143" t="s">
        <v>229</v>
      </c>
      <c r="B124" s="144" t="s">
        <v>201</v>
      </c>
      <c r="C124" s="143" t="s">
        <v>60</v>
      </c>
      <c r="D124" s="27"/>
      <c r="E124" s="55"/>
      <c r="F124" s="55">
        <f>8/100</f>
        <v>0.08</v>
      </c>
      <c r="G124" s="55">
        <v>3397.65</v>
      </c>
      <c r="H124" s="136">
        <f t="shared" si="50"/>
        <v>0.271812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f>G124*0.02</f>
        <v>67.953000000000003</v>
      </c>
      <c r="P124" s="39">
        <f>G124*0.01</f>
        <v>33.976500000000001</v>
      </c>
      <c r="Q124" s="39">
        <f>G124*0.02</f>
        <v>67.953000000000003</v>
      </c>
      <c r="R124" s="39">
        <v>0</v>
      </c>
      <c r="S124" s="39">
        <f>G124*0.02</f>
        <v>67.953000000000003</v>
      </c>
      <c r="T124" s="39">
        <f>G124*0.01</f>
        <v>33.976500000000001</v>
      </c>
      <c r="U124" s="39">
        <f t="shared" si="55"/>
        <v>271.81200000000001</v>
      </c>
    </row>
    <row r="125" spans="1:21" ht="12.75" customHeight="1">
      <c r="A125" s="125" t="s">
        <v>265</v>
      </c>
      <c r="B125" s="164" t="s">
        <v>202</v>
      </c>
      <c r="C125" s="143" t="s">
        <v>63</v>
      </c>
      <c r="D125" s="27"/>
      <c r="E125" s="55"/>
      <c r="F125" s="55">
        <v>2</v>
      </c>
      <c r="G125" s="55">
        <v>179.96</v>
      </c>
      <c r="H125" s="136">
        <f t="shared" si="50"/>
        <v>0.35992000000000002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f>G125</f>
        <v>179.96</v>
      </c>
      <c r="P125" s="39">
        <v>0</v>
      </c>
      <c r="Q125" s="39">
        <f>G125</f>
        <v>179.96</v>
      </c>
      <c r="R125" s="39">
        <v>0</v>
      </c>
      <c r="S125" s="39">
        <v>0</v>
      </c>
      <c r="T125" s="39">
        <v>0</v>
      </c>
      <c r="U125" s="39">
        <f t="shared" si="55"/>
        <v>359.92</v>
      </c>
    </row>
    <row r="126" spans="1:21" ht="12.75" customHeight="1">
      <c r="A126" s="143" t="s">
        <v>273</v>
      </c>
      <c r="B126" s="144" t="s">
        <v>274</v>
      </c>
      <c r="C126" s="143" t="s">
        <v>176</v>
      </c>
      <c r="D126" s="27"/>
      <c r="E126" s="55"/>
      <c r="F126" s="55">
        <v>4</v>
      </c>
      <c r="G126" s="55">
        <v>248.02</v>
      </c>
      <c r="H126" s="136">
        <f t="shared" si="50"/>
        <v>0.99208000000000007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f>G126*4</f>
        <v>992.08</v>
      </c>
      <c r="Q126" s="39">
        <v>0</v>
      </c>
      <c r="R126" s="39">
        <v>0</v>
      </c>
      <c r="S126" s="39">
        <v>0</v>
      </c>
      <c r="T126" s="39">
        <v>0</v>
      </c>
      <c r="U126" s="39">
        <f t="shared" si="55"/>
        <v>992.08</v>
      </c>
    </row>
    <row r="127" spans="1:21" ht="12.75" customHeight="1">
      <c r="A127" s="143" t="s">
        <v>261</v>
      </c>
      <c r="B127" s="144" t="s">
        <v>275</v>
      </c>
      <c r="C127" s="143" t="s">
        <v>176</v>
      </c>
      <c r="D127" s="27"/>
      <c r="E127" s="55"/>
      <c r="F127" s="55">
        <v>3</v>
      </c>
      <c r="G127" s="55">
        <v>252.38</v>
      </c>
      <c r="H127" s="136">
        <f t="shared" ref="H127:H128" si="56">G127*F127/1000</f>
        <v>0.75714000000000004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f>G127*2</f>
        <v>504.76</v>
      </c>
      <c r="Q127" s="39">
        <v>0</v>
      </c>
      <c r="R127" s="39">
        <f>G127</f>
        <v>252.38</v>
      </c>
      <c r="S127" s="39">
        <v>0</v>
      </c>
      <c r="T127" s="39">
        <v>0</v>
      </c>
      <c r="U127" s="39">
        <f t="shared" si="55"/>
        <v>757.14</v>
      </c>
    </row>
    <row r="128" spans="1:21" ht="12.75" customHeight="1">
      <c r="A128" s="129" t="s">
        <v>183</v>
      </c>
      <c r="B128" s="26" t="s">
        <v>276</v>
      </c>
      <c r="C128" s="129" t="s">
        <v>63</v>
      </c>
      <c r="D128" s="27"/>
      <c r="E128" s="55"/>
      <c r="F128" s="55">
        <v>2</v>
      </c>
      <c r="G128" s="55">
        <v>140</v>
      </c>
      <c r="H128" s="136">
        <f t="shared" si="56"/>
        <v>0.28000000000000003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0</v>
      </c>
      <c r="P128" s="39">
        <f>G128*2</f>
        <v>280</v>
      </c>
      <c r="Q128" s="39">
        <v>0</v>
      </c>
      <c r="R128" s="39">
        <v>0</v>
      </c>
      <c r="S128" s="39">
        <v>0</v>
      </c>
      <c r="T128" s="39">
        <v>0</v>
      </c>
      <c r="U128" s="39">
        <f t="shared" si="55"/>
        <v>280</v>
      </c>
    </row>
    <row r="129" spans="1:21" ht="12.75" customHeight="1">
      <c r="A129" s="129" t="s">
        <v>183</v>
      </c>
      <c r="B129" s="26" t="s">
        <v>277</v>
      </c>
      <c r="C129" s="129" t="s">
        <v>63</v>
      </c>
      <c r="D129" s="27"/>
      <c r="E129" s="55"/>
      <c r="F129" s="55">
        <v>1</v>
      </c>
      <c r="G129" s="55">
        <v>133</v>
      </c>
      <c r="H129" s="136">
        <f t="shared" ref="H129" si="57">G129*F129/1000</f>
        <v>0.13300000000000001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f>G129</f>
        <v>133</v>
      </c>
      <c r="Q129" s="39">
        <v>0</v>
      </c>
      <c r="R129" s="39">
        <v>0</v>
      </c>
      <c r="S129" s="39">
        <v>0</v>
      </c>
      <c r="T129" s="39">
        <v>0</v>
      </c>
      <c r="U129" s="39">
        <f t="shared" ref="U129" si="58">SUM(I129:T129)</f>
        <v>133</v>
      </c>
    </row>
    <row r="130" spans="1:21" ht="12.75" customHeight="1">
      <c r="A130" s="129" t="s">
        <v>183</v>
      </c>
      <c r="B130" s="26" t="s">
        <v>278</v>
      </c>
      <c r="C130" s="129" t="s">
        <v>63</v>
      </c>
      <c r="D130" s="27"/>
      <c r="E130" s="55"/>
      <c r="F130" s="55">
        <v>1</v>
      </c>
      <c r="G130" s="55">
        <v>118</v>
      </c>
      <c r="H130" s="136">
        <f t="shared" ref="H130" si="59">G130*F130/1000</f>
        <v>0.11799999999999999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f>G130</f>
        <v>118</v>
      </c>
      <c r="Q130" s="39">
        <v>0</v>
      </c>
      <c r="R130" s="39">
        <v>0</v>
      </c>
      <c r="S130" s="39">
        <v>0</v>
      </c>
      <c r="T130" s="39">
        <v>0</v>
      </c>
      <c r="U130" s="39">
        <f t="shared" ref="U130" si="60">SUM(I130:T130)</f>
        <v>118</v>
      </c>
    </row>
    <row r="131" spans="1:21" ht="12.75" customHeight="1">
      <c r="A131" s="129" t="s">
        <v>183</v>
      </c>
      <c r="B131" s="26" t="s">
        <v>279</v>
      </c>
      <c r="C131" s="129" t="s">
        <v>63</v>
      </c>
      <c r="D131" s="27"/>
      <c r="E131" s="55"/>
      <c r="F131" s="55">
        <v>1</v>
      </c>
      <c r="G131" s="55">
        <v>192</v>
      </c>
      <c r="H131" s="136">
        <f t="shared" ref="H131" si="61">G131*F131/1000</f>
        <v>0.192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f>G131</f>
        <v>192</v>
      </c>
      <c r="Q131" s="39">
        <v>0</v>
      </c>
      <c r="R131" s="39">
        <v>0</v>
      </c>
      <c r="S131" s="39">
        <v>0</v>
      </c>
      <c r="T131" s="39">
        <v>0</v>
      </c>
      <c r="U131" s="39">
        <f t="shared" ref="U131" si="62">SUM(I131:T131)</f>
        <v>192</v>
      </c>
    </row>
    <row r="132" spans="1:21" ht="12.75" customHeight="1">
      <c r="A132" s="129" t="s">
        <v>183</v>
      </c>
      <c r="B132" s="26" t="s">
        <v>280</v>
      </c>
      <c r="C132" s="129" t="s">
        <v>63</v>
      </c>
      <c r="D132" s="27"/>
      <c r="E132" s="55"/>
      <c r="F132" s="55">
        <v>3</v>
      </c>
      <c r="G132" s="55">
        <v>78.260000000000005</v>
      </c>
      <c r="H132" s="136">
        <f t="shared" ref="H132" si="63">G132*F132/1000</f>
        <v>0.23478000000000002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0</v>
      </c>
      <c r="P132" s="39">
        <f>G132*3</f>
        <v>234.78000000000003</v>
      </c>
      <c r="Q132" s="39">
        <v>0</v>
      </c>
      <c r="R132" s="39">
        <v>0</v>
      </c>
      <c r="S132" s="39">
        <v>0</v>
      </c>
      <c r="T132" s="39">
        <v>0</v>
      </c>
      <c r="U132" s="39">
        <f t="shared" ref="U132" si="64">SUM(I132:T132)</f>
        <v>234.78000000000003</v>
      </c>
    </row>
    <row r="133" spans="1:21" ht="12.75" customHeight="1">
      <c r="A133" s="129" t="s">
        <v>183</v>
      </c>
      <c r="B133" s="26" t="s">
        <v>281</v>
      </c>
      <c r="C133" s="129" t="s">
        <v>63</v>
      </c>
      <c r="D133" s="27"/>
      <c r="E133" s="55"/>
      <c r="F133" s="55">
        <v>3</v>
      </c>
      <c r="G133" s="55">
        <v>81.14</v>
      </c>
      <c r="H133" s="136">
        <f t="shared" ref="H133:H134" si="65">G133*F133/1000</f>
        <v>0.24342000000000003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f>G133*3</f>
        <v>243.42000000000002</v>
      </c>
      <c r="Q133" s="39">
        <v>0</v>
      </c>
      <c r="R133" s="39">
        <v>0</v>
      </c>
      <c r="S133" s="39">
        <v>0</v>
      </c>
      <c r="T133" s="39">
        <v>0</v>
      </c>
      <c r="U133" s="39">
        <f t="shared" ref="U133:U134" si="66">SUM(I133:T133)</f>
        <v>243.42000000000002</v>
      </c>
    </row>
    <row r="134" spans="1:21" ht="12.75" customHeight="1">
      <c r="A134" s="161" t="s">
        <v>284</v>
      </c>
      <c r="B134" s="144" t="s">
        <v>283</v>
      </c>
      <c r="C134" s="143" t="s">
        <v>176</v>
      </c>
      <c r="D134" s="27"/>
      <c r="E134" s="55"/>
      <c r="F134" s="55">
        <v>2</v>
      </c>
      <c r="G134" s="55">
        <v>730.54</v>
      </c>
      <c r="H134" s="136">
        <f t="shared" si="65"/>
        <v>1.4610799999999999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v>0</v>
      </c>
      <c r="P134" s="39">
        <f>G134*2</f>
        <v>1461.08</v>
      </c>
      <c r="Q134" s="39">
        <v>0</v>
      </c>
      <c r="R134" s="39">
        <v>0</v>
      </c>
      <c r="S134" s="39">
        <v>0</v>
      </c>
      <c r="T134" s="39">
        <v>0</v>
      </c>
      <c r="U134" s="39">
        <f t="shared" si="66"/>
        <v>1461.08</v>
      </c>
    </row>
    <row r="135" spans="1:21" ht="12.75" customHeight="1">
      <c r="A135" s="143" t="s">
        <v>267</v>
      </c>
      <c r="B135" s="144" t="s">
        <v>266</v>
      </c>
      <c r="C135" s="143" t="s">
        <v>63</v>
      </c>
      <c r="D135" s="27"/>
      <c r="E135" s="55"/>
      <c r="F135" s="55">
        <v>2</v>
      </c>
      <c r="G135" s="55">
        <v>180.15</v>
      </c>
      <c r="H135" s="136">
        <f t="shared" si="50"/>
        <v>0.36030000000000001</v>
      </c>
      <c r="I135" s="39">
        <v>0</v>
      </c>
      <c r="J135" s="39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v>0</v>
      </c>
      <c r="P135" s="39">
        <f>G135</f>
        <v>180.15</v>
      </c>
      <c r="Q135" s="39">
        <f>G135</f>
        <v>180.15</v>
      </c>
      <c r="R135" s="39">
        <v>0</v>
      </c>
      <c r="S135" s="39">
        <v>0</v>
      </c>
      <c r="T135" s="39">
        <v>0</v>
      </c>
      <c r="U135" s="39">
        <f t="shared" si="55"/>
        <v>360.3</v>
      </c>
    </row>
    <row r="136" spans="1:21" ht="12.75" customHeight="1">
      <c r="A136" s="139" t="s">
        <v>269</v>
      </c>
      <c r="B136" s="26" t="s">
        <v>268</v>
      </c>
      <c r="C136" s="143" t="s">
        <v>270</v>
      </c>
      <c r="D136" s="27"/>
      <c r="E136" s="55"/>
      <c r="F136" s="55">
        <v>4</v>
      </c>
      <c r="G136" s="55">
        <v>83.63</v>
      </c>
      <c r="H136" s="136">
        <f t="shared" si="50"/>
        <v>0.33451999999999998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f>G136*4</f>
        <v>334.52</v>
      </c>
      <c r="Q136" s="39">
        <v>0</v>
      </c>
      <c r="R136" s="39">
        <v>0</v>
      </c>
      <c r="S136" s="39">
        <v>0</v>
      </c>
      <c r="T136" s="39">
        <v>0</v>
      </c>
      <c r="U136" s="39">
        <f t="shared" si="55"/>
        <v>334.52</v>
      </c>
    </row>
    <row r="137" spans="1:21" ht="25.5" customHeight="1">
      <c r="A137" s="140" t="s">
        <v>134</v>
      </c>
      <c r="B137" s="165" t="s">
        <v>285</v>
      </c>
      <c r="C137" s="166" t="s">
        <v>137</v>
      </c>
      <c r="D137" s="27"/>
      <c r="E137" s="55"/>
      <c r="F137" s="55">
        <v>1</v>
      </c>
      <c r="G137" s="55">
        <v>1835.8</v>
      </c>
      <c r="H137" s="136">
        <f t="shared" si="50"/>
        <v>1.8357999999999999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f>G137</f>
        <v>1835.8</v>
      </c>
      <c r="R137" s="39">
        <v>0</v>
      </c>
      <c r="S137" s="39">
        <v>0</v>
      </c>
      <c r="T137" s="39">
        <f>G137</f>
        <v>1835.8</v>
      </c>
      <c r="U137" s="39">
        <f t="shared" si="55"/>
        <v>3671.6</v>
      </c>
    </row>
    <row r="138" spans="1:21" ht="25.5" customHeight="1">
      <c r="A138" s="161" t="s">
        <v>259</v>
      </c>
      <c r="B138" s="144" t="s">
        <v>288</v>
      </c>
      <c r="C138" s="143" t="s">
        <v>176</v>
      </c>
      <c r="D138" s="27"/>
      <c r="E138" s="55"/>
      <c r="F138" s="55">
        <v>2</v>
      </c>
      <c r="G138" s="55">
        <v>625.07000000000005</v>
      </c>
      <c r="H138" s="136">
        <f t="shared" si="50"/>
        <v>1.25014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f>G138</f>
        <v>625.07000000000005</v>
      </c>
      <c r="R138" s="39">
        <f>G138</f>
        <v>625.07000000000005</v>
      </c>
      <c r="S138" s="39">
        <v>0</v>
      </c>
      <c r="T138" s="39">
        <v>0</v>
      </c>
      <c r="U138" s="39">
        <f t="shared" si="55"/>
        <v>1250.1400000000001</v>
      </c>
    </row>
    <row r="139" spans="1:21" ht="51" customHeight="1">
      <c r="A139" s="129" t="s">
        <v>305</v>
      </c>
      <c r="B139" s="26" t="s">
        <v>304</v>
      </c>
      <c r="C139" s="129" t="s">
        <v>198</v>
      </c>
      <c r="D139" s="27"/>
      <c r="E139" s="55"/>
      <c r="F139" s="55">
        <f>20/10</f>
        <v>2</v>
      </c>
      <c r="G139" s="55">
        <v>3875.44</v>
      </c>
      <c r="H139" s="136">
        <f t="shared" si="50"/>
        <v>7.7508800000000004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  <c r="Q139" s="39">
        <f>G139*2</f>
        <v>7750.88</v>
      </c>
      <c r="R139" s="39">
        <v>0</v>
      </c>
      <c r="S139" s="39">
        <v>0</v>
      </c>
      <c r="T139" s="39">
        <v>0</v>
      </c>
      <c r="U139" s="39">
        <f t="shared" si="55"/>
        <v>7750.88</v>
      </c>
    </row>
    <row r="140" spans="1:21" ht="12.75" customHeight="1">
      <c r="A140" s="129" t="s">
        <v>134</v>
      </c>
      <c r="B140" s="26" t="s">
        <v>306</v>
      </c>
      <c r="C140" s="129" t="s">
        <v>191</v>
      </c>
      <c r="D140" s="27"/>
      <c r="E140" s="55"/>
      <c r="F140" s="55">
        <v>3</v>
      </c>
      <c r="G140" s="55">
        <v>1501</v>
      </c>
      <c r="H140" s="136">
        <f t="shared" si="50"/>
        <v>4.5030000000000001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0</v>
      </c>
      <c r="O140" s="39">
        <v>0</v>
      </c>
      <c r="P140" s="39">
        <v>0</v>
      </c>
      <c r="Q140" s="39">
        <f>G140*3</f>
        <v>4503</v>
      </c>
      <c r="R140" s="39">
        <v>0</v>
      </c>
      <c r="S140" s="39">
        <v>0</v>
      </c>
      <c r="T140" s="39">
        <v>0</v>
      </c>
      <c r="U140" s="39">
        <f t="shared" si="55"/>
        <v>4503</v>
      </c>
    </row>
    <row r="141" spans="1:21" ht="12.75" customHeight="1">
      <c r="A141" s="167" t="s">
        <v>286</v>
      </c>
      <c r="B141" s="168" t="s">
        <v>287</v>
      </c>
      <c r="C141" s="169" t="s">
        <v>63</v>
      </c>
      <c r="D141" s="170"/>
      <c r="E141" s="171"/>
      <c r="F141" s="171">
        <v>1</v>
      </c>
      <c r="G141" s="171">
        <v>81.73</v>
      </c>
      <c r="H141" s="172">
        <f>G141*F141/1000</f>
        <v>8.1729999999999997E-2</v>
      </c>
      <c r="I141" s="173">
        <v>0</v>
      </c>
      <c r="J141" s="173">
        <v>0</v>
      </c>
      <c r="K141" s="173">
        <v>0</v>
      </c>
      <c r="L141" s="173">
        <v>0</v>
      </c>
      <c r="M141" s="173">
        <v>0</v>
      </c>
      <c r="N141" s="173">
        <v>0</v>
      </c>
      <c r="O141" s="173">
        <v>0</v>
      </c>
      <c r="P141" s="173">
        <v>0</v>
      </c>
      <c r="Q141" s="173">
        <f>G141</f>
        <v>81.73</v>
      </c>
      <c r="R141" s="173">
        <v>0</v>
      </c>
      <c r="S141" s="173">
        <v>0</v>
      </c>
      <c r="T141" s="173">
        <v>0</v>
      </c>
      <c r="U141" s="173">
        <f>SUM(I141:T141)</f>
        <v>81.73</v>
      </c>
    </row>
    <row r="142" spans="1:21" ht="25.5" customHeight="1">
      <c r="A142" s="143" t="s">
        <v>230</v>
      </c>
      <c r="B142" s="144" t="s">
        <v>290</v>
      </c>
      <c r="C142" s="143" t="s">
        <v>289</v>
      </c>
      <c r="D142" s="27"/>
      <c r="E142" s="55"/>
      <c r="F142" s="55">
        <f>1/100</f>
        <v>0.01</v>
      </c>
      <c r="G142" s="55">
        <v>7033.13</v>
      </c>
      <c r="H142" s="136">
        <f t="shared" si="50"/>
        <v>7.0331299999999999E-2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f>G142*0.01</f>
        <v>70.331299999999999</v>
      </c>
      <c r="S142" s="39">
        <v>0</v>
      </c>
      <c r="T142" s="39">
        <v>0</v>
      </c>
      <c r="U142" s="39">
        <f t="shared" si="55"/>
        <v>70.331299999999999</v>
      </c>
    </row>
    <row r="143" spans="1:21" ht="25.5" customHeight="1">
      <c r="A143" s="143" t="s">
        <v>260</v>
      </c>
      <c r="B143" s="144" t="s">
        <v>298</v>
      </c>
      <c r="C143" s="143" t="s">
        <v>176</v>
      </c>
      <c r="D143" s="142"/>
      <c r="E143" s="55"/>
      <c r="F143" s="55">
        <v>1</v>
      </c>
      <c r="G143" s="55">
        <v>195.95</v>
      </c>
      <c r="H143" s="136">
        <f t="shared" si="50"/>
        <v>0.19594999999999999</v>
      </c>
      <c r="I143" s="39">
        <v>0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</v>
      </c>
      <c r="P143" s="39">
        <v>0</v>
      </c>
      <c r="Q143" s="39">
        <v>0</v>
      </c>
      <c r="R143" s="39">
        <v>0</v>
      </c>
      <c r="S143" s="39">
        <f>G143</f>
        <v>195.95</v>
      </c>
      <c r="T143" s="39">
        <v>0</v>
      </c>
      <c r="U143" s="39">
        <f t="shared" ref="U143:U146" si="67">SUM(I143:T143)</f>
        <v>195.95</v>
      </c>
    </row>
    <row r="144" spans="1:21" ht="25.5" customHeight="1">
      <c r="A144" s="129" t="s">
        <v>296</v>
      </c>
      <c r="B144" s="26" t="s">
        <v>297</v>
      </c>
      <c r="C144" s="129" t="s">
        <v>295</v>
      </c>
      <c r="D144" s="142"/>
      <c r="E144" s="55"/>
      <c r="F144" s="55">
        <f>1.5/100</f>
        <v>1.4999999999999999E-2</v>
      </c>
      <c r="G144" s="55">
        <v>16323.31</v>
      </c>
      <c r="H144" s="136">
        <f t="shared" si="50"/>
        <v>0.24484965</v>
      </c>
      <c r="I144" s="39">
        <v>0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</v>
      </c>
      <c r="P144" s="39">
        <v>0</v>
      </c>
      <c r="Q144" s="39">
        <v>0</v>
      </c>
      <c r="R144" s="39">
        <v>0</v>
      </c>
      <c r="S144" s="39">
        <f>G144*F144</f>
        <v>244.84965</v>
      </c>
      <c r="T144" s="39">
        <v>0</v>
      </c>
      <c r="U144" s="39">
        <f t="shared" si="67"/>
        <v>244.84965</v>
      </c>
    </row>
    <row r="145" spans="1:21" ht="12.75" customHeight="1">
      <c r="A145" s="140" t="s">
        <v>293</v>
      </c>
      <c r="B145" s="165" t="s">
        <v>294</v>
      </c>
      <c r="C145" s="166" t="s">
        <v>20</v>
      </c>
      <c r="D145" s="142"/>
      <c r="E145" s="55"/>
      <c r="F145" s="55">
        <f>0.265/10</f>
        <v>2.6500000000000003E-2</v>
      </c>
      <c r="G145" s="55">
        <v>3113.97</v>
      </c>
      <c r="H145" s="136">
        <f t="shared" si="50"/>
        <v>8.2520204999999999E-2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  <c r="O145" s="39">
        <v>0</v>
      </c>
      <c r="P145" s="39">
        <v>0</v>
      </c>
      <c r="Q145" s="39">
        <v>0</v>
      </c>
      <c r="R145" s="39">
        <v>0</v>
      </c>
      <c r="S145" s="39">
        <f>G145*F145</f>
        <v>82.520205000000004</v>
      </c>
      <c r="T145" s="39">
        <v>0</v>
      </c>
      <c r="U145" s="39">
        <f t="shared" si="67"/>
        <v>82.520205000000004</v>
      </c>
    </row>
    <row r="146" spans="1:21" ht="12.75" customHeight="1">
      <c r="A146" s="129" t="s">
        <v>300</v>
      </c>
      <c r="B146" s="26" t="s">
        <v>301</v>
      </c>
      <c r="C146" s="129" t="s">
        <v>299</v>
      </c>
      <c r="D146" s="142"/>
      <c r="E146" s="55"/>
      <c r="F146" s="55">
        <v>1</v>
      </c>
      <c r="G146" s="55">
        <v>610.33000000000004</v>
      </c>
      <c r="H146" s="136">
        <f t="shared" si="50"/>
        <v>0.61033000000000004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0</v>
      </c>
      <c r="S146" s="39">
        <v>0</v>
      </c>
      <c r="T146" s="39">
        <f>G146</f>
        <v>610.33000000000004</v>
      </c>
      <c r="U146" s="39">
        <f t="shared" si="67"/>
        <v>610.33000000000004</v>
      </c>
    </row>
    <row r="147" spans="1:21" s="20" customFormat="1">
      <c r="A147" s="100"/>
      <c r="B147" s="101" t="s">
        <v>103</v>
      </c>
      <c r="C147" s="100"/>
      <c r="D147" s="100"/>
      <c r="E147" s="95"/>
      <c r="F147" s="95"/>
      <c r="G147" s="95"/>
      <c r="H147" s="47">
        <f>SUM(H92:H146)</f>
        <v>132.37447595499998</v>
      </c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46">
        <f>SUM(U92:U146)</f>
        <v>134210.27595500002</v>
      </c>
    </row>
    <row r="148" spans="1:21">
      <c r="A148" s="98"/>
      <c r="B148" s="102"/>
      <c r="C148" s="103"/>
      <c r="D148" s="103"/>
      <c r="E148" s="55"/>
      <c r="F148" s="55"/>
      <c r="G148" s="55"/>
      <c r="H148" s="104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133"/>
    </row>
    <row r="149" spans="1:21" ht="12" customHeight="1">
      <c r="A149" s="154"/>
      <c r="B149" s="19" t="s">
        <v>104</v>
      </c>
      <c r="C149" s="69"/>
      <c r="D149" s="27"/>
      <c r="E149" s="55"/>
      <c r="F149" s="55"/>
      <c r="G149" s="55"/>
      <c r="H149" s="105">
        <f>H147/E150/12*1000</f>
        <v>2.1367540250229209</v>
      </c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133"/>
    </row>
    <row r="150" spans="1:21" s="20" customFormat="1">
      <c r="A150" s="86"/>
      <c r="B150" s="106" t="s">
        <v>105</v>
      </c>
      <c r="C150" s="107"/>
      <c r="D150" s="106"/>
      <c r="E150" s="159">
        <v>5162.6000000000004</v>
      </c>
      <c r="F150" s="108">
        <f>SUM(E150*12)</f>
        <v>61951.200000000004</v>
      </c>
      <c r="G150" s="109">
        <f>H89+H149</f>
        <v>154.54593766273507</v>
      </c>
      <c r="H150" s="110">
        <f>SUM(F150*G150/1000)</f>
        <v>9574.3062933316342</v>
      </c>
      <c r="I150" s="95">
        <f>SUM(I11:I149)</f>
        <v>96717.353890599989</v>
      </c>
      <c r="J150" s="95">
        <f>SUM(J11:J149)</f>
        <v>76854.21789059999</v>
      </c>
      <c r="K150" s="95">
        <f t="shared" ref="K150:R150" si="68">SUM(K11:K149)</f>
        <v>71090.294875599997</v>
      </c>
      <c r="L150" s="95">
        <f t="shared" si="68"/>
        <v>89283.515190599996</v>
      </c>
      <c r="M150" s="95">
        <f t="shared" si="68"/>
        <v>214087.72039812221</v>
      </c>
      <c r="N150" s="95">
        <f t="shared" si="68"/>
        <v>79757.491796822214</v>
      </c>
      <c r="O150" s="95">
        <f t="shared" si="68"/>
        <v>106430.73299682222</v>
      </c>
      <c r="P150" s="95">
        <f t="shared" si="68"/>
        <v>85541.578496822229</v>
      </c>
      <c r="Q150" s="95">
        <f t="shared" si="68"/>
        <v>88593.900932622215</v>
      </c>
      <c r="R150" s="95">
        <f t="shared" si="68"/>
        <v>71894.111611822227</v>
      </c>
      <c r="S150" s="95">
        <f>SUM(S11:S149)</f>
        <v>81637.237730599983</v>
      </c>
      <c r="T150" s="95">
        <f>SUM(T11:T149)</f>
        <v>75782.079390599989</v>
      </c>
      <c r="U150" s="46">
        <f>U86+U147</f>
        <v>1126828.7752016336</v>
      </c>
    </row>
    <row r="151" spans="1:21">
      <c r="A151" s="72"/>
      <c r="B151" s="72"/>
      <c r="C151" s="72"/>
      <c r="D151" s="72"/>
      <c r="E151" s="111"/>
      <c r="F151" s="111"/>
      <c r="G151" s="111"/>
      <c r="H151" s="111"/>
      <c r="I151" s="111"/>
      <c r="J151" s="111"/>
      <c r="K151" s="111"/>
      <c r="L151" s="111"/>
      <c r="M151" s="72"/>
      <c r="N151" s="111"/>
      <c r="O151" s="72"/>
      <c r="P151" s="72"/>
      <c r="Q151" s="72"/>
      <c r="R151" s="72"/>
      <c r="S151" s="72"/>
      <c r="T151" s="72"/>
      <c r="U151" s="72"/>
    </row>
    <row r="152" spans="1:21">
      <c r="A152" s="72"/>
      <c r="B152" s="72"/>
      <c r="C152" s="72"/>
      <c r="D152" s="72"/>
      <c r="E152" s="111"/>
      <c r="F152" s="111"/>
      <c r="G152" s="111"/>
      <c r="H152" s="111"/>
      <c r="I152" s="111"/>
      <c r="J152" s="112"/>
      <c r="K152" s="113"/>
      <c r="L152" s="112"/>
      <c r="M152" s="111"/>
      <c r="N152" s="72"/>
      <c r="O152" s="72"/>
      <c r="P152" s="72"/>
      <c r="Q152" s="72"/>
      <c r="R152" s="72"/>
      <c r="S152" s="72"/>
      <c r="T152" s="72"/>
      <c r="U152" s="72"/>
    </row>
    <row r="153" spans="1:21" ht="45">
      <c r="A153" s="72"/>
      <c r="B153" s="114" t="s">
        <v>143</v>
      </c>
      <c r="C153" s="174">
        <v>75985.72</v>
      </c>
      <c r="D153" s="175"/>
      <c r="E153" s="175"/>
      <c r="F153" s="176"/>
      <c r="G153" s="111"/>
      <c r="H153" s="111"/>
      <c r="I153" s="111"/>
      <c r="J153" s="112"/>
      <c r="K153" s="113"/>
      <c r="L153" s="112"/>
      <c r="M153" s="111"/>
      <c r="N153" s="72"/>
      <c r="O153" s="72"/>
      <c r="P153" s="72"/>
      <c r="Q153" s="72"/>
      <c r="R153" s="72"/>
      <c r="S153" s="72"/>
      <c r="T153" s="72"/>
      <c r="U153" s="72"/>
    </row>
    <row r="154" spans="1:21" ht="30">
      <c r="A154" s="72"/>
      <c r="B154" s="23" t="s">
        <v>154</v>
      </c>
      <c r="C154" s="178">
        <f>111418.69*12</f>
        <v>1337024.28</v>
      </c>
      <c r="D154" s="179"/>
      <c r="E154" s="179"/>
      <c r="F154" s="180"/>
      <c r="G154" s="111"/>
      <c r="H154" s="111"/>
      <c r="I154" s="111"/>
      <c r="J154" s="112"/>
      <c r="K154" s="113"/>
      <c r="L154" s="112"/>
      <c r="M154" s="111"/>
      <c r="N154" s="72"/>
      <c r="O154" s="72"/>
      <c r="P154" s="72"/>
      <c r="Q154" s="72"/>
      <c r="R154" s="72"/>
      <c r="S154" s="72"/>
      <c r="T154" s="72"/>
      <c r="U154" s="72"/>
    </row>
    <row r="155" spans="1:21" ht="30">
      <c r="A155" s="72"/>
      <c r="B155" s="23" t="s">
        <v>155</v>
      </c>
      <c r="C155" s="178">
        <f>SUM(U150-U147)</f>
        <v>992618.49924663361</v>
      </c>
      <c r="D155" s="179"/>
      <c r="E155" s="179"/>
      <c r="F155" s="180"/>
      <c r="G155" s="111"/>
      <c r="H155" s="111"/>
      <c r="I155" s="111"/>
      <c r="J155" s="112"/>
      <c r="K155" s="113"/>
      <c r="L155" s="112"/>
      <c r="M155" s="111"/>
      <c r="N155" s="72"/>
      <c r="O155" s="72"/>
      <c r="P155" s="72"/>
      <c r="Q155" s="72"/>
      <c r="R155" s="72"/>
      <c r="S155" s="72"/>
      <c r="T155" s="72"/>
      <c r="U155" s="72"/>
    </row>
    <row r="156" spans="1:21" ht="30">
      <c r="A156" s="72"/>
      <c r="B156" s="23" t="s">
        <v>156</v>
      </c>
      <c r="C156" s="178">
        <f>SUM(U147)</f>
        <v>134210.27595500002</v>
      </c>
      <c r="D156" s="179"/>
      <c r="E156" s="179"/>
      <c r="F156" s="180"/>
      <c r="G156" s="111"/>
      <c r="H156" s="111"/>
      <c r="I156" s="111"/>
      <c r="J156" s="112"/>
      <c r="K156" s="113"/>
      <c r="L156" s="112"/>
      <c r="M156" s="111"/>
      <c r="N156" s="72"/>
      <c r="O156" s="72"/>
      <c r="P156" s="72"/>
      <c r="Q156" s="72"/>
      <c r="R156" s="72"/>
      <c r="S156" s="72"/>
      <c r="T156" s="72"/>
      <c r="U156" s="72"/>
    </row>
    <row r="157" spans="1:21" ht="18" customHeight="1">
      <c r="A157" s="72"/>
      <c r="B157" s="128" t="s">
        <v>157</v>
      </c>
      <c r="C157" s="174">
        <f>94583.65+93604.75+100075.39+94163.1+97986.44+110958.41+104775.12+107205.57+106635.47+101979.12+89751.55+100722.91</f>
        <v>1202441.4799999997</v>
      </c>
      <c r="D157" s="175"/>
      <c r="E157" s="175"/>
      <c r="F157" s="176"/>
      <c r="G157" s="72"/>
      <c r="I157" s="115" t="s">
        <v>121</v>
      </c>
      <c r="J157" s="116"/>
      <c r="K157" s="117"/>
      <c r="L157" s="118"/>
      <c r="M157" s="115"/>
      <c r="N157" s="115"/>
      <c r="O157" s="72"/>
      <c r="P157" s="72"/>
      <c r="Q157" s="72"/>
      <c r="R157" s="72"/>
      <c r="S157" s="72"/>
      <c r="T157" s="72"/>
      <c r="U157" s="72"/>
    </row>
    <row r="158" spans="1:21" ht="78.75">
      <c r="A158" s="72"/>
      <c r="B158" s="24" t="s">
        <v>302</v>
      </c>
      <c r="C158" s="181">
        <v>568373.89</v>
      </c>
      <c r="D158" s="182"/>
      <c r="E158" s="182"/>
      <c r="F158" s="183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</row>
    <row r="159" spans="1:21" ht="45">
      <c r="A159" s="72"/>
      <c r="B159" s="119" t="s">
        <v>303</v>
      </c>
      <c r="C159" s="177">
        <f>SUM(U150-C154)+C153</f>
        <v>-134209.78479836645</v>
      </c>
      <c r="D159" s="175"/>
      <c r="E159" s="175"/>
      <c r="F159" s="176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</row>
    <row r="161" spans="7:13">
      <c r="J161" s="4"/>
      <c r="K161" s="5"/>
      <c r="L161" s="5"/>
      <c r="M161" s="3"/>
    </row>
    <row r="162" spans="7:13">
      <c r="G162" s="6"/>
      <c r="H162" s="6"/>
    </row>
    <row r="163" spans="7:13">
      <c r="G163" s="7"/>
    </row>
  </sheetData>
  <mergeCells count="12">
    <mergeCell ref="W87:Z87"/>
    <mergeCell ref="B3:L3"/>
    <mergeCell ref="B4:L4"/>
    <mergeCell ref="B5:L5"/>
    <mergeCell ref="B6:L6"/>
    <mergeCell ref="C153:F153"/>
    <mergeCell ref="C159:F159"/>
    <mergeCell ref="C154:F154"/>
    <mergeCell ref="C155:F155"/>
    <mergeCell ref="C156:F156"/>
    <mergeCell ref="C157:F157"/>
    <mergeCell ref="C158:F158"/>
  </mergeCells>
  <pageMargins left="0.31496062992125984" right="0.31496062992125984" top="0.15748031496062992" bottom="0.19685039370078741" header="0.15748031496062992" footer="0.15748031496062992"/>
  <pageSetup paperSize="9" scale="5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Нефт.,2</vt:lpstr>
      <vt:lpstr>'Нефт.,2'!Область_печати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2018-06-29T07:07:44Z</cp:lastPrinted>
  <dcterms:created xsi:type="dcterms:W3CDTF">2014-02-05T12:20:20Z</dcterms:created>
  <dcterms:modified xsi:type="dcterms:W3CDTF">2018-06-29T07:08:53Z</dcterms:modified>
</cp:coreProperties>
</file>