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,4" sheetId="1" r:id="rId1"/>
  </sheets>
  <definedNames>
    <definedName name="_xlnm.Print_Area" localSheetId="0">'Нефт.,4'!$A$1:$U$176</definedName>
  </definedNames>
  <calcPr calcId="124519"/>
</workbook>
</file>

<file path=xl/calcChain.xml><?xml version="1.0" encoding="utf-8"?>
<calcChain xmlns="http://schemas.openxmlformats.org/spreadsheetml/2006/main">
  <c r="L47" i="1"/>
  <c r="K47"/>
  <c r="F47"/>
  <c r="H157"/>
  <c r="U157"/>
  <c r="U156"/>
  <c r="S156"/>
  <c r="H156"/>
  <c r="F156"/>
  <c r="Q115"/>
  <c r="Q139"/>
  <c r="Q123"/>
  <c r="Q112"/>
  <c r="Q114"/>
  <c r="Q121"/>
  <c r="Q111"/>
  <c r="S155"/>
  <c r="N134"/>
  <c r="C174"/>
  <c r="C171"/>
  <c r="R153"/>
  <c r="G153"/>
  <c r="H153"/>
  <c r="U153"/>
  <c r="F152" l="1"/>
  <c r="H152" s="1"/>
  <c r="R152"/>
  <c r="U152" s="1"/>
  <c r="U155" l="1"/>
  <c r="H155"/>
  <c r="T120"/>
  <c r="S154"/>
  <c r="U154" s="1"/>
  <c r="F154"/>
  <c r="H154" s="1"/>
  <c r="R131"/>
  <c r="F131"/>
  <c r="T117"/>
  <c r="S117"/>
  <c r="R117"/>
  <c r="Q117"/>
  <c r="P117"/>
  <c r="F110"/>
  <c r="T110"/>
  <c r="T148"/>
  <c r="S110"/>
  <c r="S151"/>
  <c r="S77"/>
  <c r="S132"/>
  <c r="R151"/>
  <c r="U151" s="1"/>
  <c r="H151"/>
  <c r="R110"/>
  <c r="R77"/>
  <c r="U150"/>
  <c r="R150"/>
  <c r="H150"/>
  <c r="R107" l="1"/>
  <c r="R132"/>
  <c r="I110"/>
  <c r="U67"/>
  <c r="U68"/>
  <c r="U69"/>
  <c r="U70"/>
  <c r="U71"/>
  <c r="U72"/>
  <c r="U73"/>
  <c r="U78"/>
  <c r="U86"/>
  <c r="U87"/>
  <c r="U88"/>
  <c r="U89"/>
  <c r="U90"/>
  <c r="U91"/>
  <c r="U93"/>
  <c r="U32"/>
  <c r="U33"/>
  <c r="P110"/>
  <c r="I114"/>
  <c r="U114" s="1"/>
  <c r="H114"/>
  <c r="N77"/>
  <c r="Q77"/>
  <c r="Q110"/>
  <c r="Q107"/>
  <c r="Q118"/>
  <c r="Q149"/>
  <c r="U149" s="1"/>
  <c r="Q148"/>
  <c r="U148" s="1"/>
  <c r="Q147"/>
  <c r="U147" s="1"/>
  <c r="H147"/>
  <c r="Q127"/>
  <c r="P146" l="1"/>
  <c r="U146" s="1"/>
  <c r="F146"/>
  <c r="H146" s="1"/>
  <c r="P119"/>
  <c r="P120"/>
  <c r="O145"/>
  <c r="U145" s="1"/>
  <c r="F144"/>
  <c r="O144" s="1"/>
  <c r="U144" s="1"/>
  <c r="O118"/>
  <c r="O131"/>
  <c r="O143"/>
  <c r="U143" s="1"/>
  <c r="H143"/>
  <c r="O120"/>
  <c r="N117"/>
  <c r="O117"/>
  <c r="N126"/>
  <c r="O77"/>
  <c r="O142"/>
  <c r="U142" s="1"/>
  <c r="H142"/>
  <c r="O141"/>
  <c r="U141" s="1"/>
  <c r="H141"/>
  <c r="O140"/>
  <c r="U140" s="1"/>
  <c r="H140"/>
  <c r="H144" l="1"/>
  <c r="O139"/>
  <c r="U139" s="1"/>
  <c r="H139"/>
  <c r="O129"/>
  <c r="O138"/>
  <c r="U138" s="1"/>
  <c r="H138"/>
  <c r="O112"/>
  <c r="O121"/>
  <c r="O128"/>
  <c r="O107" l="1"/>
  <c r="N127"/>
  <c r="N118"/>
  <c r="N124"/>
  <c r="N107"/>
  <c r="N132"/>
  <c r="R60"/>
  <c r="N60"/>
  <c r="I60"/>
  <c r="M136"/>
  <c r="U136" s="1"/>
  <c r="F136"/>
  <c r="H136" s="1"/>
  <c r="U60" l="1"/>
  <c r="F135"/>
  <c r="M135" s="1"/>
  <c r="U135" s="1"/>
  <c r="M117"/>
  <c r="L117"/>
  <c r="K117"/>
  <c r="K131"/>
  <c r="U131" s="1"/>
  <c r="M127"/>
  <c r="M77"/>
  <c r="M110"/>
  <c r="M134"/>
  <c r="U134" s="1"/>
  <c r="H134"/>
  <c r="M133"/>
  <c r="U133" s="1"/>
  <c r="H133"/>
  <c r="L132"/>
  <c r="U132" s="1"/>
  <c r="M132"/>
  <c r="L124"/>
  <c r="L110"/>
  <c r="K110"/>
  <c r="K107"/>
  <c r="K108"/>
  <c r="K130"/>
  <c r="U130" s="1"/>
  <c r="H130"/>
  <c r="K129"/>
  <c r="U129" s="1"/>
  <c r="H129"/>
  <c r="K112"/>
  <c r="K123"/>
  <c r="K121"/>
  <c r="K113"/>
  <c r="K128"/>
  <c r="U128" s="1"/>
  <c r="H128"/>
  <c r="H135" l="1"/>
  <c r="K116"/>
  <c r="K111"/>
  <c r="K77" l="1"/>
  <c r="K127"/>
  <c r="U127" s="1"/>
  <c r="J117"/>
  <c r="J126"/>
  <c r="U126" s="1"/>
  <c r="H126"/>
  <c r="J125" l="1"/>
  <c r="U125" s="1"/>
  <c r="H125"/>
  <c r="J110"/>
  <c r="U110" s="1"/>
  <c r="J124"/>
  <c r="U124" s="1"/>
  <c r="H124"/>
  <c r="J123" l="1"/>
  <c r="U123" s="1"/>
  <c r="H123"/>
  <c r="J122"/>
  <c r="U122" s="1"/>
  <c r="H122"/>
  <c r="J121"/>
  <c r="U121" s="1"/>
  <c r="H121"/>
  <c r="J116" l="1"/>
  <c r="J113"/>
  <c r="J111"/>
  <c r="I120" l="1"/>
  <c r="U120" s="1"/>
  <c r="I119"/>
  <c r="U119" s="1"/>
  <c r="I118"/>
  <c r="U118" s="1"/>
  <c r="I117"/>
  <c r="U117" s="1"/>
  <c r="I77"/>
  <c r="U77" s="1"/>
  <c r="I116"/>
  <c r="U116" s="1"/>
  <c r="H116"/>
  <c r="I115"/>
  <c r="U115" s="1"/>
  <c r="I113"/>
  <c r="U113" s="1"/>
  <c r="I112"/>
  <c r="U112" s="1"/>
  <c r="H113"/>
  <c r="I111"/>
  <c r="U111" s="1"/>
  <c r="H111"/>
  <c r="I109"/>
  <c r="U109" s="1"/>
  <c r="I108"/>
  <c r="U108" s="1"/>
  <c r="H108"/>
  <c r="I107"/>
  <c r="U107" s="1"/>
  <c r="H148"/>
  <c r="H110"/>
  <c r="G137"/>
  <c r="H120"/>
  <c r="H115"/>
  <c r="H112"/>
  <c r="H137" l="1"/>
  <c r="N137"/>
  <c r="H67"/>
  <c r="H69"/>
  <c r="H70"/>
  <c r="H71"/>
  <c r="H41"/>
  <c r="F26"/>
  <c r="N26" s="1"/>
  <c r="U137" l="1"/>
  <c r="P26"/>
  <c r="H26"/>
  <c r="Q26"/>
  <c r="O26"/>
  <c r="M26"/>
  <c r="R26"/>
  <c r="T38"/>
  <c r="T48"/>
  <c r="T37"/>
  <c r="S37"/>
  <c r="S38"/>
  <c r="T29"/>
  <c r="T30"/>
  <c r="T31"/>
  <c r="U26" l="1"/>
  <c r="Q84"/>
  <c r="U84" s="1"/>
  <c r="R59"/>
  <c r="S48"/>
  <c r="L37"/>
  <c r="Q29"/>
  <c r="R29"/>
  <c r="S29"/>
  <c r="Q30"/>
  <c r="R30"/>
  <c r="S30"/>
  <c r="Q31"/>
  <c r="R31"/>
  <c r="S31"/>
  <c r="Q24"/>
  <c r="R24"/>
  <c r="P24" l="1"/>
  <c r="P29"/>
  <c r="P30"/>
  <c r="P31"/>
  <c r="O24" l="1"/>
  <c r="O29"/>
  <c r="O30"/>
  <c r="O31"/>
  <c r="N24"/>
  <c r="N29"/>
  <c r="N30"/>
  <c r="N31"/>
  <c r="K59" l="1"/>
  <c r="U59" s="1"/>
  <c r="M24"/>
  <c r="U24" s="1"/>
  <c r="M29"/>
  <c r="U29" s="1"/>
  <c r="M30"/>
  <c r="U30" s="1"/>
  <c r="M31"/>
  <c r="U31" s="1"/>
  <c r="H109" l="1"/>
  <c r="H107"/>
  <c r="H149" l="1"/>
  <c r="L38" l="1"/>
  <c r="L48"/>
  <c r="L49"/>
  <c r="K37"/>
  <c r="H131" l="1"/>
  <c r="H118"/>
  <c r="K48" l="1"/>
  <c r="K49"/>
  <c r="K38" l="1"/>
  <c r="U38" s="1"/>
  <c r="J37"/>
  <c r="H145"/>
  <c r="H127" l="1"/>
  <c r="H132" l="1"/>
  <c r="M95" l="1"/>
  <c r="U95" s="1"/>
  <c r="H117" l="1"/>
  <c r="F27" l="1"/>
  <c r="H27" s="1"/>
  <c r="H95"/>
  <c r="J48"/>
  <c r="F75"/>
  <c r="H75" s="1"/>
  <c r="I48"/>
  <c r="U48" s="1"/>
  <c r="I41"/>
  <c r="U41" s="1"/>
  <c r="I37"/>
  <c r="U37" s="1"/>
  <c r="F66"/>
  <c r="F60"/>
  <c r="F46"/>
  <c r="T66" l="1"/>
  <c r="S66"/>
  <c r="L66"/>
  <c r="R27"/>
  <c r="Q27"/>
  <c r="P27"/>
  <c r="T46"/>
  <c r="S46"/>
  <c r="T75"/>
  <c r="S75"/>
  <c r="Q75"/>
  <c r="R75"/>
  <c r="P75"/>
  <c r="O75"/>
  <c r="N75"/>
  <c r="M75"/>
  <c r="N27"/>
  <c r="O27"/>
  <c r="L75"/>
  <c r="M27"/>
  <c r="U27" s="1"/>
  <c r="I46"/>
  <c r="L46"/>
  <c r="K46"/>
  <c r="H66"/>
  <c r="K66"/>
  <c r="J66"/>
  <c r="I75"/>
  <c r="K75"/>
  <c r="J75"/>
  <c r="J46"/>
  <c r="I66"/>
  <c r="U66" l="1"/>
  <c r="U75"/>
  <c r="U46"/>
  <c r="H119"/>
  <c r="H91"/>
  <c r="C173" l="1"/>
  <c r="H159"/>
  <c r="H164"/>
  <c r="H163"/>
  <c r="F160"/>
  <c r="E99"/>
  <c r="H103" s="1"/>
  <c r="F97"/>
  <c r="F96"/>
  <c r="H93"/>
  <c r="H90"/>
  <c r="F89"/>
  <c r="H89" s="1"/>
  <c r="H88"/>
  <c r="H87"/>
  <c r="F84"/>
  <c r="F83"/>
  <c r="M83" s="1"/>
  <c r="U83" s="1"/>
  <c r="F82"/>
  <c r="M82" s="1"/>
  <c r="U82" s="1"/>
  <c r="F81"/>
  <c r="M81" s="1"/>
  <c r="U81" s="1"/>
  <c r="F80"/>
  <c r="M80" s="1"/>
  <c r="U80" s="1"/>
  <c r="F79"/>
  <c r="M79" s="1"/>
  <c r="U79" s="1"/>
  <c r="H78"/>
  <c r="H77"/>
  <c r="H73"/>
  <c r="H72"/>
  <c r="F68"/>
  <c r="H68" s="1"/>
  <c r="H65"/>
  <c r="F64"/>
  <c r="H64" s="1"/>
  <c r="H61"/>
  <c r="H60"/>
  <c r="H59"/>
  <c r="F58"/>
  <c r="F57"/>
  <c r="F56"/>
  <c r="F55"/>
  <c r="F54"/>
  <c r="F53"/>
  <c r="F52"/>
  <c r="H49"/>
  <c r="H48"/>
  <c r="H46"/>
  <c r="F45"/>
  <c r="F44"/>
  <c r="F43"/>
  <c r="F42"/>
  <c r="F40"/>
  <c r="H40" s="1"/>
  <c r="F39"/>
  <c r="H38"/>
  <c r="H37"/>
  <c r="F34"/>
  <c r="H33"/>
  <c r="H32"/>
  <c r="H31"/>
  <c r="H30"/>
  <c r="H29"/>
  <c r="F28"/>
  <c r="F25"/>
  <c r="M25" s="1"/>
  <c r="U25" s="1"/>
  <c r="H24"/>
  <c r="F23"/>
  <c r="F22"/>
  <c r="F19"/>
  <c r="M19" s="1"/>
  <c r="U19" s="1"/>
  <c r="F18"/>
  <c r="M18" s="1"/>
  <c r="U18" s="1"/>
  <c r="F17"/>
  <c r="M17" s="1"/>
  <c r="U17" s="1"/>
  <c r="F16"/>
  <c r="F15"/>
  <c r="F14"/>
  <c r="M14" s="1"/>
  <c r="U14" s="1"/>
  <c r="E13"/>
  <c r="F13" s="1"/>
  <c r="F12"/>
  <c r="F11"/>
  <c r="S11" l="1"/>
  <c r="T11"/>
  <c r="Q11"/>
  <c r="R11"/>
  <c r="P11"/>
  <c r="O11"/>
  <c r="T12"/>
  <c r="R12"/>
  <c r="Q12"/>
  <c r="S12"/>
  <c r="P12"/>
  <c r="T16"/>
  <c r="Q16"/>
  <c r="S16"/>
  <c r="R16"/>
  <c r="P16"/>
  <c r="Q22"/>
  <c r="R22"/>
  <c r="P22"/>
  <c r="O22"/>
  <c r="T39"/>
  <c r="S39"/>
  <c r="T42"/>
  <c r="S42"/>
  <c r="T44"/>
  <c r="S44"/>
  <c r="M52"/>
  <c r="Q52"/>
  <c r="M54"/>
  <c r="Q54"/>
  <c r="M56"/>
  <c r="T56"/>
  <c r="Q56"/>
  <c r="L58"/>
  <c r="U58" s="1"/>
  <c r="R58"/>
  <c r="H97"/>
  <c r="T97"/>
  <c r="T13"/>
  <c r="Q13"/>
  <c r="S13"/>
  <c r="R13"/>
  <c r="P13"/>
  <c r="T15"/>
  <c r="R15"/>
  <c r="Q15"/>
  <c r="S15"/>
  <c r="P15"/>
  <c r="R23"/>
  <c r="Q23"/>
  <c r="P23"/>
  <c r="S28"/>
  <c r="T28"/>
  <c r="Q28"/>
  <c r="R28"/>
  <c r="P28"/>
  <c r="L28"/>
  <c r="O28"/>
  <c r="M28"/>
  <c r="N28"/>
  <c r="T34"/>
  <c r="Q34"/>
  <c r="S34"/>
  <c r="R34"/>
  <c r="P34"/>
  <c r="T40"/>
  <c r="S40"/>
  <c r="T43"/>
  <c r="S43"/>
  <c r="T45"/>
  <c r="S45"/>
  <c r="M53"/>
  <c r="Q53"/>
  <c r="M55"/>
  <c r="Q55"/>
  <c r="R57"/>
  <c r="L57"/>
  <c r="U57" s="1"/>
  <c r="T96"/>
  <c r="S96"/>
  <c r="Q96"/>
  <c r="R96"/>
  <c r="P96"/>
  <c r="O96"/>
  <c r="N11"/>
  <c r="M11"/>
  <c r="M15"/>
  <c r="O15"/>
  <c r="N15"/>
  <c r="M12"/>
  <c r="O12"/>
  <c r="N12"/>
  <c r="M16"/>
  <c r="N16"/>
  <c r="O16"/>
  <c r="N22"/>
  <c r="M22"/>
  <c r="M13"/>
  <c r="N13"/>
  <c r="O13"/>
  <c r="M23"/>
  <c r="N23"/>
  <c r="O23"/>
  <c r="M34"/>
  <c r="O34"/>
  <c r="N34"/>
  <c r="N96"/>
  <c r="M96"/>
  <c r="L11"/>
  <c r="L96"/>
  <c r="L13"/>
  <c r="K13"/>
  <c r="L12"/>
  <c r="K12"/>
  <c r="L16"/>
  <c r="K16"/>
  <c r="L39"/>
  <c r="K39"/>
  <c r="L42"/>
  <c r="J42"/>
  <c r="K42"/>
  <c r="H44"/>
  <c r="L44"/>
  <c r="K44"/>
  <c r="K11"/>
  <c r="J11"/>
  <c r="L15"/>
  <c r="K15"/>
  <c r="J15"/>
  <c r="K28"/>
  <c r="J28"/>
  <c r="L34"/>
  <c r="K34"/>
  <c r="J34"/>
  <c r="L40"/>
  <c r="U40" s="1"/>
  <c r="H43"/>
  <c r="L43"/>
  <c r="K43"/>
  <c r="H45"/>
  <c r="L45"/>
  <c r="K45"/>
  <c r="K96"/>
  <c r="J96"/>
  <c r="H17"/>
  <c r="H19"/>
  <c r="H23"/>
  <c r="H25"/>
  <c r="H80"/>
  <c r="H82"/>
  <c r="H84"/>
  <c r="H14"/>
  <c r="H18"/>
  <c r="H22"/>
  <c r="H79"/>
  <c r="H81"/>
  <c r="H83"/>
  <c r="H53"/>
  <c r="H55"/>
  <c r="J39"/>
  <c r="H52"/>
  <c r="H54"/>
  <c r="I11"/>
  <c r="U11" s="1"/>
  <c r="I13"/>
  <c r="J13"/>
  <c r="I15"/>
  <c r="U15" s="1"/>
  <c r="I28"/>
  <c r="U28" s="1"/>
  <c r="I12"/>
  <c r="J12"/>
  <c r="I16"/>
  <c r="J16"/>
  <c r="I56"/>
  <c r="J56"/>
  <c r="I96"/>
  <c r="U96" s="1"/>
  <c r="H34"/>
  <c r="I34"/>
  <c r="U34" s="1"/>
  <c r="H47"/>
  <c r="U47"/>
  <c r="H57"/>
  <c r="H39"/>
  <c r="I39"/>
  <c r="U39" s="1"/>
  <c r="H42"/>
  <c r="I42"/>
  <c r="U42" s="1"/>
  <c r="H58"/>
  <c r="H96"/>
  <c r="H28"/>
  <c r="H56"/>
  <c r="H11"/>
  <c r="H12"/>
  <c r="H16"/>
  <c r="H13"/>
  <c r="H15"/>
  <c r="F99"/>
  <c r="U45" l="1"/>
  <c r="U22"/>
  <c r="U23"/>
  <c r="U55"/>
  <c r="U53"/>
  <c r="U54"/>
  <c r="U62" s="1"/>
  <c r="U52"/>
  <c r="U56"/>
  <c r="U16"/>
  <c r="U12"/>
  <c r="U13"/>
  <c r="U43"/>
  <c r="U44"/>
  <c r="U50"/>
  <c r="H94"/>
  <c r="U35"/>
  <c r="H98"/>
  <c r="H62"/>
  <c r="H50"/>
  <c r="T99"/>
  <c r="T160" s="1"/>
  <c r="S99"/>
  <c r="S160" s="1"/>
  <c r="Q99"/>
  <c r="Q160" s="1"/>
  <c r="R99"/>
  <c r="P99"/>
  <c r="P160" s="1"/>
  <c r="O99"/>
  <c r="N99"/>
  <c r="N160" s="1"/>
  <c r="M99"/>
  <c r="M160" s="1"/>
  <c r="H35"/>
  <c r="L99"/>
  <c r="K99"/>
  <c r="K160" s="1"/>
  <c r="J99"/>
  <c r="U94"/>
  <c r="O160"/>
  <c r="R160"/>
  <c r="H20"/>
  <c r="L160"/>
  <c r="I99"/>
  <c r="U98"/>
  <c r="J160"/>
  <c r="H99"/>
  <c r="H100" s="1"/>
  <c r="U99" l="1"/>
  <c r="H101"/>
  <c r="H104" s="1"/>
  <c r="G160" s="1"/>
  <c r="H160" s="1"/>
  <c r="I160"/>
  <c r="U20"/>
  <c r="U100"/>
  <c r="U101" l="1"/>
  <c r="U160" s="1"/>
  <c r="C176" s="1"/>
  <c r="C172" l="1"/>
</calcChain>
</file>

<file path=xl/sharedStrings.xml><?xml version="1.0" encoding="utf-8"?>
<sst xmlns="http://schemas.openxmlformats.org/spreadsheetml/2006/main" count="484" uniqueCount="335">
  <si>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</si>
  <si>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</si>
  <si>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</si>
  <si>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</si>
  <si>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</si>
  <si>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</si>
  <si>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</si>
  <si>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</si>
  <si>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</si>
  <si>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</si>
  <si>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</si>
  <si>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</si>
  <si>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</si>
  <si>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</si>
  <si>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</si>
  <si>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</si>
  <si>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</si>
  <si>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</si>
  <si>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</si>
  <si>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</si>
  <si>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</si>
  <si>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</si>
  <si>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</si>
  <si>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</si>
  <si>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</si>
  <si>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</si>
  <si>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</si>
  <si>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</si>
  <si>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</si>
  <si>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</si>
  <si>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</si>
  <si>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</si>
  <si>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отмостки</t>
  </si>
  <si>
    <t>4 раза в месяц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</si>
  <si>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</si>
  <si>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</si>
  <si>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</si>
  <si>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</si>
  <si>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</si>
  <si>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</si>
  <si>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</si>
  <si>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</si>
  <si>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ТЭР 53-022</t>
  </si>
  <si>
    <t>Выкашивание газонов</t>
  </si>
  <si>
    <t>1 раза в год</t>
  </si>
  <si>
    <t>ТЭР 53-024</t>
  </si>
  <si>
    <t>Уборка с газонов травы</t>
  </si>
  <si>
    <t>ТЭР 24-001</t>
  </si>
  <si>
    <t>Валка деревьев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</si>
  <si>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</si>
  <si>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</si>
  <si>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</si>
  <si>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</si>
  <si>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</si>
  <si>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</si>
  <si>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</si>
  <si>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54-035</t>
  </si>
  <si>
    <t>Перекидывания снега и скола</t>
  </si>
  <si>
    <t>ТЭР 54-013</t>
  </si>
  <si>
    <t xml:space="preserve">Сдвигание снега в дни снегопада </t>
  </si>
  <si>
    <t>1000 м2</t>
  </si>
  <si>
    <t>50 раз за сезон</t>
  </si>
  <si>
    <t>ТЭР 54-043</t>
  </si>
  <si>
    <t>Зимняя уборка газонов от мусора</t>
  </si>
  <si>
    <t>1 раз внеделю</t>
  </si>
  <si>
    <t>155 раз за сезон</t>
  </si>
  <si>
    <t>Вывоз снега</t>
  </si>
  <si>
    <t>Погрузка снега универсальным погрузчиком</t>
  </si>
  <si>
    <t>ТЭР 54-022</t>
  </si>
  <si>
    <t>Очистка территории 1-го класса с усовершенствованным покрытием под скребок: тротуар,</t>
  </si>
  <si>
    <t xml:space="preserve">2раза в месяц    12 раз за сезон      </t>
  </si>
  <si>
    <t>Очистка отмостки от снега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</si>
  <si>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</si>
  <si>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</si>
  <si>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</si>
  <si>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</si>
  <si>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</si>
  <si>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</si>
  <si>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</si>
  <si>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</si>
  <si>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</si>
  <si>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</si>
  <si>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</si>
  <si>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</si>
  <si>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</si>
  <si>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</si>
  <si>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</si>
  <si>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 xml:space="preserve">Электротехнические измерения </t>
  </si>
  <si>
    <t>1 раза в 3 года</t>
  </si>
  <si>
    <t>Кровля</t>
  </si>
  <si>
    <t>ТЭР 17-071</t>
  </si>
  <si>
    <t>Очистка кровли от мусора</t>
  </si>
  <si>
    <t xml:space="preserve">пр.ТЭР 54-041 </t>
  </si>
  <si>
    <t xml:space="preserve"> -от слежавшегося снега со сбрасыванием сосулек</t>
  </si>
  <si>
    <t>Осмотр и очистка оголовков дымоходов и вентканалов от наледи и снега (по необходимости) зимой</t>
  </si>
  <si>
    <t>Чердак, подвал, технический этаж</t>
  </si>
  <si>
    <t>ТЭР 51-034</t>
  </si>
  <si>
    <t xml:space="preserve"> - очистка от мусора</t>
  </si>
  <si>
    <t xml:space="preserve"> - дератизация</t>
  </si>
  <si>
    <t>м2</t>
  </si>
  <si>
    <t>12 раз в год</t>
  </si>
  <si>
    <t>ТЭР 11-014</t>
  </si>
  <si>
    <t xml:space="preserve"> - закрытие проемов металлическими листами</t>
  </si>
  <si>
    <t>ТЭР 15-028</t>
  </si>
  <si>
    <t xml:space="preserve"> - утепление входных дверей</t>
  </si>
  <si>
    <t>10шт</t>
  </si>
  <si>
    <t>ТЭР 31-057</t>
  </si>
  <si>
    <t xml:space="preserve"> - утепление трубопроводов в тамбуре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</si>
  <si>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</si>
  <si>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</si>
  <si>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</si>
  <si>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</si>
  <si>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</si>
  <si>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</si>
  <si>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</si>
  <si>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</si>
  <si>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</si>
  <si>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</si>
  <si>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</si>
  <si>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</si>
  <si>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</si>
  <si>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ТЭР 33-021</t>
  </si>
  <si>
    <t>Смена магнитных пускателей</t>
  </si>
  <si>
    <t>ТЭР 33-025</t>
  </si>
  <si>
    <t>Смена выключателей</t>
  </si>
  <si>
    <t>ТЭР 33-028</t>
  </si>
  <si>
    <t>Смена патронов</t>
  </si>
  <si>
    <t>Замена ламп ДРЛ</t>
  </si>
  <si>
    <t>2-2-1-3-3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</si>
  <si>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</si>
  <si>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</si>
  <si>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</si>
  <si>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</si>
  <si>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</si>
  <si>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</si>
  <si>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</si>
  <si>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ТЭР 17-013</t>
  </si>
  <si>
    <t>Ремонт рулонной кровли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</si>
  <si>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</si>
  <si>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</si>
  <si>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</si>
  <si>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</si>
  <si>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</si>
  <si>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</si>
  <si>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</si>
  <si>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</si>
  <si>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</si>
  <si>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</si>
  <si>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Обслуживание внутридомовое газовое оборудование</t>
  </si>
  <si>
    <t>плита</t>
  </si>
  <si>
    <t>водонагреватель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</si>
  <si>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</si>
  <si>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</si>
  <si>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</si>
  <si>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</si>
  <si>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</si>
  <si>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</si>
  <si>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</si>
  <si>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</si>
  <si>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70 раз за сезон</t>
  </si>
  <si>
    <t>Осмотр рулонной  кровли</t>
  </si>
  <si>
    <t>Очистка внутреннего водостока</t>
  </si>
  <si>
    <t>водосток</t>
  </si>
  <si>
    <t>Дератизация</t>
  </si>
  <si>
    <t>Ремонт групповых щитков на лестничной клетке без ремонта автоматов</t>
  </si>
  <si>
    <t>калькуляция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</si>
  <si>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</si>
  <si>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</si>
  <si>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</si>
  <si>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</si>
  <si>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</si>
  <si>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</si>
  <si>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</si>
  <si>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</si>
  <si>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</si>
  <si>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</si>
  <si>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</si>
  <si>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Снятие показаний эл.счетчика коммунального назначения</t>
  </si>
  <si>
    <t>Ремонт и регулировка доводчика (со стоимостью доводчика)</t>
  </si>
  <si>
    <t>1шт.</t>
  </si>
  <si>
    <t>5 этажей, 6 подъездов</t>
  </si>
  <si>
    <t>Стоимость (руб.)</t>
  </si>
  <si>
    <t>договор</t>
  </si>
  <si>
    <t>ТО внутридомового газ.оборудования</t>
  </si>
  <si>
    <t>Выполне  ние       май</t>
  </si>
  <si>
    <t>место</t>
  </si>
  <si>
    <t>смета</t>
  </si>
  <si>
    <t>1 м</t>
  </si>
  <si>
    <t>Работа автовышки</t>
  </si>
  <si>
    <t>маш/час</t>
  </si>
  <si>
    <t>Подключение и отключение сварочного аппарата</t>
  </si>
  <si>
    <t>Смена ламп накаливания</t>
  </si>
  <si>
    <t>6 раз в год</t>
  </si>
  <si>
    <t>Смена сгонов у трубопроводов диаметром до 32 мм</t>
  </si>
  <si>
    <t>1 сгон</t>
  </si>
  <si>
    <t>Смена арматуры - вентилей и клапанов обратных муфтовых диаметром до 20 мм</t>
  </si>
  <si>
    <t>1 шт</t>
  </si>
  <si>
    <t>Смена арматуры - вентилей и клапанов обратных муфтовых диаметром до 32 мм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</si>
  <si>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</si>
  <si>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</si>
  <si>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</si>
  <si>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</si>
  <si>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</si>
  <si>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</si>
  <si>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</si>
  <si>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</si>
  <si>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Устройство хомута диаметром до 50мм</t>
  </si>
  <si>
    <t>100шт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</si>
  <si>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</si>
  <si>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</si>
  <si>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3м</t>
  </si>
  <si>
    <t>10 м2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</si>
  <si>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</si>
  <si>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</si>
  <si>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</si>
  <si>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</si>
  <si>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</si>
  <si>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</si>
  <si>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</si>
  <si>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</si>
  <si>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</si>
  <si>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</si>
  <si>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</si>
  <si>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</si>
  <si>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</si>
  <si>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</si>
  <si>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</si>
  <si>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</si>
  <si>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</si>
  <si>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</si>
  <si>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</si>
  <si>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</si>
  <si>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</si>
  <si>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</si>
  <si>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</si>
  <si>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</si>
  <si>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</si>
  <si>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</si>
  <si>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 xml:space="preserve">пр.ТЕР 54-041 </t>
  </si>
  <si>
    <t>ТЕР 31-066</t>
  </si>
  <si>
    <t>ТЕР 31-065</t>
  </si>
  <si>
    <t>ТЕР 31-064</t>
  </si>
  <si>
    <t>ТЕР 31-052</t>
  </si>
  <si>
    <t>ТЕР 31-043</t>
  </si>
  <si>
    <t>ТЕР 31-068</t>
  </si>
  <si>
    <t>ТЕР 31-045</t>
  </si>
  <si>
    <t>ТЕР 33-049</t>
  </si>
  <si>
    <t>ТЕР 33-043</t>
  </si>
  <si>
    <t>ТЕР 33-030</t>
  </si>
  <si>
    <t>ТЕР 33-037</t>
  </si>
  <si>
    <t>пр.ТЕР 32-098</t>
  </si>
  <si>
    <t>ТЕР 33-060</t>
  </si>
  <si>
    <t>ТЕР 33-019</t>
  </si>
  <si>
    <t xml:space="preserve">ТЕР 31-010 </t>
  </si>
  <si>
    <t>пр.ТЕР 33-023</t>
  </si>
  <si>
    <t>ТЕР 32-027</t>
  </si>
  <si>
    <t>пр.ТЕР 31-009</t>
  </si>
  <si>
    <t>ТЕР 32-028</t>
  </si>
  <si>
    <t>пр.ТЕР 2-2-1-2-7</t>
  </si>
  <si>
    <t xml:space="preserve">Смена трубопроводов на полипропиленовые трубы PN25 диаметром 25 мм </t>
  </si>
  <si>
    <t>Смена трубопроводов на полипропиленовые трубы PN25 диаметром до 20 мм</t>
  </si>
  <si>
    <t>Внеплановый осмотр электросетей, армазуры и электрооборудования на лестничных клетках</t>
  </si>
  <si>
    <t>Баланс выполненных работ на 01.01.2017 г. ( -долг за предприятием, +долг за населением)</t>
  </si>
  <si>
    <t>ТЕР 55-003</t>
  </si>
  <si>
    <t xml:space="preserve">Очистка урн от мусора </t>
  </si>
  <si>
    <t>пр.ТЕР 32-082</t>
  </si>
  <si>
    <t>счёт</t>
  </si>
  <si>
    <t>Переход чугун-пластик Ду 50 с манжетой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</si>
  <si>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4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</si>
  <si>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С учетом показателя инфляции (К=1,054)</t>
  </si>
  <si>
    <t>пр.ТЕР 32-027</t>
  </si>
  <si>
    <t>Смена вентилей ПП диаметром до 20 мм</t>
  </si>
  <si>
    <t>Смена тройника 25*20*25</t>
  </si>
  <si>
    <t>1м</t>
  </si>
  <si>
    <t>пр.ТЕР 32-083</t>
  </si>
  <si>
    <t>1шт</t>
  </si>
  <si>
    <r>
      <t>Патрубок компенсационный ПП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 xml:space="preserve"> 100</t>
    </r>
  </si>
  <si>
    <t xml:space="preserve">Ревизия 110 </t>
  </si>
  <si>
    <t>Манжета 110</t>
  </si>
  <si>
    <t>пр.ТЕР 2-2-2-2-30</t>
  </si>
  <si>
    <t>Герметизация трубопроводов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</si>
  <si>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</si>
  <si>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</si>
  <si>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</si>
  <si>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</si>
  <si>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t xml:space="preserve">Переход чугун-пластик Ду 110 </t>
  </si>
  <si>
    <r>
      <t>Тройник 110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50/45°</t>
    </r>
  </si>
  <si>
    <t>Муфта ремонтная 110</t>
  </si>
  <si>
    <t>Ремонт групповых щитков на лестничной клетке со сменой автоматов</t>
  </si>
  <si>
    <t>ТЕР 33-031</t>
  </si>
  <si>
    <t xml:space="preserve">Смена светодиодных светильников </t>
  </si>
  <si>
    <r>
      <t>Смена полипропиленовых канализационных труб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>-100 2м</t>
    </r>
  </si>
  <si>
    <t>Смена полипропиленовых канализационных труб Ду-100 1м</t>
  </si>
  <si>
    <t>Отвод 110*45°</t>
  </si>
  <si>
    <t>ТЕР 32-085</t>
  </si>
  <si>
    <t>Смена внутренних трубопроводов из стальных труб диаметром до 20 мм</t>
  </si>
  <si>
    <t>Прочистка засоров канализации</t>
  </si>
  <si>
    <t>пр.ТЕР 32-101</t>
  </si>
  <si>
    <t xml:space="preserve">Смена сгонов у трубопроводов диаметром до 20 мм </t>
  </si>
  <si>
    <t>ТЕР 31-009</t>
  </si>
  <si>
    <t>1 соединен.</t>
  </si>
  <si>
    <t>пр.ТЕР 11-013</t>
  </si>
  <si>
    <t>Заделка отвестия над подвал.дверью фанерой</t>
  </si>
  <si>
    <t>10 шт</t>
  </si>
  <si>
    <t>пр.ТЕР 15-028</t>
  </si>
  <si>
    <t>Укрепление дверных коробок</t>
  </si>
  <si>
    <r>
      <t>Крестовина 110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45°</t>
    </r>
  </si>
  <si>
    <t>Отвод 110*90°</t>
  </si>
  <si>
    <r>
      <t>Смена полипропиленовых канализационных труб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 xml:space="preserve">2000 мм </t>
    </r>
  </si>
  <si>
    <r>
      <t>Отвод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90°</t>
    </r>
  </si>
  <si>
    <t>Внеплановый осмотр вводных электрических щитков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</si>
  <si>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</si>
  <si>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ТЕР 17-011</t>
  </si>
  <si>
    <t>пр.ТЕР 22-038</t>
  </si>
  <si>
    <t>Простая масляная окраска ранее окрашенных входных металлических дверей (I-VI под.)</t>
  </si>
  <si>
    <t>ТЕР 32-087</t>
  </si>
  <si>
    <t>Смена внутренних трубопроводов из стальных труб диаметром до 32 мм</t>
  </si>
  <si>
    <t>Крестовина 110×110×50*90°</t>
  </si>
  <si>
    <t>Смена трубопроводов на полипропиленовые трубы PN25 диаметром до 32 мм</t>
  </si>
  <si>
    <t>ТЕР 31-012</t>
  </si>
  <si>
    <t>Установка заглушек диаметром трубопроводов до 100 мм</t>
  </si>
  <si>
    <t>заглушка</t>
  </si>
  <si>
    <t>Осмотр элекгросетей, арматуры и электрооборудования на чердаках и подвалах</t>
  </si>
  <si>
    <t>ТЕР 2-1-1б</t>
  </si>
  <si>
    <t>пр.ТЕР 10-01-012-2</t>
  </si>
  <si>
    <t>Обшивка каркасных стен панелями стекломагниевыми 6 мм</t>
  </si>
  <si>
    <t>п.м.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</si>
  <si>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</si>
  <si>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</si>
  <si>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Внеплановая проверка вентканалов</t>
  </si>
  <si>
    <t>Герметизация межпанельных швов (кв.33,36)</t>
  </si>
  <si>
    <t>пр.ТЕР 07-05-039-7</t>
  </si>
  <si>
    <t>Устройство герметизации горизонтальных и вертикальных стыков стеновых панелей</t>
  </si>
  <si>
    <t>100 м шва</t>
  </si>
  <si>
    <t>15 раз за сезон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</si>
</sst>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2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21"/>
        <bgColor indexed="30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vertical="center"/>
    </xf>
    <xf numFmtId="4" fontId="1" fillId="9" borderId="8" xfId="0" applyNumberFormat="1" applyFont="1" applyFill="1" applyBorder="1" applyAlignment="1">
      <alignment vertical="center"/>
    </xf>
    <xf numFmtId="0" fontId="1" fillId="9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9" borderId="8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1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4" fontId="1" fillId="10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5" fillId="4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4" fontId="1" fillId="8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1" borderId="8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6" fillId="2" borderId="7" xfId="0" applyNumberFormat="1" applyFont="1" applyFill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center" vertical="center"/>
    </xf>
    <xf numFmtId="4" fontId="16" fillId="4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" fontId="16" fillId="2" borderId="9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top" wrapText="1"/>
    </xf>
    <xf numFmtId="0" fontId="1" fillId="0" borderId="10" xfId="0" applyFont="1" applyBorder="1"/>
    <xf numFmtId="4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/>
    <xf numFmtId="4" fontId="1" fillId="0" borderId="10" xfId="0" applyNumberFormat="1" applyFont="1" applyBorder="1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7" borderId="1" xfId="0" applyFont="1" applyFill="1" applyBorder="1"/>
    <xf numFmtId="4" fontId="1" fillId="7" borderId="1" xfId="0" applyNumberFormat="1" applyFont="1" applyFill="1" applyBorder="1"/>
    <xf numFmtId="4" fontId="1" fillId="7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 applyProtection="1">
      <alignment horizontal="left" vertical="top" wrapText="1"/>
      <protection hidden="1"/>
    </xf>
    <xf numFmtId="2" fontId="1" fillId="0" borderId="3" xfId="0" applyNumberFormat="1" applyFont="1" applyFill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vertical="top" wrapText="1"/>
    </xf>
    <xf numFmtId="4" fontId="1" fillId="0" borderId="3" xfId="0" applyNumberFormat="1" applyFont="1" applyBorder="1"/>
    <xf numFmtId="4" fontId="1" fillId="0" borderId="3" xfId="0" applyNumberFormat="1" applyFont="1" applyFill="1" applyBorder="1" applyAlignment="1" applyProtection="1">
      <alignment horizontal="left" vertical="top" wrapText="1"/>
      <protection hidden="1"/>
    </xf>
    <xf numFmtId="4" fontId="1" fillId="0" borderId="3" xfId="0" applyNumberFormat="1" applyFont="1" applyBorder="1" applyAlignment="1">
      <alignment horizontal="center"/>
    </xf>
    <xf numFmtId="4" fontId="17" fillId="0" borderId="0" xfId="0" applyNumberFormat="1" applyFont="1"/>
    <xf numFmtId="0" fontId="17" fillId="0" borderId="0" xfId="0" applyFont="1"/>
    <xf numFmtId="0" fontId="18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4" fontId="3" fillId="1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4" xfId="0" applyFont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16" fillId="9" borderId="3" xfId="0" applyNumberFormat="1" applyFont="1" applyFill="1" applyBorder="1" applyAlignment="1">
      <alignment horizontal="center" vertical="center"/>
    </xf>
    <xf numFmtId="4" fontId="3" fillId="9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vertical="center"/>
    </xf>
    <xf numFmtId="4" fontId="1" fillId="2" borderId="2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left" vertical="center" wrapText="1"/>
    </xf>
    <xf numFmtId="0" fontId="1" fillId="0" borderId="21" xfId="0" applyFont="1" applyBorder="1"/>
    <xf numFmtId="0" fontId="8" fillId="0" borderId="3" xfId="0" applyFont="1" applyBorder="1" applyAlignment="1">
      <alignment horizontal="center" vertical="center" wrapText="1"/>
    </xf>
    <xf numFmtId="0" fontId="1" fillId="4" borderId="14" xfId="0" applyNumberFormat="1" applyFont="1" applyFill="1" applyBorder="1" applyAlignment="1" applyProtection="1">
      <alignment horizontal="left" vertical="center" wrapText="1"/>
    </xf>
    <xf numFmtId="4" fontId="1" fillId="9" borderId="14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15" borderId="0" xfId="0" applyFill="1"/>
    <xf numFmtId="0" fontId="0" fillId="0" borderId="0" xfId="0" applyFill="1"/>
    <xf numFmtId="165" fontId="1" fillId="4" borderId="3" xfId="0" applyNumberFormat="1" applyFont="1" applyFill="1" applyBorder="1" applyAlignment="1">
      <alignment horizontal="center" vertical="center"/>
    </xf>
    <xf numFmtId="165" fontId="1" fillId="4" borderId="8" xfId="0" applyNumberFormat="1" applyFont="1" applyFill="1" applyBorder="1" applyAlignment="1">
      <alignment horizontal="center" vertical="center"/>
    </xf>
    <xf numFmtId="2" fontId="1" fillId="9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9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80"/>
  <sheetViews>
    <sheetView tabSelected="1" view="pageBreakPreview" topLeftCell="E1" zoomScaleNormal="75" zoomScaleSheetLayoutView="100" workbookViewId="0">
      <pane ySplit="7" topLeftCell="A172" activePane="bottomLeft" state="frozen"/>
      <selection activeCell="B1" sqref="B1"/>
      <selection pane="bottomLeft" activeCell="B177" sqref="B177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10" width="10.140625" customWidth="1"/>
    <col min="11" max="13" width="10.28515625" customWidth="1"/>
    <col min="14" max="14" width="10.42578125" customWidth="1"/>
    <col min="15" max="15" width="10.5703125" customWidth="1"/>
    <col min="16" max="16" width="10.140625" customWidth="1"/>
    <col min="17" max="17" width="10.7109375" customWidth="1"/>
    <col min="18" max="18" width="10.42578125" customWidth="1"/>
    <col min="19" max="20" width="10.28515625" customWidth="1"/>
    <col min="21" max="21" width="12.28515625" customWidth="1"/>
  </cols>
  <sheetData>
    <row r="1" spans="1:21" ht="14.25" customHeight="1"/>
    <row r="3" spans="1:21" ht="18">
      <c r="A3" s="154"/>
      <c r="B3" s="195" t="s">
        <v>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19"/>
      <c r="N3" s="119"/>
      <c r="O3" s="119"/>
      <c r="P3" s="119"/>
      <c r="Q3" s="119"/>
      <c r="R3" s="119"/>
      <c r="S3" s="119"/>
      <c r="T3" s="119"/>
      <c r="U3" s="119"/>
    </row>
    <row r="4" spans="1:21" ht="35.25" customHeight="1">
      <c r="A4" s="119"/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19"/>
      <c r="N4" s="119"/>
      <c r="O4" s="119"/>
      <c r="P4" s="119"/>
      <c r="Q4" s="119"/>
      <c r="R4" s="119"/>
      <c r="S4" s="119"/>
      <c r="T4" s="119"/>
      <c r="U4" s="119"/>
    </row>
    <row r="5" spans="1:21" ht="18">
      <c r="A5" s="119"/>
      <c r="B5" s="196" t="s">
        <v>268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19"/>
      <c r="N5" s="119"/>
      <c r="O5" s="119"/>
      <c r="P5" s="119"/>
      <c r="Q5" s="119"/>
      <c r="R5" s="119"/>
      <c r="S5" s="119"/>
      <c r="T5" s="119"/>
      <c r="U5" s="119"/>
    </row>
    <row r="6" spans="1:21" ht="14.25">
      <c r="A6" s="119"/>
      <c r="B6" s="197" t="s">
        <v>180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19"/>
      <c r="N6" s="119"/>
      <c r="O6" s="119"/>
      <c r="P6" s="119"/>
      <c r="Q6" s="119"/>
      <c r="R6" s="119"/>
      <c r="S6" s="119"/>
      <c r="T6" s="119"/>
      <c r="U6" s="119"/>
    </row>
    <row r="7" spans="1:21" ht="48.75" customHeight="1">
      <c r="A7" s="163" t="s">
        <v>2</v>
      </c>
      <c r="B7" s="164" t="s">
        <v>3</v>
      </c>
      <c r="C7" s="164" t="s">
        <v>4</v>
      </c>
      <c r="D7" s="164" t="s">
        <v>5</v>
      </c>
      <c r="E7" s="164" t="s">
        <v>6</v>
      </c>
      <c r="F7" s="164" t="s">
        <v>7</v>
      </c>
      <c r="G7" s="164" t="s">
        <v>8</v>
      </c>
      <c r="H7" s="165" t="s">
        <v>9</v>
      </c>
      <c r="I7" s="26" t="s">
        <v>166</v>
      </c>
      <c r="J7" s="26" t="s">
        <v>167</v>
      </c>
      <c r="K7" s="26" t="s">
        <v>168</v>
      </c>
      <c r="L7" s="26" t="s">
        <v>169</v>
      </c>
      <c r="M7" s="26" t="s">
        <v>184</v>
      </c>
      <c r="N7" s="26" t="s">
        <v>170</v>
      </c>
      <c r="O7" s="26" t="s">
        <v>171</v>
      </c>
      <c r="P7" s="26" t="s">
        <v>172</v>
      </c>
      <c r="Q7" s="26" t="s">
        <v>173</v>
      </c>
      <c r="R7" s="26" t="s">
        <v>174</v>
      </c>
      <c r="S7" s="26" t="s">
        <v>175</v>
      </c>
      <c r="T7" s="26" t="s">
        <v>176</v>
      </c>
      <c r="U7" s="26" t="s">
        <v>181</v>
      </c>
    </row>
    <row r="8" spans="1:21">
      <c r="A8" s="166">
        <v>1</v>
      </c>
      <c r="B8" s="8">
        <v>2</v>
      </c>
      <c r="C8" s="27">
        <v>3</v>
      </c>
      <c r="D8" s="8">
        <v>4</v>
      </c>
      <c r="E8" s="8">
        <v>5</v>
      </c>
      <c r="F8" s="27">
        <v>6</v>
      </c>
      <c r="G8" s="27">
        <v>7</v>
      </c>
      <c r="H8" s="155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156">
        <v>14</v>
      </c>
      <c r="O8" s="156">
        <v>15</v>
      </c>
      <c r="P8" s="156">
        <v>16</v>
      </c>
      <c r="Q8" s="156">
        <v>17</v>
      </c>
      <c r="R8" s="156">
        <v>18</v>
      </c>
      <c r="S8" s="156">
        <v>19</v>
      </c>
      <c r="T8" s="156">
        <v>20</v>
      </c>
      <c r="U8" s="156">
        <v>21</v>
      </c>
    </row>
    <row r="9" spans="1:21" ht="38.25">
      <c r="A9" s="166"/>
      <c r="B9" s="10" t="s">
        <v>10</v>
      </c>
      <c r="C9" s="27"/>
      <c r="D9" s="11"/>
      <c r="E9" s="11"/>
      <c r="F9" s="27"/>
      <c r="G9" s="27"/>
      <c r="H9" s="28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</row>
    <row r="10" spans="1:21">
      <c r="A10" s="166"/>
      <c r="B10" s="10" t="s">
        <v>11</v>
      </c>
      <c r="C10" s="27"/>
      <c r="D10" s="11"/>
      <c r="E10" s="11"/>
      <c r="F10" s="27"/>
      <c r="G10" s="27"/>
      <c r="H10" s="28"/>
      <c r="I10" s="29"/>
      <c r="J10" s="29"/>
      <c r="K10" s="29"/>
      <c r="L10" s="29"/>
      <c r="M10" s="30"/>
      <c r="N10" s="31"/>
      <c r="O10" s="31"/>
      <c r="P10" s="31"/>
      <c r="Q10" s="31"/>
      <c r="R10" s="31"/>
      <c r="S10" s="31"/>
      <c r="T10" s="31"/>
      <c r="U10" s="31"/>
    </row>
    <row r="11" spans="1:21" ht="25.5">
      <c r="A11" s="166" t="s">
        <v>212</v>
      </c>
      <c r="B11" s="11" t="s">
        <v>12</v>
      </c>
      <c r="C11" s="27" t="s">
        <v>13</v>
      </c>
      <c r="D11" s="11" t="s">
        <v>14</v>
      </c>
      <c r="E11" s="32">
        <v>118.34</v>
      </c>
      <c r="F11" s="33">
        <f>SUM(E11*156/100)</f>
        <v>184.6104</v>
      </c>
      <c r="G11" s="33">
        <v>175.38</v>
      </c>
      <c r="H11" s="34">
        <f t="shared" ref="H11:H19" si="0">SUM(F11*G11/1000)</f>
        <v>32.376971951999998</v>
      </c>
      <c r="I11" s="35">
        <f>F11/12*G11</f>
        <v>2698.0809959999997</v>
      </c>
      <c r="J11" s="35">
        <f>F11/12*G11</f>
        <v>2698.0809959999997</v>
      </c>
      <c r="K11" s="35">
        <f>F11/12*G11</f>
        <v>2698.0809959999997</v>
      </c>
      <c r="L11" s="35">
        <f>F11/12*G11</f>
        <v>2698.0809959999997</v>
      </c>
      <c r="M11" s="35">
        <f>F11/12*G11</f>
        <v>2698.0809959999997</v>
      </c>
      <c r="N11" s="35">
        <f>F11/12*G11</f>
        <v>2698.0809959999997</v>
      </c>
      <c r="O11" s="35">
        <f>F11/12*G11</f>
        <v>2698.0809959999997</v>
      </c>
      <c r="P11" s="35">
        <f>F11/12*G11</f>
        <v>2698.0809959999997</v>
      </c>
      <c r="Q11" s="35">
        <f>F11/12*G11</f>
        <v>2698.0809959999997</v>
      </c>
      <c r="R11" s="35">
        <f>F11/12*G11</f>
        <v>2698.0809959999997</v>
      </c>
      <c r="S11" s="35">
        <f>F11/12*G11</f>
        <v>2698.0809959999997</v>
      </c>
      <c r="T11" s="35">
        <f>F11/12*G11</f>
        <v>2698.0809959999997</v>
      </c>
      <c r="U11" s="35">
        <f>SUM(I11:T11)</f>
        <v>32376.971952000004</v>
      </c>
    </row>
    <row r="12" spans="1:21" ht="25.5">
      <c r="A12" s="166" t="s">
        <v>212</v>
      </c>
      <c r="B12" s="11" t="s">
        <v>15</v>
      </c>
      <c r="C12" s="27" t="s">
        <v>13</v>
      </c>
      <c r="D12" s="11" t="s">
        <v>16</v>
      </c>
      <c r="E12" s="32">
        <v>473.36</v>
      </c>
      <c r="F12" s="33">
        <f>SUM(E12*104/100)</f>
        <v>492.2944</v>
      </c>
      <c r="G12" s="33">
        <v>175.38</v>
      </c>
      <c r="H12" s="34">
        <f t="shared" si="0"/>
        <v>86.338591871999995</v>
      </c>
      <c r="I12" s="35">
        <f>F12/12*G12</f>
        <v>7194.8826559999998</v>
      </c>
      <c r="J12" s="35">
        <f>F12/12*G12</f>
        <v>7194.8826559999998</v>
      </c>
      <c r="K12" s="35">
        <f t="shared" ref="K12:K13" si="1">F12/12*G12</f>
        <v>7194.8826559999998</v>
      </c>
      <c r="L12" s="35">
        <f t="shared" ref="L12:L13" si="2">F12/12*G12</f>
        <v>7194.8826559999998</v>
      </c>
      <c r="M12" s="35">
        <f t="shared" ref="M12:M16" si="3">F12/12*G12</f>
        <v>7194.8826559999998</v>
      </c>
      <c r="N12" s="35">
        <f t="shared" ref="N12:N16" si="4">F12/12*G12</f>
        <v>7194.8826559999998</v>
      </c>
      <c r="O12" s="35">
        <f t="shared" ref="O12:O16" si="5">F12/12*G12</f>
        <v>7194.8826559999998</v>
      </c>
      <c r="P12" s="35">
        <f t="shared" ref="P12:P16" si="6">F12/12*G12</f>
        <v>7194.8826559999998</v>
      </c>
      <c r="Q12" s="35">
        <f t="shared" ref="Q12:Q16" si="7">F12/12*G12</f>
        <v>7194.8826559999998</v>
      </c>
      <c r="R12" s="35">
        <f t="shared" ref="R12:R16" si="8">F12/12*G12</f>
        <v>7194.8826559999998</v>
      </c>
      <c r="S12" s="35">
        <f t="shared" ref="S12:S16" si="9">F12/12*G12</f>
        <v>7194.8826559999998</v>
      </c>
      <c r="T12" s="35">
        <f t="shared" ref="T12:T16" si="10">F12/12*G12</f>
        <v>7194.8826559999998</v>
      </c>
      <c r="U12" s="35">
        <f t="shared" ref="U12:U19" si="11">SUM(I12:T12)</f>
        <v>86338.591872000005</v>
      </c>
    </row>
    <row r="13" spans="1:21" ht="25.5">
      <c r="A13" s="166" t="s">
        <v>213</v>
      </c>
      <c r="B13" s="11" t="s">
        <v>17</v>
      </c>
      <c r="C13" s="27" t="s">
        <v>13</v>
      </c>
      <c r="D13" s="11" t="s">
        <v>18</v>
      </c>
      <c r="E13" s="32">
        <f>SUM(E11+E12)</f>
        <v>591.70000000000005</v>
      </c>
      <c r="F13" s="33">
        <f>SUM(E13*24/100)</f>
        <v>142.00800000000001</v>
      </c>
      <c r="G13" s="33">
        <v>504.5</v>
      </c>
      <c r="H13" s="34">
        <f t="shared" si="0"/>
        <v>71.643036000000009</v>
      </c>
      <c r="I13" s="35">
        <f>F13/12*G13</f>
        <v>5970.2530000000006</v>
      </c>
      <c r="J13" s="35">
        <f>F13/12*G13</f>
        <v>5970.2530000000006</v>
      </c>
      <c r="K13" s="35">
        <f t="shared" si="1"/>
        <v>5970.2530000000006</v>
      </c>
      <c r="L13" s="35">
        <f t="shared" si="2"/>
        <v>5970.2530000000006</v>
      </c>
      <c r="M13" s="35">
        <f t="shared" si="3"/>
        <v>5970.2530000000006</v>
      </c>
      <c r="N13" s="35">
        <f t="shared" si="4"/>
        <v>5970.2530000000006</v>
      </c>
      <c r="O13" s="35">
        <f t="shared" si="5"/>
        <v>5970.2530000000006</v>
      </c>
      <c r="P13" s="35">
        <f t="shared" si="6"/>
        <v>5970.2530000000006</v>
      </c>
      <c r="Q13" s="35">
        <f t="shared" si="7"/>
        <v>5970.2530000000006</v>
      </c>
      <c r="R13" s="35">
        <f t="shared" si="8"/>
        <v>5970.2530000000006</v>
      </c>
      <c r="S13" s="35">
        <f t="shared" si="9"/>
        <v>5970.2530000000006</v>
      </c>
      <c r="T13" s="35">
        <f t="shared" si="10"/>
        <v>5970.2530000000006</v>
      </c>
      <c r="U13" s="35">
        <f t="shared" si="11"/>
        <v>71643.035999999993</v>
      </c>
    </row>
    <row r="14" spans="1:21">
      <c r="A14" s="166" t="s">
        <v>214</v>
      </c>
      <c r="B14" s="11" t="s">
        <v>19</v>
      </c>
      <c r="C14" s="27" t="s">
        <v>20</v>
      </c>
      <c r="D14" s="11" t="s">
        <v>151</v>
      </c>
      <c r="E14" s="32">
        <v>38.4</v>
      </c>
      <c r="F14" s="33">
        <f>SUM(E14/10)</f>
        <v>3.84</v>
      </c>
      <c r="G14" s="33">
        <v>170.16</v>
      </c>
      <c r="H14" s="34">
        <f t="shared" si="0"/>
        <v>0.65341439999999995</v>
      </c>
      <c r="I14" s="35">
        <v>0</v>
      </c>
      <c r="J14" s="35">
        <v>0</v>
      </c>
      <c r="K14" s="35">
        <v>0</v>
      </c>
      <c r="L14" s="35">
        <v>0</v>
      </c>
      <c r="M14" s="35">
        <f>F14/2*G14</f>
        <v>326.7072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f t="shared" si="11"/>
        <v>326.7072</v>
      </c>
    </row>
    <row r="15" spans="1:21">
      <c r="A15" s="166" t="s">
        <v>215</v>
      </c>
      <c r="B15" s="11" t="s">
        <v>21</v>
      </c>
      <c r="C15" s="27" t="s">
        <v>13</v>
      </c>
      <c r="D15" s="11" t="s">
        <v>152</v>
      </c>
      <c r="E15" s="32">
        <v>43.2</v>
      </c>
      <c r="F15" s="33">
        <f>SUM(E15*12/100)</f>
        <v>5.1840000000000011</v>
      </c>
      <c r="G15" s="33">
        <v>217.88</v>
      </c>
      <c r="H15" s="34">
        <f t="shared" si="0"/>
        <v>1.1294899200000001</v>
      </c>
      <c r="I15" s="35">
        <f>F15/12*G15</f>
        <v>94.124160000000018</v>
      </c>
      <c r="J15" s="35">
        <f>F15/12*G15</f>
        <v>94.124160000000018</v>
      </c>
      <c r="K15" s="35">
        <f>F15/12*G15</f>
        <v>94.124160000000018</v>
      </c>
      <c r="L15" s="35">
        <f>F15/12*G15</f>
        <v>94.124160000000018</v>
      </c>
      <c r="M15" s="35">
        <f t="shared" si="3"/>
        <v>94.124160000000018</v>
      </c>
      <c r="N15" s="35">
        <f t="shared" si="4"/>
        <v>94.124160000000018</v>
      </c>
      <c r="O15" s="35">
        <f t="shared" si="5"/>
        <v>94.124160000000018</v>
      </c>
      <c r="P15" s="35">
        <f t="shared" si="6"/>
        <v>94.124160000000018</v>
      </c>
      <c r="Q15" s="35">
        <f t="shared" si="7"/>
        <v>94.124160000000018</v>
      </c>
      <c r="R15" s="35">
        <f t="shared" si="8"/>
        <v>94.124160000000018</v>
      </c>
      <c r="S15" s="35">
        <f t="shared" si="9"/>
        <v>94.124160000000018</v>
      </c>
      <c r="T15" s="35">
        <f t="shared" si="10"/>
        <v>94.124160000000018</v>
      </c>
      <c r="U15" s="35">
        <f t="shared" si="11"/>
        <v>1129.4899200000004</v>
      </c>
    </row>
    <row r="16" spans="1:21">
      <c r="A16" s="166" t="s">
        <v>216</v>
      </c>
      <c r="B16" s="11" t="s">
        <v>22</v>
      </c>
      <c r="C16" s="27" t="s">
        <v>13</v>
      </c>
      <c r="D16" s="11" t="s">
        <v>152</v>
      </c>
      <c r="E16" s="32">
        <v>10.08</v>
      </c>
      <c r="F16" s="33">
        <f>SUM(E16*12/100)</f>
        <v>1.2096</v>
      </c>
      <c r="G16" s="33">
        <v>216.12</v>
      </c>
      <c r="H16" s="34">
        <f t="shared" si="0"/>
        <v>0.26141875199999998</v>
      </c>
      <c r="I16" s="35">
        <f>F16/12*G16</f>
        <v>21.784896</v>
      </c>
      <c r="J16" s="35">
        <f>F16/12*G16</f>
        <v>21.784896</v>
      </c>
      <c r="K16" s="35">
        <f>F16/12*G16</f>
        <v>21.784896</v>
      </c>
      <c r="L16" s="35">
        <f>F16/12*G16</f>
        <v>21.784896</v>
      </c>
      <c r="M16" s="35">
        <f t="shared" si="3"/>
        <v>21.784896</v>
      </c>
      <c r="N16" s="35">
        <f t="shared" si="4"/>
        <v>21.784896</v>
      </c>
      <c r="O16" s="35">
        <f t="shared" si="5"/>
        <v>21.784896</v>
      </c>
      <c r="P16" s="35">
        <f t="shared" si="6"/>
        <v>21.784896</v>
      </c>
      <c r="Q16" s="35">
        <f t="shared" si="7"/>
        <v>21.784896</v>
      </c>
      <c r="R16" s="35">
        <f t="shared" si="8"/>
        <v>21.784896</v>
      </c>
      <c r="S16" s="35">
        <f t="shared" si="9"/>
        <v>21.784896</v>
      </c>
      <c r="T16" s="35">
        <f t="shared" si="10"/>
        <v>21.784896</v>
      </c>
      <c r="U16" s="35">
        <f t="shared" si="11"/>
        <v>261.41875199999998</v>
      </c>
    </row>
    <row r="17" spans="1:21">
      <c r="A17" s="166" t="s">
        <v>217</v>
      </c>
      <c r="B17" s="11" t="s">
        <v>23</v>
      </c>
      <c r="C17" s="27" t="s">
        <v>24</v>
      </c>
      <c r="D17" s="11" t="s">
        <v>151</v>
      </c>
      <c r="E17" s="32">
        <v>771.12</v>
      </c>
      <c r="F17" s="33">
        <f>SUM(E17/100)</f>
        <v>7.7111999999999998</v>
      </c>
      <c r="G17" s="33">
        <v>269.26</v>
      </c>
      <c r="H17" s="34">
        <f t="shared" si="0"/>
        <v>2.0763177119999998</v>
      </c>
      <c r="I17" s="35">
        <v>0</v>
      </c>
      <c r="J17" s="35">
        <v>0</v>
      </c>
      <c r="K17" s="35">
        <v>0</v>
      </c>
      <c r="L17" s="35">
        <v>0</v>
      </c>
      <c r="M17" s="35">
        <f>F17*G17</f>
        <v>2076.317712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f t="shared" si="11"/>
        <v>2076.317712</v>
      </c>
    </row>
    <row r="18" spans="1:21">
      <c r="A18" s="166" t="s">
        <v>218</v>
      </c>
      <c r="B18" s="11" t="s">
        <v>25</v>
      </c>
      <c r="C18" s="27" t="s">
        <v>24</v>
      </c>
      <c r="D18" s="11" t="s">
        <v>151</v>
      </c>
      <c r="E18" s="37">
        <v>70.56</v>
      </c>
      <c r="F18" s="33">
        <f>SUM(E18/100)</f>
        <v>0.7056</v>
      </c>
      <c r="G18" s="33">
        <v>44.29</v>
      </c>
      <c r="H18" s="34">
        <f t="shared" si="0"/>
        <v>3.1251024000000002E-2</v>
      </c>
      <c r="I18" s="35">
        <v>0</v>
      </c>
      <c r="J18" s="35">
        <v>0</v>
      </c>
      <c r="K18" s="35">
        <v>0</v>
      </c>
      <c r="L18" s="35">
        <v>0</v>
      </c>
      <c r="M18" s="35">
        <f>F18*G18</f>
        <v>31.251024000000001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f t="shared" si="11"/>
        <v>31.251024000000001</v>
      </c>
    </row>
    <row r="19" spans="1:21">
      <c r="A19" s="166" t="s">
        <v>219</v>
      </c>
      <c r="B19" s="11" t="s">
        <v>26</v>
      </c>
      <c r="C19" s="27" t="s">
        <v>24</v>
      </c>
      <c r="D19" s="11" t="s">
        <v>151</v>
      </c>
      <c r="E19" s="32">
        <v>28.22</v>
      </c>
      <c r="F19" s="33">
        <f>SUM(E19/100)</f>
        <v>0.28220000000000001</v>
      </c>
      <c r="G19" s="33">
        <v>520.79999999999995</v>
      </c>
      <c r="H19" s="34">
        <f t="shared" si="0"/>
        <v>0.14696975999999998</v>
      </c>
      <c r="I19" s="35">
        <v>0</v>
      </c>
      <c r="J19" s="35">
        <v>0</v>
      </c>
      <c r="K19" s="35">
        <v>0</v>
      </c>
      <c r="L19" s="35">
        <v>0</v>
      </c>
      <c r="M19" s="35">
        <f>F19*G19</f>
        <v>146.96975999999998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f t="shared" si="11"/>
        <v>146.96975999999998</v>
      </c>
    </row>
    <row r="20" spans="1:21" s="19" customFormat="1">
      <c r="A20" s="167"/>
      <c r="B20" s="20" t="s">
        <v>27</v>
      </c>
      <c r="C20" s="38"/>
      <c r="D20" s="20"/>
      <c r="E20" s="39"/>
      <c r="F20" s="40"/>
      <c r="G20" s="40"/>
      <c r="H20" s="41">
        <f>SUM(H11:H19)</f>
        <v>194.65746139199999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>
        <f>SUM(U11:U19)</f>
        <v>194330.75419199999</v>
      </c>
    </row>
    <row r="21" spans="1:21">
      <c r="A21" s="166"/>
      <c r="B21" s="12" t="s">
        <v>28</v>
      </c>
      <c r="C21" s="27"/>
      <c r="D21" s="11"/>
      <c r="E21" s="32"/>
      <c r="F21" s="33"/>
      <c r="G21" s="33"/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 ht="25.5" customHeight="1">
      <c r="A22" s="166" t="s">
        <v>220</v>
      </c>
      <c r="B22" s="11" t="s">
        <v>198</v>
      </c>
      <c r="C22" s="27" t="s">
        <v>30</v>
      </c>
      <c r="D22" s="11" t="s">
        <v>29</v>
      </c>
      <c r="E22" s="33">
        <v>1414.6</v>
      </c>
      <c r="F22" s="33">
        <f>SUM(E22*52/1000)</f>
        <v>73.559200000000004</v>
      </c>
      <c r="G22" s="33">
        <v>155.88999999999999</v>
      </c>
      <c r="H22" s="34">
        <f t="shared" ref="H22:H34" si="12">SUM(F22*G22/1000)</f>
        <v>11.467143688</v>
      </c>
      <c r="I22" s="35">
        <v>0</v>
      </c>
      <c r="J22" s="35">
        <v>0</v>
      </c>
      <c r="K22" s="35">
        <v>0</v>
      </c>
      <c r="L22" s="35">
        <v>0</v>
      </c>
      <c r="M22" s="35">
        <f>F22/6*G22</f>
        <v>1911.1906146666665</v>
      </c>
      <c r="N22" s="35">
        <f>F22/6*G22</f>
        <v>1911.1906146666665</v>
      </c>
      <c r="O22" s="35">
        <f>F22/6*G22</f>
        <v>1911.1906146666665</v>
      </c>
      <c r="P22" s="35">
        <f>F22/6*G22</f>
        <v>1911.1906146666665</v>
      </c>
      <c r="Q22" s="35">
        <f>F22/6*G22</f>
        <v>1911.1906146666665</v>
      </c>
      <c r="R22" s="35">
        <f>F22/6*G22</f>
        <v>1911.1906146666665</v>
      </c>
      <c r="S22" s="35">
        <v>0</v>
      </c>
      <c r="T22" s="35">
        <v>0</v>
      </c>
      <c r="U22" s="35">
        <f t="shared" ref="U22:U34" si="13">SUM(I22:T22)</f>
        <v>11467.143687999998</v>
      </c>
    </row>
    <row r="23" spans="1:21" ht="38.25" customHeight="1">
      <c r="A23" s="166" t="s">
        <v>221</v>
      </c>
      <c r="B23" s="11" t="s">
        <v>199</v>
      </c>
      <c r="C23" s="27" t="s">
        <v>30</v>
      </c>
      <c r="D23" s="11" t="s">
        <v>31</v>
      </c>
      <c r="E23" s="33">
        <v>632.4</v>
      </c>
      <c r="F23" s="33">
        <f>SUM(E23*78/1000)</f>
        <v>49.327199999999998</v>
      </c>
      <c r="G23" s="33">
        <v>258.63</v>
      </c>
      <c r="H23" s="34">
        <f t="shared" si="12"/>
        <v>12.757493735999999</v>
      </c>
      <c r="I23" s="35">
        <v>0</v>
      </c>
      <c r="J23" s="35">
        <v>0</v>
      </c>
      <c r="K23" s="35">
        <v>0</v>
      </c>
      <c r="L23" s="35">
        <v>0</v>
      </c>
      <c r="M23" s="35">
        <f>F23/6*G23</f>
        <v>2126.2489559999999</v>
      </c>
      <c r="N23" s="35">
        <f t="shared" ref="N23:N31" si="14">F23/6*G23</f>
        <v>2126.2489559999999</v>
      </c>
      <c r="O23" s="35">
        <f t="shared" ref="O23:O31" si="15">F23/6*G23</f>
        <v>2126.2489559999999</v>
      </c>
      <c r="P23" s="35">
        <f t="shared" ref="P23:P31" si="16">F23/6*G23</f>
        <v>2126.2489559999999</v>
      </c>
      <c r="Q23" s="35">
        <f t="shared" ref="Q23:Q27" si="17">F23/6*G23</f>
        <v>2126.2489559999999</v>
      </c>
      <c r="R23" s="35">
        <f t="shared" ref="R23:R27" si="18">F23/6*G23</f>
        <v>2126.2489559999999</v>
      </c>
      <c r="S23" s="35">
        <v>0</v>
      </c>
      <c r="T23" s="35">
        <v>0</v>
      </c>
      <c r="U23" s="35">
        <f t="shared" si="13"/>
        <v>12757.493735999999</v>
      </c>
    </row>
    <row r="24" spans="1:21" hidden="1">
      <c r="A24" s="166" t="s">
        <v>222</v>
      </c>
      <c r="B24" s="11" t="s">
        <v>32</v>
      </c>
      <c r="C24" s="27" t="s">
        <v>30</v>
      </c>
      <c r="D24" s="11" t="s">
        <v>33</v>
      </c>
      <c r="E24" s="32">
        <v>143.20000000000002</v>
      </c>
      <c r="F24" s="33">
        <v>0</v>
      </c>
      <c r="G24" s="33">
        <v>293.27999999999997</v>
      </c>
      <c r="H24" s="34">
        <f t="shared" si="12"/>
        <v>0</v>
      </c>
      <c r="I24" s="35"/>
      <c r="J24" s="35"/>
      <c r="K24" s="35">
        <v>0</v>
      </c>
      <c r="L24" s="35">
        <v>0</v>
      </c>
      <c r="M24" s="35">
        <f t="shared" ref="M24:M31" si="19">F24/6*G24</f>
        <v>0</v>
      </c>
      <c r="N24" s="35">
        <f t="shared" si="14"/>
        <v>0</v>
      </c>
      <c r="O24" s="35">
        <f t="shared" si="15"/>
        <v>0</v>
      </c>
      <c r="P24" s="35">
        <f t="shared" si="16"/>
        <v>0</v>
      </c>
      <c r="Q24" s="35">
        <f t="shared" si="17"/>
        <v>0</v>
      </c>
      <c r="R24" s="35">
        <f t="shared" si="18"/>
        <v>0</v>
      </c>
      <c r="S24" s="35">
        <v>0</v>
      </c>
      <c r="T24" s="35">
        <v>0</v>
      </c>
      <c r="U24" s="35">
        <f t="shared" si="13"/>
        <v>0</v>
      </c>
    </row>
    <row r="25" spans="1:21">
      <c r="A25" s="166" t="s">
        <v>222</v>
      </c>
      <c r="B25" s="11" t="s">
        <v>34</v>
      </c>
      <c r="C25" s="27" t="s">
        <v>30</v>
      </c>
      <c r="D25" s="11" t="s">
        <v>35</v>
      </c>
      <c r="E25" s="33">
        <v>1414.6</v>
      </c>
      <c r="F25" s="33">
        <f>SUM(E25/1000)</f>
        <v>1.4145999999999999</v>
      </c>
      <c r="G25" s="33">
        <v>3020.33</v>
      </c>
      <c r="H25" s="34">
        <f t="shared" si="12"/>
        <v>4.2725588179999994</v>
      </c>
      <c r="I25" s="35">
        <v>0</v>
      </c>
      <c r="J25" s="35">
        <v>0</v>
      </c>
      <c r="K25" s="35">
        <v>0</v>
      </c>
      <c r="L25" s="35">
        <v>0</v>
      </c>
      <c r="M25" s="35">
        <f>F25*G25</f>
        <v>4272.5588179999995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f t="shared" si="13"/>
        <v>4272.5588179999995</v>
      </c>
    </row>
    <row r="26" spans="1:21">
      <c r="A26" s="166" t="s">
        <v>263</v>
      </c>
      <c r="B26" s="11" t="s">
        <v>264</v>
      </c>
      <c r="C26" s="27" t="s">
        <v>83</v>
      </c>
      <c r="D26" s="11" t="s">
        <v>38</v>
      </c>
      <c r="E26" s="33">
        <v>6</v>
      </c>
      <c r="F26" s="33">
        <f>SUM(E26*155/100)</f>
        <v>9.3000000000000007</v>
      </c>
      <c r="G26" s="33">
        <v>1302.02</v>
      </c>
      <c r="H26" s="34">
        <f t="shared" si="12"/>
        <v>12.108786</v>
      </c>
      <c r="I26" s="35">
        <v>0</v>
      </c>
      <c r="J26" s="35">
        <v>0</v>
      </c>
      <c r="K26" s="35">
        <v>0</v>
      </c>
      <c r="L26" s="35">
        <v>0</v>
      </c>
      <c r="M26" s="35">
        <f t="shared" ref="M26" si="20">F26/6*G26</f>
        <v>2018.1310000000001</v>
      </c>
      <c r="N26" s="35">
        <f t="shared" ref="N26" si="21">F26/6*G26</f>
        <v>2018.1310000000001</v>
      </c>
      <c r="O26" s="35">
        <f t="shared" ref="O26" si="22">F26/6*G26</f>
        <v>2018.1310000000001</v>
      </c>
      <c r="P26" s="35">
        <f t="shared" ref="P26" si="23">F26/6*G26</f>
        <v>2018.1310000000001</v>
      </c>
      <c r="Q26" s="35">
        <f t="shared" ref="Q26" si="24">F26/6*G26</f>
        <v>2018.1310000000001</v>
      </c>
      <c r="R26" s="35">
        <f t="shared" ref="R26" si="25">F26/6*G26</f>
        <v>2018.1310000000001</v>
      </c>
      <c r="S26" s="35">
        <v>0</v>
      </c>
      <c r="T26" s="35">
        <v>0</v>
      </c>
      <c r="U26" s="35">
        <f t="shared" si="13"/>
        <v>12108.786</v>
      </c>
    </row>
    <row r="27" spans="1:21">
      <c r="A27" s="166" t="s">
        <v>223</v>
      </c>
      <c r="B27" s="11" t="s">
        <v>36</v>
      </c>
      <c r="C27" s="27" t="s">
        <v>37</v>
      </c>
      <c r="D27" s="11" t="s">
        <v>38</v>
      </c>
      <c r="E27" s="44">
        <v>0.33333333333333331</v>
      </c>
      <c r="F27" s="33">
        <f>155/3</f>
        <v>51.666666666666664</v>
      </c>
      <c r="G27" s="33">
        <v>56.69</v>
      </c>
      <c r="H27" s="34">
        <f t="shared" si="12"/>
        <v>2.9289833333333331</v>
      </c>
      <c r="I27" s="35">
        <v>0</v>
      </c>
      <c r="J27" s="35">
        <v>0</v>
      </c>
      <c r="K27" s="35">
        <v>0</v>
      </c>
      <c r="L27" s="35">
        <v>0</v>
      </c>
      <c r="M27" s="35">
        <f t="shared" si="19"/>
        <v>488.16388888888883</v>
      </c>
      <c r="N27" s="35">
        <f t="shared" si="14"/>
        <v>488.16388888888883</v>
      </c>
      <c r="O27" s="35">
        <f t="shared" si="15"/>
        <v>488.16388888888883</v>
      </c>
      <c r="P27" s="35">
        <f t="shared" si="16"/>
        <v>488.16388888888883</v>
      </c>
      <c r="Q27" s="35">
        <f t="shared" si="17"/>
        <v>488.16388888888883</v>
      </c>
      <c r="R27" s="35">
        <f t="shared" si="18"/>
        <v>488.16388888888883</v>
      </c>
      <c r="S27" s="35">
        <v>0</v>
      </c>
      <c r="T27" s="35">
        <v>0</v>
      </c>
      <c r="U27" s="35">
        <f t="shared" si="13"/>
        <v>2928.9833333333331</v>
      </c>
    </row>
    <row r="28" spans="1:21" ht="12.75" customHeight="1">
      <c r="A28" s="166" t="s">
        <v>224</v>
      </c>
      <c r="B28" s="11" t="s">
        <v>39</v>
      </c>
      <c r="C28" s="27" t="s">
        <v>40</v>
      </c>
      <c r="D28" s="11" t="s">
        <v>41</v>
      </c>
      <c r="E28" s="45">
        <v>0.1</v>
      </c>
      <c r="F28" s="33">
        <f>SUM(E28*365)</f>
        <v>36.5</v>
      </c>
      <c r="G28" s="33">
        <v>147.03</v>
      </c>
      <c r="H28" s="34">
        <f t="shared" si="12"/>
        <v>5.3665950000000002</v>
      </c>
      <c r="I28" s="35">
        <f>F28/12*G28</f>
        <v>447.21625</v>
      </c>
      <c r="J28" s="35">
        <f>F28/12*G28</f>
        <v>447.21625</v>
      </c>
      <c r="K28" s="35">
        <f>F28/12*G28</f>
        <v>447.21625</v>
      </c>
      <c r="L28" s="35">
        <f>F28/12*G28</f>
        <v>447.21625</v>
      </c>
      <c r="M28" s="35">
        <f>F28/12*G28</f>
        <v>447.21625</v>
      </c>
      <c r="N28" s="35">
        <f>F28/12*G28</f>
        <v>447.21625</v>
      </c>
      <c r="O28" s="35">
        <f>F28/12*G28</f>
        <v>447.21625</v>
      </c>
      <c r="P28" s="35">
        <f>F28/12*G28</f>
        <v>447.21625</v>
      </c>
      <c r="Q28" s="35">
        <f>F28/12*G28</f>
        <v>447.21625</v>
      </c>
      <c r="R28" s="35">
        <f>F28/12*G28</f>
        <v>447.21625</v>
      </c>
      <c r="S28" s="35">
        <f>F28/12*G28</f>
        <v>447.21625</v>
      </c>
      <c r="T28" s="35">
        <f>F28/12*G28</f>
        <v>447.21625</v>
      </c>
      <c r="U28" s="35">
        <f t="shared" si="13"/>
        <v>5366.5950000000012</v>
      </c>
    </row>
    <row r="29" spans="1:21" hidden="1">
      <c r="A29" s="166" t="s">
        <v>42</v>
      </c>
      <c r="B29" s="11" t="s">
        <v>43</v>
      </c>
      <c r="C29" s="27" t="s">
        <v>30</v>
      </c>
      <c r="D29" s="11" t="s">
        <v>44</v>
      </c>
      <c r="E29" s="32"/>
      <c r="F29" s="33"/>
      <c r="G29" s="33">
        <v>169.95</v>
      </c>
      <c r="H29" s="34">
        <f t="shared" si="12"/>
        <v>0</v>
      </c>
      <c r="I29" s="35"/>
      <c r="J29" s="35"/>
      <c r="K29" s="35">
        <v>0</v>
      </c>
      <c r="L29" s="35">
        <v>0</v>
      </c>
      <c r="M29" s="35">
        <f t="shared" si="19"/>
        <v>0</v>
      </c>
      <c r="N29" s="35">
        <f t="shared" si="14"/>
        <v>0</v>
      </c>
      <c r="O29" s="35">
        <f t="shared" si="15"/>
        <v>0</v>
      </c>
      <c r="P29" s="35">
        <f t="shared" si="16"/>
        <v>0</v>
      </c>
      <c r="Q29" s="35">
        <f t="shared" ref="Q29:Q34" si="26">F29/12*G29</f>
        <v>0</v>
      </c>
      <c r="R29" s="35">
        <f t="shared" ref="R29:R34" si="27">F29/12*G29</f>
        <v>0</v>
      </c>
      <c r="S29" s="35">
        <f t="shared" ref="S29:S34" si="28">F29/12*G29</f>
        <v>0</v>
      </c>
      <c r="T29" s="35">
        <f t="shared" ref="T29:T34" si="29">F29/12*G29</f>
        <v>0</v>
      </c>
      <c r="U29" s="35">
        <f t="shared" si="13"/>
        <v>0</v>
      </c>
    </row>
    <row r="30" spans="1:21" hidden="1">
      <c r="A30" s="166" t="s">
        <v>45</v>
      </c>
      <c r="B30" s="11" t="s">
        <v>46</v>
      </c>
      <c r="C30" s="27" t="s">
        <v>30</v>
      </c>
      <c r="D30" s="11" t="s">
        <v>44</v>
      </c>
      <c r="E30" s="32"/>
      <c r="F30" s="33"/>
      <c r="G30" s="33">
        <v>1009.42</v>
      </c>
      <c r="H30" s="34">
        <f t="shared" si="12"/>
        <v>0</v>
      </c>
      <c r="I30" s="35"/>
      <c r="J30" s="35"/>
      <c r="K30" s="35">
        <v>0</v>
      </c>
      <c r="L30" s="35">
        <v>0</v>
      </c>
      <c r="M30" s="35">
        <f t="shared" si="19"/>
        <v>0</v>
      </c>
      <c r="N30" s="35">
        <f t="shared" si="14"/>
        <v>0</v>
      </c>
      <c r="O30" s="35">
        <f t="shared" si="15"/>
        <v>0</v>
      </c>
      <c r="P30" s="35">
        <f t="shared" si="16"/>
        <v>0</v>
      </c>
      <c r="Q30" s="35">
        <f t="shared" si="26"/>
        <v>0</v>
      </c>
      <c r="R30" s="35">
        <f t="shared" si="27"/>
        <v>0</v>
      </c>
      <c r="S30" s="35">
        <f t="shared" si="28"/>
        <v>0</v>
      </c>
      <c r="T30" s="35">
        <f t="shared" si="29"/>
        <v>0</v>
      </c>
      <c r="U30" s="35">
        <f t="shared" si="13"/>
        <v>0</v>
      </c>
    </row>
    <row r="31" spans="1:21" hidden="1">
      <c r="A31" s="166" t="s">
        <v>47</v>
      </c>
      <c r="B31" s="11" t="s">
        <v>48</v>
      </c>
      <c r="C31" s="27" t="s">
        <v>40</v>
      </c>
      <c r="D31" s="11" t="s">
        <v>49</v>
      </c>
      <c r="E31" s="32"/>
      <c r="F31" s="33"/>
      <c r="G31" s="33">
        <v>1.6</v>
      </c>
      <c r="H31" s="34">
        <f t="shared" si="12"/>
        <v>0</v>
      </c>
      <c r="I31" s="35"/>
      <c r="J31" s="35"/>
      <c r="K31" s="35">
        <v>0</v>
      </c>
      <c r="L31" s="35">
        <v>0</v>
      </c>
      <c r="M31" s="35">
        <f t="shared" si="19"/>
        <v>0</v>
      </c>
      <c r="N31" s="35">
        <f t="shared" si="14"/>
        <v>0</v>
      </c>
      <c r="O31" s="35">
        <f t="shared" si="15"/>
        <v>0</v>
      </c>
      <c r="P31" s="35">
        <f t="shared" si="16"/>
        <v>0</v>
      </c>
      <c r="Q31" s="35">
        <f t="shared" si="26"/>
        <v>0</v>
      </c>
      <c r="R31" s="35">
        <f t="shared" si="27"/>
        <v>0</v>
      </c>
      <c r="S31" s="35">
        <f t="shared" si="28"/>
        <v>0</v>
      </c>
      <c r="T31" s="35">
        <f t="shared" si="29"/>
        <v>0</v>
      </c>
      <c r="U31" s="35">
        <f t="shared" si="13"/>
        <v>0</v>
      </c>
    </row>
    <row r="32" spans="1:21" ht="12.75" customHeight="1">
      <c r="A32" s="166" t="s">
        <v>225</v>
      </c>
      <c r="B32" s="11" t="s">
        <v>200</v>
      </c>
      <c r="C32" s="27" t="s">
        <v>40</v>
      </c>
      <c r="D32" s="11" t="s">
        <v>49</v>
      </c>
      <c r="E32" s="32"/>
      <c r="F32" s="33">
        <v>4</v>
      </c>
      <c r="G32" s="33">
        <v>191.32</v>
      </c>
      <c r="H32" s="34">
        <f t="shared" si="12"/>
        <v>0.76527999999999996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f t="shared" si="13"/>
        <v>0</v>
      </c>
    </row>
    <row r="33" spans="1:21" ht="12.75" customHeight="1">
      <c r="A33" s="166" t="s">
        <v>165</v>
      </c>
      <c r="B33" s="11" t="s">
        <v>201</v>
      </c>
      <c r="C33" s="27" t="s">
        <v>50</v>
      </c>
      <c r="D33" s="11" t="s">
        <v>49</v>
      </c>
      <c r="E33" s="32"/>
      <c r="F33" s="33">
        <v>3</v>
      </c>
      <c r="G33" s="33">
        <v>1136.33</v>
      </c>
      <c r="H33" s="34">
        <f t="shared" si="12"/>
        <v>3.4089899999999997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f t="shared" si="13"/>
        <v>0</v>
      </c>
    </row>
    <row r="34" spans="1:21">
      <c r="A34" s="166"/>
      <c r="B34" s="46" t="s">
        <v>51</v>
      </c>
      <c r="C34" s="27" t="s">
        <v>52</v>
      </c>
      <c r="D34" s="46" t="s">
        <v>41</v>
      </c>
      <c r="E34" s="32">
        <v>4224.3999999999996</v>
      </c>
      <c r="F34" s="33">
        <f>SUM(E34*12)</f>
        <v>50692.799999999996</v>
      </c>
      <c r="G34" s="33">
        <v>4.59</v>
      </c>
      <c r="H34" s="34">
        <f t="shared" si="12"/>
        <v>232.67995199999996</v>
      </c>
      <c r="I34" s="35">
        <f>F34/12*G34</f>
        <v>19389.995999999999</v>
      </c>
      <c r="J34" s="35">
        <f>F34/12*G34</f>
        <v>19389.995999999999</v>
      </c>
      <c r="K34" s="35">
        <f>F34/12*G34</f>
        <v>19389.995999999999</v>
      </c>
      <c r="L34" s="35">
        <f>F34/12*G34</f>
        <v>19389.995999999999</v>
      </c>
      <c r="M34" s="35">
        <f>F34/12*G34</f>
        <v>19389.995999999999</v>
      </c>
      <c r="N34" s="35">
        <f>F34/12*G34</f>
        <v>19389.995999999999</v>
      </c>
      <c r="O34" s="35">
        <f>F34/12*G34</f>
        <v>19389.995999999999</v>
      </c>
      <c r="P34" s="35">
        <f>F34/12*G34</f>
        <v>19389.995999999999</v>
      </c>
      <c r="Q34" s="35">
        <f t="shared" si="26"/>
        <v>19389.995999999999</v>
      </c>
      <c r="R34" s="35">
        <f t="shared" si="27"/>
        <v>19389.995999999999</v>
      </c>
      <c r="S34" s="35">
        <f t="shared" si="28"/>
        <v>19389.995999999999</v>
      </c>
      <c r="T34" s="35">
        <f t="shared" si="29"/>
        <v>19389.995999999999</v>
      </c>
      <c r="U34" s="35">
        <f t="shared" si="13"/>
        <v>232679.95199999993</v>
      </c>
    </row>
    <row r="35" spans="1:21" s="19" customFormat="1">
      <c r="A35" s="167"/>
      <c r="B35" s="20" t="s">
        <v>27</v>
      </c>
      <c r="C35" s="38"/>
      <c r="D35" s="20"/>
      <c r="E35" s="39"/>
      <c r="F35" s="40"/>
      <c r="G35" s="40"/>
      <c r="H35" s="47">
        <f>SUM(H22:H34)</f>
        <v>285.75578257533328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>
        <f>SUM(U22:U34)</f>
        <v>281581.51257533324</v>
      </c>
    </row>
    <row r="36" spans="1:21">
      <c r="A36" s="166"/>
      <c r="B36" s="12" t="s">
        <v>54</v>
      </c>
      <c r="C36" s="27"/>
      <c r="D36" s="11"/>
      <c r="E36" s="32"/>
      <c r="F36" s="33"/>
      <c r="G36" s="33"/>
      <c r="H36" s="34" t="s">
        <v>53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21" ht="12.75" customHeight="1">
      <c r="A37" s="166" t="s">
        <v>165</v>
      </c>
      <c r="B37" s="13" t="s">
        <v>55</v>
      </c>
      <c r="C37" s="27" t="s">
        <v>50</v>
      </c>
      <c r="D37" s="11"/>
      <c r="E37" s="32"/>
      <c r="F37" s="33">
        <v>20</v>
      </c>
      <c r="G37" s="33">
        <v>1527.22</v>
      </c>
      <c r="H37" s="34">
        <f t="shared" ref="H37:H49" si="30">SUM(F37*G37/1000)</f>
        <v>30.544400000000003</v>
      </c>
      <c r="I37" s="35">
        <f>F37/6*G37</f>
        <v>5090.7333333333336</v>
      </c>
      <c r="J37" s="35">
        <f>F37/6*G37</f>
        <v>5090.7333333333336</v>
      </c>
      <c r="K37" s="35">
        <f>F37/6*G37</f>
        <v>5090.7333333333336</v>
      </c>
      <c r="L37" s="35">
        <f>F37/6*G37</f>
        <v>5090.7333333333336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f>F37/6*G37</f>
        <v>5090.7333333333336</v>
      </c>
      <c r="T37" s="35">
        <f>F37/6*G37</f>
        <v>5090.7333333333336</v>
      </c>
      <c r="U37" s="35">
        <f t="shared" ref="U37:U48" si="31">SUM(I37:T37)</f>
        <v>30544.400000000001</v>
      </c>
    </row>
    <row r="38" spans="1:21" hidden="1">
      <c r="A38" s="166" t="s">
        <v>56</v>
      </c>
      <c r="B38" s="11" t="s">
        <v>57</v>
      </c>
      <c r="C38" s="27" t="s">
        <v>40</v>
      </c>
      <c r="D38" s="11"/>
      <c r="E38" s="32"/>
      <c r="F38" s="33">
        <v>0</v>
      </c>
      <c r="G38" s="33">
        <v>69.239999999999995</v>
      </c>
      <c r="H38" s="34">
        <f t="shared" si="30"/>
        <v>0</v>
      </c>
      <c r="I38" s="35"/>
      <c r="J38" s="35"/>
      <c r="K38" s="35">
        <f t="shared" ref="K38:K39" si="32">F38/6*G38</f>
        <v>0</v>
      </c>
      <c r="L38" s="35">
        <f t="shared" ref="L38:L49" si="33">F38/6*G38</f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f t="shared" ref="S38:S48" si="34">F38/6*G38</f>
        <v>0</v>
      </c>
      <c r="T38" s="35">
        <f t="shared" ref="T38:T48" si="35">F38/6*G38</f>
        <v>0</v>
      </c>
      <c r="U38" s="35">
        <f t="shared" si="31"/>
        <v>0</v>
      </c>
    </row>
    <row r="39" spans="1:21" s="1" customFormat="1">
      <c r="A39" s="168" t="s">
        <v>226</v>
      </c>
      <c r="B39" s="13" t="s">
        <v>59</v>
      </c>
      <c r="C39" s="48" t="s">
        <v>60</v>
      </c>
      <c r="D39" s="13" t="s">
        <v>61</v>
      </c>
      <c r="E39" s="49">
        <v>632.4</v>
      </c>
      <c r="F39" s="49">
        <f>SUM(E39*50/1000)</f>
        <v>31.62</v>
      </c>
      <c r="G39" s="49">
        <v>2102.71</v>
      </c>
      <c r="H39" s="34">
        <f t="shared" si="30"/>
        <v>66.487690200000003</v>
      </c>
      <c r="I39" s="50">
        <f>F39/6*G39</f>
        <v>11081.281700000001</v>
      </c>
      <c r="J39" s="50">
        <f>F39/6*G39</f>
        <v>11081.281700000001</v>
      </c>
      <c r="K39" s="35">
        <f t="shared" si="32"/>
        <v>11081.281700000001</v>
      </c>
      <c r="L39" s="35">
        <f t="shared" si="33"/>
        <v>11081.281700000001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f t="shared" si="34"/>
        <v>11081.281700000001</v>
      </c>
      <c r="T39" s="35">
        <f t="shared" si="35"/>
        <v>11081.281700000001</v>
      </c>
      <c r="U39" s="35">
        <f t="shared" si="31"/>
        <v>66487.690200000012</v>
      </c>
    </row>
    <row r="40" spans="1:21" hidden="1">
      <c r="A40" s="166" t="s">
        <v>62</v>
      </c>
      <c r="B40" s="11" t="s">
        <v>63</v>
      </c>
      <c r="C40" s="27" t="s">
        <v>60</v>
      </c>
      <c r="D40" s="11" t="s">
        <v>64</v>
      </c>
      <c r="E40" s="32"/>
      <c r="F40" s="49">
        <f>SUM(E40*50/1000)</f>
        <v>0</v>
      </c>
      <c r="G40" s="33">
        <v>39.340000000000003</v>
      </c>
      <c r="H40" s="34">
        <f t="shared" si="30"/>
        <v>0</v>
      </c>
      <c r="I40" s="35"/>
      <c r="J40" s="35"/>
      <c r="K40" s="35">
        <v>0</v>
      </c>
      <c r="L40" s="35">
        <f t="shared" si="33"/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f t="shared" si="34"/>
        <v>0</v>
      </c>
      <c r="T40" s="35">
        <f t="shared" si="35"/>
        <v>0</v>
      </c>
      <c r="U40" s="35">
        <f t="shared" si="31"/>
        <v>0</v>
      </c>
    </row>
    <row r="41" spans="1:21">
      <c r="A41" s="166" t="s">
        <v>165</v>
      </c>
      <c r="B41" s="11" t="s">
        <v>158</v>
      </c>
      <c r="C41" s="27" t="s">
        <v>108</v>
      </c>
      <c r="D41" s="11" t="s">
        <v>49</v>
      </c>
      <c r="E41" s="32"/>
      <c r="F41" s="49">
        <v>30</v>
      </c>
      <c r="G41" s="33">
        <v>213.2</v>
      </c>
      <c r="H41" s="34">
        <f t="shared" si="30"/>
        <v>6.3959999999999999</v>
      </c>
      <c r="I41" s="35">
        <f>0</f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f t="shared" si="31"/>
        <v>0</v>
      </c>
    </row>
    <row r="42" spans="1:21" ht="25.5" customHeight="1">
      <c r="A42" s="166" t="s">
        <v>227</v>
      </c>
      <c r="B42" s="11" t="s">
        <v>202</v>
      </c>
      <c r="C42" s="27" t="s">
        <v>60</v>
      </c>
      <c r="D42" s="11" t="s">
        <v>65</v>
      </c>
      <c r="E42" s="33">
        <v>106</v>
      </c>
      <c r="F42" s="49">
        <f>SUM(E42*155/1000)</f>
        <v>16.43</v>
      </c>
      <c r="G42" s="33">
        <v>350.75</v>
      </c>
      <c r="H42" s="34">
        <f t="shared" si="30"/>
        <v>5.7628225000000004</v>
      </c>
      <c r="I42" s="35">
        <f>F42/6*G42</f>
        <v>960.47041666666667</v>
      </c>
      <c r="J42" s="35">
        <f>F42/6*G42</f>
        <v>960.47041666666667</v>
      </c>
      <c r="K42" s="35">
        <f>F42/6*G42</f>
        <v>960.47041666666667</v>
      </c>
      <c r="L42" s="35">
        <f t="shared" si="33"/>
        <v>960.47041666666667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f t="shared" si="34"/>
        <v>960.47041666666667</v>
      </c>
      <c r="T42" s="35">
        <f t="shared" si="35"/>
        <v>960.47041666666667</v>
      </c>
      <c r="U42" s="35">
        <f t="shared" si="31"/>
        <v>5762.8225000000002</v>
      </c>
    </row>
    <row r="43" spans="1:21" hidden="1">
      <c r="A43" s="166"/>
      <c r="B43" s="11" t="s">
        <v>66</v>
      </c>
      <c r="C43" s="27" t="s">
        <v>50</v>
      </c>
      <c r="D43" s="11"/>
      <c r="E43" s="32"/>
      <c r="F43" s="49">
        <f>SUM(E43*155/1000)</f>
        <v>0</v>
      </c>
      <c r="G43" s="33">
        <v>707.87</v>
      </c>
      <c r="H43" s="34">
        <f t="shared" si="30"/>
        <v>0</v>
      </c>
      <c r="I43" s="35"/>
      <c r="J43" s="35"/>
      <c r="K43" s="35">
        <f t="shared" ref="K43:K49" si="36">F43/6*G43</f>
        <v>0</v>
      </c>
      <c r="L43" s="35">
        <f t="shared" si="33"/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f t="shared" si="34"/>
        <v>0</v>
      </c>
      <c r="T43" s="35">
        <f t="shared" si="35"/>
        <v>0</v>
      </c>
      <c r="U43" s="35">
        <f t="shared" si="31"/>
        <v>0</v>
      </c>
    </row>
    <row r="44" spans="1:21" hidden="1">
      <c r="A44" s="166"/>
      <c r="B44" s="11" t="s">
        <v>67</v>
      </c>
      <c r="C44" s="27" t="s">
        <v>50</v>
      </c>
      <c r="D44" s="11"/>
      <c r="E44" s="32"/>
      <c r="F44" s="49">
        <f>SUM(E44*155/1000)</f>
        <v>0</v>
      </c>
      <c r="G44" s="33">
        <v>460</v>
      </c>
      <c r="H44" s="34">
        <f t="shared" si="30"/>
        <v>0</v>
      </c>
      <c r="I44" s="35"/>
      <c r="J44" s="35"/>
      <c r="K44" s="35">
        <f t="shared" si="36"/>
        <v>0</v>
      </c>
      <c r="L44" s="35">
        <f t="shared" si="33"/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f t="shared" si="34"/>
        <v>0</v>
      </c>
      <c r="T44" s="35">
        <f t="shared" si="35"/>
        <v>0</v>
      </c>
      <c r="U44" s="35">
        <f t="shared" si="31"/>
        <v>0</v>
      </c>
    </row>
    <row r="45" spans="1:21" ht="38.25" hidden="1">
      <c r="A45" s="166" t="s">
        <v>68</v>
      </c>
      <c r="B45" s="11" t="s">
        <v>69</v>
      </c>
      <c r="C45" s="27" t="s">
        <v>30</v>
      </c>
      <c r="D45" s="11" t="s">
        <v>70</v>
      </c>
      <c r="E45" s="32">
        <v>0</v>
      </c>
      <c r="F45" s="49">
        <f>SUM(E45*155/1000)</f>
        <v>0</v>
      </c>
      <c r="G45" s="33">
        <v>5155.17</v>
      </c>
      <c r="H45" s="34">
        <f t="shared" si="30"/>
        <v>0</v>
      </c>
      <c r="I45" s="35"/>
      <c r="J45" s="35"/>
      <c r="K45" s="35">
        <f t="shared" si="36"/>
        <v>0</v>
      </c>
      <c r="L45" s="35">
        <f t="shared" si="33"/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f t="shared" si="34"/>
        <v>0</v>
      </c>
      <c r="T45" s="35">
        <f t="shared" si="35"/>
        <v>0</v>
      </c>
      <c r="U45" s="35">
        <f t="shared" si="31"/>
        <v>0</v>
      </c>
    </row>
    <row r="46" spans="1:21" ht="51" customHeight="1">
      <c r="A46" s="166" t="s">
        <v>228</v>
      </c>
      <c r="B46" s="11" t="s">
        <v>203</v>
      </c>
      <c r="C46" s="27" t="s">
        <v>30</v>
      </c>
      <c r="D46" s="11" t="s">
        <v>159</v>
      </c>
      <c r="E46" s="33">
        <v>106</v>
      </c>
      <c r="F46" s="49">
        <f>SUM(E46*70/1000)</f>
        <v>7.42</v>
      </c>
      <c r="G46" s="33">
        <v>5803.28</v>
      </c>
      <c r="H46" s="34">
        <f t="shared" si="30"/>
        <v>43.060337599999997</v>
      </c>
      <c r="I46" s="35">
        <f>F46/6*G46</f>
        <v>7176.7229333333325</v>
      </c>
      <c r="J46" s="35">
        <f>F46/6*G46</f>
        <v>7176.7229333333325</v>
      </c>
      <c r="K46" s="35">
        <f t="shared" si="36"/>
        <v>7176.7229333333325</v>
      </c>
      <c r="L46" s="35">
        <f t="shared" si="33"/>
        <v>7176.7229333333325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f t="shared" si="34"/>
        <v>7176.7229333333325</v>
      </c>
      <c r="T46" s="35">
        <f t="shared" si="35"/>
        <v>7176.7229333333325</v>
      </c>
      <c r="U46" s="35">
        <f t="shared" si="31"/>
        <v>43060.337599999992</v>
      </c>
    </row>
    <row r="47" spans="1:21" ht="12.75" customHeight="1">
      <c r="A47" s="166" t="s">
        <v>229</v>
      </c>
      <c r="B47" s="11" t="s">
        <v>204</v>
      </c>
      <c r="C47" s="27" t="s">
        <v>30</v>
      </c>
      <c r="D47" s="11" t="s">
        <v>334</v>
      </c>
      <c r="E47" s="33">
        <v>106</v>
      </c>
      <c r="F47" s="49">
        <f>SUM(E47*15/1000)</f>
        <v>1.59</v>
      </c>
      <c r="G47" s="33">
        <v>428.7</v>
      </c>
      <c r="H47" s="34">
        <f t="shared" si="30"/>
        <v>0.68163300000000004</v>
      </c>
      <c r="I47" s="35">
        <v>0</v>
      </c>
      <c r="J47" s="35">
        <v>0</v>
      </c>
      <c r="K47" s="35">
        <f>F47/15*G47</f>
        <v>45.442200000000007</v>
      </c>
      <c r="L47" s="35">
        <f>F47/15*G47</f>
        <v>45.442200000000007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f t="shared" si="31"/>
        <v>90.884400000000014</v>
      </c>
    </row>
    <row r="48" spans="1:21" s="2" customFormat="1">
      <c r="A48" s="168"/>
      <c r="B48" s="13" t="s">
        <v>205</v>
      </c>
      <c r="C48" s="48" t="s">
        <v>40</v>
      </c>
      <c r="D48" s="13"/>
      <c r="E48" s="45"/>
      <c r="F48" s="49">
        <v>0.9</v>
      </c>
      <c r="G48" s="49">
        <v>798</v>
      </c>
      <c r="H48" s="34">
        <f t="shared" si="30"/>
        <v>0.71820000000000006</v>
      </c>
      <c r="I48" s="50">
        <f>F48/6*G48</f>
        <v>119.69999999999999</v>
      </c>
      <c r="J48" s="50">
        <f>F48/6*G48</f>
        <v>119.69999999999999</v>
      </c>
      <c r="K48" s="35">
        <f t="shared" si="36"/>
        <v>119.69999999999999</v>
      </c>
      <c r="L48" s="35">
        <f t="shared" si="33"/>
        <v>119.69999999999999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f t="shared" si="34"/>
        <v>119.69999999999999</v>
      </c>
      <c r="T48" s="35">
        <f t="shared" si="35"/>
        <v>119.69999999999999</v>
      </c>
      <c r="U48" s="35">
        <f t="shared" si="31"/>
        <v>718.2</v>
      </c>
    </row>
    <row r="49" spans="1:21" hidden="1">
      <c r="A49" s="166" t="s">
        <v>58</v>
      </c>
      <c r="B49" s="11" t="s">
        <v>71</v>
      </c>
      <c r="C49" s="27" t="s">
        <v>30</v>
      </c>
      <c r="D49" s="11"/>
      <c r="E49" s="32"/>
      <c r="F49" s="33"/>
      <c r="G49" s="33">
        <v>1481.29</v>
      </c>
      <c r="H49" s="34">
        <f t="shared" si="30"/>
        <v>0</v>
      </c>
      <c r="I49" s="35"/>
      <c r="J49" s="35"/>
      <c r="K49" s="35">
        <f t="shared" si="36"/>
        <v>0</v>
      </c>
      <c r="L49" s="35">
        <f t="shared" si="33"/>
        <v>0</v>
      </c>
      <c r="M49" s="35"/>
      <c r="N49" s="35"/>
      <c r="O49" s="35"/>
      <c r="P49" s="35"/>
      <c r="Q49" s="35"/>
      <c r="R49" s="35"/>
      <c r="S49" s="35"/>
      <c r="T49" s="35"/>
      <c r="U49" s="35"/>
    </row>
    <row r="50" spans="1:21" s="19" customFormat="1">
      <c r="A50" s="167"/>
      <c r="B50" s="20" t="s">
        <v>27</v>
      </c>
      <c r="C50" s="38"/>
      <c r="D50" s="20"/>
      <c r="E50" s="39"/>
      <c r="F50" s="40" t="s">
        <v>53</v>
      </c>
      <c r="G50" s="40"/>
      <c r="H50" s="47">
        <f>SUM(H37:H49)</f>
        <v>153.65108329999998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>
        <f>SUM(U37:U48)</f>
        <v>146664.33470000001</v>
      </c>
    </row>
    <row r="51" spans="1:21">
      <c r="A51" s="166"/>
      <c r="B51" s="14" t="s">
        <v>72</v>
      </c>
      <c r="C51" s="27"/>
      <c r="D51" s="11"/>
      <c r="E51" s="32"/>
      <c r="F51" s="33"/>
      <c r="G51" s="33"/>
      <c r="H51" s="34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21">
      <c r="A52" s="166" t="s">
        <v>230</v>
      </c>
      <c r="B52" s="11" t="s">
        <v>160</v>
      </c>
      <c r="C52" s="27" t="s">
        <v>30</v>
      </c>
      <c r="D52" s="11" t="s">
        <v>73</v>
      </c>
      <c r="E52" s="32">
        <v>1150.5999999999999</v>
      </c>
      <c r="F52" s="33">
        <f>SUM(E52*2/1000)</f>
        <v>2.3011999999999997</v>
      </c>
      <c r="G52" s="51">
        <v>849.49</v>
      </c>
      <c r="H52" s="34">
        <f t="shared" ref="H52:H61" si="37">SUM(F52*G52/1000)</f>
        <v>1.9548463879999998</v>
      </c>
      <c r="I52" s="35">
        <v>0</v>
      </c>
      <c r="J52" s="35">
        <v>0</v>
      </c>
      <c r="K52" s="35">
        <v>0</v>
      </c>
      <c r="L52" s="35">
        <v>0</v>
      </c>
      <c r="M52" s="35">
        <f>F52/2*G52</f>
        <v>977.42319399999985</v>
      </c>
      <c r="N52" s="35">
        <v>0</v>
      </c>
      <c r="O52" s="35">
        <v>0</v>
      </c>
      <c r="P52" s="35">
        <v>0</v>
      </c>
      <c r="Q52" s="35">
        <f>F52/2*G52</f>
        <v>977.42319399999985</v>
      </c>
      <c r="R52" s="35">
        <v>0</v>
      </c>
      <c r="S52" s="35">
        <v>0</v>
      </c>
      <c r="T52" s="35">
        <v>0</v>
      </c>
      <c r="U52" s="35">
        <f t="shared" ref="U52:U60" si="38">SUM(I52:T52)</f>
        <v>1954.8463879999997</v>
      </c>
    </row>
    <row r="53" spans="1:21">
      <c r="A53" s="166" t="s">
        <v>231</v>
      </c>
      <c r="B53" s="11" t="s">
        <v>74</v>
      </c>
      <c r="C53" s="27" t="s">
        <v>30</v>
      </c>
      <c r="D53" s="11" t="s">
        <v>73</v>
      </c>
      <c r="E53" s="32">
        <v>108.96</v>
      </c>
      <c r="F53" s="33">
        <f>SUM(E53*2/1000)</f>
        <v>0.21791999999999997</v>
      </c>
      <c r="G53" s="51">
        <v>579.48</v>
      </c>
      <c r="H53" s="34">
        <f t="shared" si="37"/>
        <v>0.12628028159999999</v>
      </c>
      <c r="I53" s="35">
        <v>0</v>
      </c>
      <c r="J53" s="35">
        <v>0</v>
      </c>
      <c r="K53" s="35">
        <v>0</v>
      </c>
      <c r="L53" s="35">
        <v>0</v>
      </c>
      <c r="M53" s="35">
        <f t="shared" ref="M53:M55" si="39">F53/2*G53</f>
        <v>63.140140799999998</v>
      </c>
      <c r="N53" s="35">
        <v>0</v>
      </c>
      <c r="O53" s="35">
        <v>0</v>
      </c>
      <c r="P53" s="35">
        <v>0</v>
      </c>
      <c r="Q53" s="35">
        <f t="shared" ref="Q53:Q55" si="40">F53/2*G53</f>
        <v>63.140140799999998</v>
      </c>
      <c r="R53" s="35">
        <v>0</v>
      </c>
      <c r="S53" s="35">
        <v>0</v>
      </c>
      <c r="T53" s="35">
        <v>0</v>
      </c>
      <c r="U53" s="35">
        <f t="shared" si="38"/>
        <v>126.2802816</v>
      </c>
    </row>
    <row r="54" spans="1:21" ht="12.75" customHeight="1">
      <c r="A54" s="166" t="s">
        <v>232</v>
      </c>
      <c r="B54" s="11" t="s">
        <v>75</v>
      </c>
      <c r="C54" s="27" t="s">
        <v>30</v>
      </c>
      <c r="D54" s="11" t="s">
        <v>73</v>
      </c>
      <c r="E54" s="32">
        <v>4224.3999999999996</v>
      </c>
      <c r="F54" s="33">
        <f>SUM(E54*2/1000)</f>
        <v>8.4487999999999985</v>
      </c>
      <c r="G54" s="51">
        <v>579.48</v>
      </c>
      <c r="H54" s="34">
        <f t="shared" si="37"/>
        <v>4.895910623999999</v>
      </c>
      <c r="I54" s="35">
        <v>0</v>
      </c>
      <c r="J54" s="35">
        <v>0</v>
      </c>
      <c r="K54" s="35">
        <v>0</v>
      </c>
      <c r="L54" s="35">
        <v>0</v>
      </c>
      <c r="M54" s="35">
        <f t="shared" si="39"/>
        <v>2447.9553119999996</v>
      </c>
      <c r="N54" s="35">
        <v>0</v>
      </c>
      <c r="O54" s="35">
        <v>0</v>
      </c>
      <c r="P54" s="35">
        <v>0</v>
      </c>
      <c r="Q54" s="35">
        <f t="shared" si="40"/>
        <v>2447.9553119999996</v>
      </c>
      <c r="R54" s="35">
        <v>0</v>
      </c>
      <c r="S54" s="35">
        <v>0</v>
      </c>
      <c r="T54" s="35">
        <v>0</v>
      </c>
      <c r="U54" s="35">
        <f t="shared" si="38"/>
        <v>4895.9106239999992</v>
      </c>
    </row>
    <row r="55" spans="1:21">
      <c r="A55" s="166" t="s">
        <v>233</v>
      </c>
      <c r="B55" s="11" t="s">
        <v>76</v>
      </c>
      <c r="C55" s="27" t="s">
        <v>30</v>
      </c>
      <c r="D55" s="11" t="s">
        <v>73</v>
      </c>
      <c r="E55" s="32">
        <v>3059.7</v>
      </c>
      <c r="F55" s="33">
        <f>SUM(E55*2/1000)</f>
        <v>6.1193999999999997</v>
      </c>
      <c r="G55" s="51">
        <v>606.77</v>
      </c>
      <c r="H55" s="34">
        <f t="shared" si="37"/>
        <v>3.7130683379999998</v>
      </c>
      <c r="I55" s="35">
        <v>0</v>
      </c>
      <c r="J55" s="35">
        <v>0</v>
      </c>
      <c r="K55" s="35">
        <v>0</v>
      </c>
      <c r="L55" s="35">
        <v>0</v>
      </c>
      <c r="M55" s="35">
        <f t="shared" si="39"/>
        <v>1856.5341689999998</v>
      </c>
      <c r="N55" s="35">
        <v>0</v>
      </c>
      <c r="O55" s="35">
        <v>0</v>
      </c>
      <c r="P55" s="35">
        <v>0</v>
      </c>
      <c r="Q55" s="35">
        <f t="shared" si="40"/>
        <v>1856.5341689999998</v>
      </c>
      <c r="R55" s="35">
        <v>0</v>
      </c>
      <c r="S55" s="35">
        <v>0</v>
      </c>
      <c r="T55" s="35">
        <v>0</v>
      </c>
      <c r="U55" s="35">
        <f t="shared" si="38"/>
        <v>3713.0683379999996</v>
      </c>
    </row>
    <row r="56" spans="1:21" ht="25.5">
      <c r="A56" s="166" t="s">
        <v>234</v>
      </c>
      <c r="B56" s="11" t="s">
        <v>77</v>
      </c>
      <c r="C56" s="27" t="s">
        <v>30</v>
      </c>
      <c r="D56" s="11" t="s">
        <v>78</v>
      </c>
      <c r="E56" s="32">
        <v>1150.5999999999999</v>
      </c>
      <c r="F56" s="33">
        <f>SUM(E56*5/1000)</f>
        <v>5.7530000000000001</v>
      </c>
      <c r="G56" s="51">
        <v>1213.55</v>
      </c>
      <c r="H56" s="34">
        <f t="shared" si="37"/>
        <v>6.9815531499999999</v>
      </c>
      <c r="I56" s="35">
        <f>F56/5*G56</f>
        <v>1396.3106299999999</v>
      </c>
      <c r="J56" s="35">
        <f>F56/5*G56</f>
        <v>1396.3106299999999</v>
      </c>
      <c r="K56" s="35">
        <v>0</v>
      </c>
      <c r="L56" s="35">
        <v>0</v>
      </c>
      <c r="M56" s="35">
        <f>F56/5*G56</f>
        <v>1396.3106299999999</v>
      </c>
      <c r="N56" s="35">
        <v>0</v>
      </c>
      <c r="O56" s="35">
        <v>0</v>
      </c>
      <c r="P56" s="35">
        <v>0</v>
      </c>
      <c r="Q56" s="35">
        <f>F56/5*G56</f>
        <v>1396.3106299999999</v>
      </c>
      <c r="R56" s="35">
        <v>0</v>
      </c>
      <c r="S56" s="35">
        <v>0</v>
      </c>
      <c r="T56" s="35">
        <f>F56/5*G56</f>
        <v>1396.3106299999999</v>
      </c>
      <c r="U56" s="35">
        <f t="shared" si="38"/>
        <v>6981.5531499999997</v>
      </c>
    </row>
    <row r="57" spans="1:21" ht="38.25" customHeight="1">
      <c r="A57" s="166" t="s">
        <v>235</v>
      </c>
      <c r="B57" s="11" t="s">
        <v>79</v>
      </c>
      <c r="C57" s="27" t="s">
        <v>30</v>
      </c>
      <c r="D57" s="11" t="s">
        <v>73</v>
      </c>
      <c r="E57" s="32">
        <v>1150.5999999999999</v>
      </c>
      <c r="F57" s="33">
        <f>SUM(E57*2/1000)</f>
        <v>2.3011999999999997</v>
      </c>
      <c r="G57" s="51">
        <v>1213.55</v>
      </c>
      <c r="H57" s="34">
        <f t="shared" si="37"/>
        <v>2.7926212599999993</v>
      </c>
      <c r="I57" s="35">
        <v>0</v>
      </c>
      <c r="J57" s="35">
        <v>0</v>
      </c>
      <c r="K57" s="35">
        <v>0</v>
      </c>
      <c r="L57" s="35">
        <f>F57/2*G57</f>
        <v>1396.3106299999997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f>F57/2*G57</f>
        <v>1396.3106299999997</v>
      </c>
      <c r="S57" s="35">
        <v>0</v>
      </c>
      <c r="T57" s="35">
        <v>0</v>
      </c>
      <c r="U57" s="35">
        <f t="shared" si="38"/>
        <v>2792.6212599999994</v>
      </c>
    </row>
    <row r="58" spans="1:21" ht="25.5" customHeight="1">
      <c r="A58" s="166" t="s">
        <v>236</v>
      </c>
      <c r="B58" s="11" t="s">
        <v>80</v>
      </c>
      <c r="C58" s="27" t="s">
        <v>81</v>
      </c>
      <c r="D58" s="11" t="s">
        <v>73</v>
      </c>
      <c r="E58" s="32">
        <v>30</v>
      </c>
      <c r="F58" s="33">
        <f>SUM(E58*2/100)</f>
        <v>0.6</v>
      </c>
      <c r="G58" s="51">
        <v>2730.49</v>
      </c>
      <c r="H58" s="34">
        <f t="shared" si="37"/>
        <v>1.6382939999999999</v>
      </c>
      <c r="I58" s="35">
        <v>0</v>
      </c>
      <c r="J58" s="35">
        <v>0</v>
      </c>
      <c r="K58" s="35">
        <v>0</v>
      </c>
      <c r="L58" s="35">
        <f>F58/2*G58</f>
        <v>819.14699999999993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f t="shared" ref="R58:R59" si="41">F58/2*G58</f>
        <v>819.14699999999993</v>
      </c>
      <c r="S58" s="35">
        <v>0</v>
      </c>
      <c r="T58" s="35">
        <v>0</v>
      </c>
      <c r="U58" s="35">
        <f t="shared" si="38"/>
        <v>1638.2939999999999</v>
      </c>
    </row>
    <row r="59" spans="1:21">
      <c r="A59" s="166" t="s">
        <v>237</v>
      </c>
      <c r="B59" s="11" t="s">
        <v>82</v>
      </c>
      <c r="C59" s="27" t="s">
        <v>83</v>
      </c>
      <c r="D59" s="11" t="s">
        <v>73</v>
      </c>
      <c r="E59" s="32">
        <v>1</v>
      </c>
      <c r="F59" s="33">
        <v>0.02</v>
      </c>
      <c r="G59" s="51">
        <v>5652.13</v>
      </c>
      <c r="H59" s="34">
        <f t="shared" si="37"/>
        <v>0.11304260000000001</v>
      </c>
      <c r="I59" s="35">
        <v>0</v>
      </c>
      <c r="J59" s="35">
        <v>0</v>
      </c>
      <c r="K59" s="35">
        <f>F59/2*G59</f>
        <v>56.521300000000004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f t="shared" si="41"/>
        <v>56.521300000000004</v>
      </c>
      <c r="S59" s="35">
        <v>0</v>
      </c>
      <c r="T59" s="35">
        <v>0</v>
      </c>
      <c r="U59" s="35">
        <f t="shared" si="38"/>
        <v>113.04260000000001</v>
      </c>
    </row>
    <row r="60" spans="1:21" ht="13.5" customHeight="1">
      <c r="A60" s="166" t="s">
        <v>85</v>
      </c>
      <c r="B60" s="11" t="s">
        <v>86</v>
      </c>
      <c r="C60" s="27" t="s">
        <v>84</v>
      </c>
      <c r="D60" s="11" t="s">
        <v>153</v>
      </c>
      <c r="E60" s="32">
        <v>158</v>
      </c>
      <c r="F60" s="33">
        <f>SUM(E60)*3</f>
        <v>474</v>
      </c>
      <c r="G60" s="52">
        <v>65.67</v>
      </c>
      <c r="H60" s="34">
        <f t="shared" si="37"/>
        <v>31.127580000000002</v>
      </c>
      <c r="I60" s="35">
        <f>E60*G60</f>
        <v>10375.86</v>
      </c>
      <c r="J60" s="35">
        <v>0</v>
      </c>
      <c r="K60" s="35">
        <v>0</v>
      </c>
      <c r="L60" s="35">
        <v>0</v>
      </c>
      <c r="M60" s="35">
        <v>0</v>
      </c>
      <c r="N60" s="35">
        <f>E60*G60</f>
        <v>10375.86</v>
      </c>
      <c r="O60" s="35">
        <v>0</v>
      </c>
      <c r="P60" s="35">
        <v>0</v>
      </c>
      <c r="Q60" s="35">
        <v>0</v>
      </c>
      <c r="R60" s="35">
        <f>E60*G60</f>
        <v>10375.86</v>
      </c>
      <c r="S60" s="35">
        <v>0</v>
      </c>
      <c r="T60" s="35">
        <v>0</v>
      </c>
      <c r="U60" s="35">
        <f t="shared" si="38"/>
        <v>31127.58</v>
      </c>
    </row>
    <row r="61" spans="1:21" s="2" customFormat="1" hidden="1">
      <c r="A61" s="168"/>
      <c r="B61" s="13" t="s">
        <v>87</v>
      </c>
      <c r="C61" s="48"/>
      <c r="D61" s="11" t="s">
        <v>88</v>
      </c>
      <c r="E61" s="45"/>
      <c r="F61" s="49"/>
      <c r="G61" s="49">
        <v>5750</v>
      </c>
      <c r="H61" s="53">
        <f t="shared" si="37"/>
        <v>0</v>
      </c>
      <c r="I61" s="50"/>
      <c r="J61" s="50"/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50"/>
    </row>
    <row r="62" spans="1:21" s="21" customFormat="1">
      <c r="A62" s="169"/>
      <c r="B62" s="20" t="s">
        <v>27</v>
      </c>
      <c r="C62" s="54"/>
      <c r="D62" s="20"/>
      <c r="E62" s="55"/>
      <c r="F62" s="56"/>
      <c r="G62" s="56"/>
      <c r="H62" s="47">
        <f>SUM(H52:H60)</f>
        <v>53.343196641600002</v>
      </c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>
        <f>SUM(U52:U60)</f>
        <v>53343.1966416</v>
      </c>
    </row>
    <row r="63" spans="1:21">
      <c r="A63" s="166"/>
      <c r="B63" s="12" t="s">
        <v>89</v>
      </c>
      <c r="C63" s="27"/>
      <c r="D63" s="11"/>
      <c r="E63" s="32"/>
      <c r="F63" s="33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 hidden="1">
      <c r="A64" s="166" t="s">
        <v>90</v>
      </c>
      <c r="B64" s="11" t="s">
        <v>91</v>
      </c>
      <c r="C64" s="27" t="s">
        <v>13</v>
      </c>
      <c r="D64" s="11" t="s">
        <v>73</v>
      </c>
      <c r="E64" s="32">
        <v>946</v>
      </c>
      <c r="F64" s="33">
        <f>SUM(E64*2/100)</f>
        <v>18.920000000000002</v>
      </c>
      <c r="G64" s="51">
        <v>0</v>
      </c>
      <c r="H64" s="34">
        <f>SUM(F64*G64/1000)</f>
        <v>0</v>
      </c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</row>
    <row r="65" spans="1:21" ht="24.75" hidden="1" customHeight="1">
      <c r="A65" s="166" t="s">
        <v>92</v>
      </c>
      <c r="B65" s="11" t="s">
        <v>93</v>
      </c>
      <c r="C65" s="27" t="s">
        <v>13</v>
      </c>
      <c r="D65" s="11" t="s">
        <v>49</v>
      </c>
      <c r="E65" s="32"/>
      <c r="F65" s="33"/>
      <c r="G65" s="33">
        <v>1090.82</v>
      </c>
      <c r="H65" s="34">
        <f>SUM(F65*G65/1000)</f>
        <v>0</v>
      </c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</row>
    <row r="66" spans="1:21" ht="38.25">
      <c r="A66" s="166" t="s">
        <v>238</v>
      </c>
      <c r="B66" s="11" t="s">
        <v>94</v>
      </c>
      <c r="C66" s="27" t="s">
        <v>13</v>
      </c>
      <c r="D66" s="11" t="s">
        <v>192</v>
      </c>
      <c r="E66" s="58">
        <v>6</v>
      </c>
      <c r="F66" s="51">
        <f>E66*8/100</f>
        <v>0.48</v>
      </c>
      <c r="G66" s="49">
        <v>1547.28</v>
      </c>
      <c r="H66" s="34">
        <f>SUM(F66*G66/1000)</f>
        <v>0.74269439999999998</v>
      </c>
      <c r="I66" s="35">
        <f>F66/6*G66</f>
        <v>123.7824</v>
      </c>
      <c r="J66" s="35">
        <f>F66/6*G66</f>
        <v>123.7824</v>
      </c>
      <c r="K66" s="35">
        <f>F66/6*G66</f>
        <v>123.7824</v>
      </c>
      <c r="L66" s="35">
        <f>F66/6*G66</f>
        <v>123.7824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f>F66/6*G66</f>
        <v>123.7824</v>
      </c>
      <c r="T66" s="35">
        <f>F66/6*G66</f>
        <v>123.7824</v>
      </c>
      <c r="U66" s="35">
        <f t="shared" ref="U66:U96" si="42">SUM(I66:T66)</f>
        <v>742.69440000000009</v>
      </c>
    </row>
    <row r="67" spans="1:21" hidden="1">
      <c r="A67" s="166"/>
      <c r="B67" s="12" t="s">
        <v>95</v>
      </c>
      <c r="C67" s="27"/>
      <c r="D67" s="11"/>
      <c r="E67" s="32"/>
      <c r="F67" s="33"/>
      <c r="G67" s="33"/>
      <c r="H67" s="34">
        <f t="shared" ref="H67:H71" si="43">SUM(F67*G67/1000)</f>
        <v>0</v>
      </c>
      <c r="I67" s="35"/>
      <c r="J67" s="35"/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f t="shared" si="42"/>
        <v>0</v>
      </c>
    </row>
    <row r="68" spans="1:21" hidden="1">
      <c r="A68" s="166" t="s">
        <v>96</v>
      </c>
      <c r="B68" s="11" t="s">
        <v>97</v>
      </c>
      <c r="C68" s="27" t="s">
        <v>13</v>
      </c>
      <c r="D68" s="11" t="s">
        <v>35</v>
      </c>
      <c r="E68" s="32">
        <v>938</v>
      </c>
      <c r="F68" s="33">
        <f>SUM(E68/100)</f>
        <v>9.3800000000000008</v>
      </c>
      <c r="G68" s="51">
        <v>0</v>
      </c>
      <c r="H68" s="34">
        <f t="shared" si="43"/>
        <v>0</v>
      </c>
      <c r="I68" s="35"/>
      <c r="J68" s="35"/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f t="shared" si="42"/>
        <v>0</v>
      </c>
    </row>
    <row r="69" spans="1:21" hidden="1">
      <c r="A69" s="166"/>
      <c r="B69" s="11" t="s">
        <v>98</v>
      </c>
      <c r="C69" s="27" t="s">
        <v>99</v>
      </c>
      <c r="D69" s="11" t="s">
        <v>100</v>
      </c>
      <c r="E69" s="45"/>
      <c r="F69" s="33"/>
      <c r="G69" s="51">
        <v>0</v>
      </c>
      <c r="H69" s="34">
        <f t="shared" si="43"/>
        <v>0</v>
      </c>
      <c r="I69" s="35"/>
      <c r="J69" s="35"/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f t="shared" si="42"/>
        <v>0</v>
      </c>
    </row>
    <row r="70" spans="1:21" hidden="1">
      <c r="A70" s="166" t="s">
        <v>101</v>
      </c>
      <c r="B70" s="11" t="s">
        <v>102</v>
      </c>
      <c r="C70" s="27" t="s">
        <v>20</v>
      </c>
      <c r="D70" s="11" t="s">
        <v>35</v>
      </c>
      <c r="E70" s="32"/>
      <c r="F70" s="33"/>
      <c r="G70" s="59">
        <v>1863.87</v>
      </c>
      <c r="H70" s="34">
        <f t="shared" si="43"/>
        <v>0</v>
      </c>
      <c r="I70" s="35"/>
      <c r="J70" s="35"/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f t="shared" si="42"/>
        <v>0</v>
      </c>
    </row>
    <row r="71" spans="1:21">
      <c r="A71" s="166" t="s">
        <v>239</v>
      </c>
      <c r="B71" s="11" t="s">
        <v>161</v>
      </c>
      <c r="C71" s="27" t="s">
        <v>162</v>
      </c>
      <c r="D71" s="11" t="s">
        <v>73</v>
      </c>
      <c r="E71" s="32">
        <v>6</v>
      </c>
      <c r="F71" s="33">
        <v>12</v>
      </c>
      <c r="G71" s="60">
        <v>180.78</v>
      </c>
      <c r="H71" s="34">
        <f t="shared" si="43"/>
        <v>2.1693600000000002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f t="shared" si="42"/>
        <v>0</v>
      </c>
    </row>
    <row r="72" spans="1:21" ht="12.75" hidden="1" customHeight="1">
      <c r="A72" s="166" t="s">
        <v>103</v>
      </c>
      <c r="B72" s="11" t="s">
        <v>104</v>
      </c>
      <c r="C72" s="27" t="s">
        <v>105</v>
      </c>
      <c r="D72" s="11" t="s">
        <v>35</v>
      </c>
      <c r="E72" s="32"/>
      <c r="F72" s="33"/>
      <c r="G72" s="59">
        <v>10305.030000000001</v>
      </c>
      <c r="H72" s="34">
        <f t="shared" ref="H72:H93" si="44">SUM(F72*G72/1000)</f>
        <v>0</v>
      </c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>
        <f t="shared" si="42"/>
        <v>0</v>
      </c>
    </row>
    <row r="73" spans="1:21" ht="12.75" hidden="1" customHeight="1">
      <c r="A73" s="166" t="s">
        <v>106</v>
      </c>
      <c r="B73" s="11" t="s">
        <v>107</v>
      </c>
      <c r="C73" s="27" t="s">
        <v>108</v>
      </c>
      <c r="D73" s="11" t="s">
        <v>35</v>
      </c>
      <c r="E73" s="32"/>
      <c r="F73" s="33"/>
      <c r="G73" s="59">
        <v>1854.76</v>
      </c>
      <c r="H73" s="34">
        <f t="shared" si="44"/>
        <v>0</v>
      </c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>
        <f t="shared" si="42"/>
        <v>0</v>
      </c>
    </row>
    <row r="74" spans="1:21" ht="12.75" customHeight="1">
      <c r="A74" s="170"/>
      <c r="B74" s="25" t="s">
        <v>95</v>
      </c>
      <c r="C74" s="61"/>
      <c r="D74" s="24"/>
      <c r="E74" s="62"/>
      <c r="F74" s="63"/>
      <c r="G74" s="64"/>
      <c r="H74" s="6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</row>
    <row r="75" spans="1:21" ht="12.75" customHeight="1">
      <c r="A75" s="170"/>
      <c r="B75" s="24" t="s">
        <v>163</v>
      </c>
      <c r="C75" s="61" t="s">
        <v>99</v>
      </c>
      <c r="D75" s="24"/>
      <c r="E75" s="62">
        <v>232.6</v>
      </c>
      <c r="F75" s="63">
        <f>E75*12</f>
        <v>2791.2</v>
      </c>
      <c r="G75" s="66">
        <v>2.5960000000000001</v>
      </c>
      <c r="H75" s="65">
        <f>G75*F75</f>
        <v>7245.9551999999994</v>
      </c>
      <c r="I75" s="35">
        <f>F75/12*G75</f>
        <v>603.82960000000003</v>
      </c>
      <c r="J75" s="35">
        <f>F75/12*G75</f>
        <v>603.82960000000003</v>
      </c>
      <c r="K75" s="35">
        <f>F75/12*G75</f>
        <v>603.82960000000003</v>
      </c>
      <c r="L75" s="35">
        <f>F75/12*G75</f>
        <v>603.82960000000003</v>
      </c>
      <c r="M75" s="35">
        <f>F75/12*G75</f>
        <v>603.82960000000003</v>
      </c>
      <c r="N75" s="35">
        <f>F75/12*G75</f>
        <v>603.82960000000003</v>
      </c>
      <c r="O75" s="35">
        <f>F75/12*G75</f>
        <v>603.82960000000003</v>
      </c>
      <c r="P75" s="35">
        <f>F75/12*G75</f>
        <v>603.82960000000003</v>
      </c>
      <c r="Q75" s="35">
        <f>F75/12*G75</f>
        <v>603.82960000000003</v>
      </c>
      <c r="R75" s="35">
        <f>F75/12*G75</f>
        <v>603.82960000000003</v>
      </c>
      <c r="S75" s="35">
        <f>F75/12*G75</f>
        <v>603.82960000000003</v>
      </c>
      <c r="T75" s="35">
        <f>F75/12*G75</f>
        <v>603.82960000000003</v>
      </c>
      <c r="U75" s="35">
        <f t="shared" si="42"/>
        <v>7245.9552000000003</v>
      </c>
    </row>
    <row r="76" spans="1:21">
      <c r="A76" s="170"/>
      <c r="B76" s="15" t="s">
        <v>109</v>
      </c>
      <c r="C76" s="61"/>
      <c r="D76" s="24"/>
      <c r="E76" s="62"/>
      <c r="F76" s="63"/>
      <c r="G76" s="63"/>
      <c r="H76" s="65" t="s">
        <v>53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</row>
    <row r="77" spans="1:21" ht="12.75" customHeight="1">
      <c r="A77" s="67" t="s">
        <v>240</v>
      </c>
      <c r="B77" s="16" t="s">
        <v>110</v>
      </c>
      <c r="C77" s="67" t="s">
        <v>84</v>
      </c>
      <c r="D77" s="9" t="s">
        <v>49</v>
      </c>
      <c r="E77" s="68">
        <v>15</v>
      </c>
      <c r="F77" s="33">
        <v>15</v>
      </c>
      <c r="G77" s="51">
        <v>209.41</v>
      </c>
      <c r="H77" s="148">
        <f t="shared" si="44"/>
        <v>3.1411500000000001</v>
      </c>
      <c r="I77" s="35">
        <f>G77*3</f>
        <v>628.23</v>
      </c>
      <c r="J77" s="50">
        <v>0</v>
      </c>
      <c r="K77" s="35">
        <f>G77</f>
        <v>209.41</v>
      </c>
      <c r="L77" s="35">
        <v>0</v>
      </c>
      <c r="M77" s="35">
        <f>G77</f>
        <v>209.41</v>
      </c>
      <c r="N77" s="35">
        <f>G77*6</f>
        <v>1256.46</v>
      </c>
      <c r="O77" s="35">
        <f>G77*9</f>
        <v>1884.69</v>
      </c>
      <c r="P77" s="35">
        <v>0</v>
      </c>
      <c r="Q77" s="35">
        <f>G77*8</f>
        <v>1675.28</v>
      </c>
      <c r="R77" s="35">
        <f>G77*6</f>
        <v>1256.46</v>
      </c>
      <c r="S77" s="35">
        <f>G77</f>
        <v>209.41</v>
      </c>
      <c r="T77" s="35">
        <v>0</v>
      </c>
      <c r="U77" s="35">
        <f t="shared" si="42"/>
        <v>7329.35</v>
      </c>
    </row>
    <row r="78" spans="1:21" ht="12.75" customHeight="1">
      <c r="A78" s="67" t="s">
        <v>241</v>
      </c>
      <c r="B78" s="16" t="s">
        <v>111</v>
      </c>
      <c r="C78" s="67" t="s">
        <v>84</v>
      </c>
      <c r="D78" s="9" t="s">
        <v>49</v>
      </c>
      <c r="E78" s="68">
        <v>5</v>
      </c>
      <c r="F78" s="33">
        <v>5</v>
      </c>
      <c r="G78" s="51">
        <v>71.790000000000006</v>
      </c>
      <c r="H78" s="148">
        <f t="shared" si="44"/>
        <v>0.35895000000000005</v>
      </c>
      <c r="I78" s="35">
        <v>0</v>
      </c>
      <c r="J78" s="50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f t="shared" si="42"/>
        <v>0</v>
      </c>
    </row>
    <row r="79" spans="1:21" s="2" customFormat="1">
      <c r="A79" s="69" t="s">
        <v>242</v>
      </c>
      <c r="B79" s="16" t="s">
        <v>112</v>
      </c>
      <c r="C79" s="69" t="s">
        <v>113</v>
      </c>
      <c r="D79" s="9" t="s">
        <v>35</v>
      </c>
      <c r="E79" s="32">
        <v>18281</v>
      </c>
      <c r="F79" s="52">
        <f>SUM(E79/100)</f>
        <v>182.81</v>
      </c>
      <c r="G79" s="51">
        <v>199.77</v>
      </c>
      <c r="H79" s="148">
        <f t="shared" si="44"/>
        <v>36.519953700000002</v>
      </c>
      <c r="I79" s="50">
        <v>0</v>
      </c>
      <c r="J79" s="50">
        <v>0</v>
      </c>
      <c r="K79" s="35">
        <v>0</v>
      </c>
      <c r="L79" s="35">
        <v>0</v>
      </c>
      <c r="M79" s="35">
        <f>F79*G79</f>
        <v>36519.953700000005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f t="shared" si="42"/>
        <v>36519.953700000005</v>
      </c>
    </row>
    <row r="80" spans="1:21" ht="12.75" customHeight="1">
      <c r="A80" s="67" t="s">
        <v>243</v>
      </c>
      <c r="B80" s="16" t="s">
        <v>114</v>
      </c>
      <c r="C80" s="67" t="s">
        <v>115</v>
      </c>
      <c r="D80" s="9"/>
      <c r="E80" s="32">
        <v>18281</v>
      </c>
      <c r="F80" s="51">
        <f>SUM(E80/1000)</f>
        <v>18.280999999999999</v>
      </c>
      <c r="G80" s="51">
        <v>155.57</v>
      </c>
      <c r="H80" s="148">
        <f t="shared" si="44"/>
        <v>2.8439751699999998</v>
      </c>
      <c r="I80" s="35">
        <v>0</v>
      </c>
      <c r="J80" s="35">
        <v>0</v>
      </c>
      <c r="K80" s="35">
        <v>0</v>
      </c>
      <c r="L80" s="35">
        <v>0</v>
      </c>
      <c r="M80" s="35">
        <f>F80*G80</f>
        <v>2843.9751699999997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f t="shared" si="42"/>
        <v>2843.9751699999997</v>
      </c>
    </row>
    <row r="81" spans="1:21">
      <c r="A81" s="67" t="s">
        <v>244</v>
      </c>
      <c r="B81" s="16" t="s">
        <v>116</v>
      </c>
      <c r="C81" s="67" t="s">
        <v>117</v>
      </c>
      <c r="D81" s="9" t="s">
        <v>35</v>
      </c>
      <c r="E81" s="32">
        <v>2730</v>
      </c>
      <c r="F81" s="51">
        <f>SUM(E81/100)</f>
        <v>27.3</v>
      </c>
      <c r="G81" s="51">
        <v>1953.52</v>
      </c>
      <c r="H81" s="148">
        <f t="shared" si="44"/>
        <v>53.331095999999995</v>
      </c>
      <c r="I81" s="35">
        <v>0</v>
      </c>
      <c r="J81" s="35">
        <v>0</v>
      </c>
      <c r="K81" s="35">
        <v>0</v>
      </c>
      <c r="L81" s="35">
        <v>0</v>
      </c>
      <c r="M81" s="35">
        <f>F81*G81</f>
        <v>53331.095999999998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f t="shared" si="42"/>
        <v>53331.095999999998</v>
      </c>
    </row>
    <row r="82" spans="1:21">
      <c r="A82" s="67"/>
      <c r="B82" s="17" t="s">
        <v>154</v>
      </c>
      <c r="C82" s="67" t="s">
        <v>40</v>
      </c>
      <c r="D82" s="9"/>
      <c r="E82" s="32">
        <v>16.399999999999999</v>
      </c>
      <c r="F82" s="51">
        <f>SUM(E82)</f>
        <v>16.399999999999999</v>
      </c>
      <c r="G82" s="51">
        <v>40.270000000000003</v>
      </c>
      <c r="H82" s="148">
        <f t="shared" si="44"/>
        <v>0.66042800000000002</v>
      </c>
      <c r="I82" s="35">
        <v>0</v>
      </c>
      <c r="J82" s="35">
        <v>0</v>
      </c>
      <c r="K82" s="35">
        <v>0</v>
      </c>
      <c r="L82" s="35">
        <v>0</v>
      </c>
      <c r="M82" s="35">
        <f>F82*G82</f>
        <v>660.428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f t="shared" si="42"/>
        <v>660.428</v>
      </c>
    </row>
    <row r="83" spans="1:21" ht="12.75" customHeight="1">
      <c r="A83" s="176"/>
      <c r="B83" s="17" t="s">
        <v>155</v>
      </c>
      <c r="C83" s="67" t="s">
        <v>40</v>
      </c>
      <c r="D83" s="9"/>
      <c r="E83" s="32">
        <v>16.399999999999999</v>
      </c>
      <c r="F83" s="51">
        <f>SUM(E83)</f>
        <v>16.399999999999999</v>
      </c>
      <c r="G83" s="51">
        <v>37.71</v>
      </c>
      <c r="H83" s="148">
        <f t="shared" si="44"/>
        <v>0.61844399999999999</v>
      </c>
      <c r="I83" s="35">
        <v>0</v>
      </c>
      <c r="J83" s="35">
        <v>0</v>
      </c>
      <c r="K83" s="35">
        <v>0</v>
      </c>
      <c r="L83" s="35">
        <v>0</v>
      </c>
      <c r="M83" s="35">
        <f>F83*G83</f>
        <v>618.44399999999996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f t="shared" si="42"/>
        <v>618.44399999999996</v>
      </c>
    </row>
    <row r="84" spans="1:21">
      <c r="A84" s="67" t="s">
        <v>245</v>
      </c>
      <c r="B84" s="9" t="s">
        <v>118</v>
      </c>
      <c r="C84" s="67" t="s">
        <v>119</v>
      </c>
      <c r="D84" s="9" t="s">
        <v>35</v>
      </c>
      <c r="E84" s="68">
        <v>7</v>
      </c>
      <c r="F84" s="33">
        <f>SUM(E84)</f>
        <v>7</v>
      </c>
      <c r="G84" s="51">
        <v>46.97</v>
      </c>
      <c r="H84" s="148">
        <f t="shared" si="44"/>
        <v>0.32878999999999997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f>G84*7</f>
        <v>328.78999999999996</v>
      </c>
      <c r="R84" s="35">
        <v>0</v>
      </c>
      <c r="S84" s="35">
        <v>0</v>
      </c>
      <c r="T84" s="35">
        <v>0</v>
      </c>
      <c r="U84" s="35">
        <f t="shared" si="42"/>
        <v>328.78999999999996</v>
      </c>
    </row>
    <row r="85" spans="1:21">
      <c r="A85" s="67"/>
      <c r="B85" s="18" t="s">
        <v>120</v>
      </c>
      <c r="C85" s="67"/>
      <c r="D85" s="9"/>
      <c r="E85" s="68"/>
      <c r="F85" s="51"/>
      <c r="G85" s="51"/>
      <c r="H85" s="148" t="s">
        <v>53</v>
      </c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</row>
    <row r="86" spans="1:21" hidden="1">
      <c r="A86" s="67" t="s">
        <v>121</v>
      </c>
      <c r="B86" s="9" t="s">
        <v>122</v>
      </c>
      <c r="C86" s="67" t="s">
        <v>84</v>
      </c>
      <c r="D86" s="9"/>
      <c r="E86" s="68"/>
      <c r="F86" s="51"/>
      <c r="G86" s="51" t="s">
        <v>53</v>
      </c>
      <c r="H86" s="148">
        <v>0</v>
      </c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>
        <f t="shared" si="42"/>
        <v>0</v>
      </c>
    </row>
    <row r="87" spans="1:21" hidden="1">
      <c r="A87" s="67" t="s">
        <v>123</v>
      </c>
      <c r="B87" s="9" t="s">
        <v>124</v>
      </c>
      <c r="C87" s="67" t="s">
        <v>84</v>
      </c>
      <c r="D87" s="9"/>
      <c r="E87" s="68"/>
      <c r="F87" s="51"/>
      <c r="G87" s="51">
        <v>65.72</v>
      </c>
      <c r="H87" s="148">
        <f t="shared" si="44"/>
        <v>0</v>
      </c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>
        <f t="shared" si="42"/>
        <v>0</v>
      </c>
    </row>
    <row r="88" spans="1:21" hidden="1">
      <c r="A88" s="67" t="s">
        <v>125</v>
      </c>
      <c r="B88" s="9" t="s">
        <v>126</v>
      </c>
      <c r="C88" s="67" t="s">
        <v>84</v>
      </c>
      <c r="D88" s="9"/>
      <c r="E88" s="68"/>
      <c r="F88" s="51"/>
      <c r="G88" s="51">
        <v>82.33</v>
      </c>
      <c r="H88" s="148">
        <f t="shared" si="44"/>
        <v>0</v>
      </c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>
        <f t="shared" si="42"/>
        <v>0</v>
      </c>
    </row>
    <row r="89" spans="1:21">
      <c r="A89" s="67" t="s">
        <v>246</v>
      </c>
      <c r="B89" s="9" t="s">
        <v>127</v>
      </c>
      <c r="C89" s="67" t="s">
        <v>37</v>
      </c>
      <c r="D89" s="9"/>
      <c r="E89" s="68">
        <v>1</v>
      </c>
      <c r="F89" s="33">
        <f>SUM(E89)</f>
        <v>1</v>
      </c>
      <c r="G89" s="51">
        <v>337.58</v>
      </c>
      <c r="H89" s="148">
        <f t="shared" si="44"/>
        <v>0.33757999999999999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f t="shared" si="42"/>
        <v>0</v>
      </c>
    </row>
    <row r="90" spans="1:21" hidden="1">
      <c r="A90" s="67" t="s">
        <v>128</v>
      </c>
      <c r="B90" s="9" t="s">
        <v>129</v>
      </c>
      <c r="C90" s="67" t="s">
        <v>130</v>
      </c>
      <c r="D90" s="9"/>
      <c r="E90" s="68"/>
      <c r="F90" s="51"/>
      <c r="G90" s="51">
        <v>31.54</v>
      </c>
      <c r="H90" s="148">
        <f t="shared" si="44"/>
        <v>0</v>
      </c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>
        <f t="shared" si="42"/>
        <v>0</v>
      </c>
    </row>
    <row r="91" spans="1:21">
      <c r="A91" s="67" t="s">
        <v>247</v>
      </c>
      <c r="B91" s="9" t="s">
        <v>156</v>
      </c>
      <c r="C91" s="67" t="s">
        <v>37</v>
      </c>
      <c r="D91" s="9"/>
      <c r="E91" s="68">
        <v>2</v>
      </c>
      <c r="F91" s="51">
        <v>2</v>
      </c>
      <c r="G91" s="51">
        <v>803.19</v>
      </c>
      <c r="H91" s="148">
        <f>F91*G91/1000</f>
        <v>1.6063800000000001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f t="shared" si="42"/>
        <v>0</v>
      </c>
    </row>
    <row r="92" spans="1:21">
      <c r="A92" s="67"/>
      <c r="B92" s="70" t="s">
        <v>131</v>
      </c>
      <c r="C92" s="67"/>
      <c r="D92" s="9"/>
      <c r="E92" s="68"/>
      <c r="F92" s="51"/>
      <c r="G92" s="51" t="s">
        <v>53</v>
      </c>
      <c r="H92" s="148" t="s">
        <v>53</v>
      </c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</row>
    <row r="93" spans="1:21" s="2" customFormat="1">
      <c r="A93" s="69" t="s">
        <v>132</v>
      </c>
      <c r="B93" s="71" t="s">
        <v>133</v>
      </c>
      <c r="C93" s="69" t="s">
        <v>117</v>
      </c>
      <c r="D93" s="16"/>
      <c r="E93" s="72"/>
      <c r="F93" s="52">
        <v>1.35</v>
      </c>
      <c r="G93" s="52">
        <v>2494</v>
      </c>
      <c r="H93" s="148">
        <f t="shared" si="44"/>
        <v>3.3669000000000002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35">
        <f t="shared" si="42"/>
        <v>0</v>
      </c>
    </row>
    <row r="94" spans="1:21" s="21" customFormat="1">
      <c r="A94" s="73"/>
      <c r="B94" s="20" t="s">
        <v>27</v>
      </c>
      <c r="C94" s="74"/>
      <c r="D94" s="75"/>
      <c r="E94" s="76"/>
      <c r="F94" s="57"/>
      <c r="G94" s="57"/>
      <c r="H94" s="77">
        <f>SUM(H65:H93)</f>
        <v>7351.9809012699989</v>
      </c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>
        <f>SUM(U65:U93)</f>
        <v>109620.68647</v>
      </c>
    </row>
    <row r="95" spans="1:21">
      <c r="A95" s="171" t="s">
        <v>182</v>
      </c>
      <c r="B95" s="11" t="s">
        <v>183</v>
      </c>
      <c r="C95" s="79"/>
      <c r="D95" s="80"/>
      <c r="E95" s="153"/>
      <c r="F95" s="81">
        <v>1</v>
      </c>
      <c r="G95" s="82">
        <v>17359.8</v>
      </c>
      <c r="H95" s="148">
        <f>G95*F95/1000</f>
        <v>17.3598</v>
      </c>
      <c r="I95" s="35">
        <v>0</v>
      </c>
      <c r="J95" s="35">
        <v>0</v>
      </c>
      <c r="K95" s="35">
        <v>0</v>
      </c>
      <c r="L95" s="35">
        <v>0</v>
      </c>
      <c r="M95" s="36">
        <f>G95</f>
        <v>17359.8</v>
      </c>
      <c r="N95" s="36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f t="shared" si="42"/>
        <v>17359.8</v>
      </c>
    </row>
    <row r="96" spans="1:21" ht="12.75" customHeight="1">
      <c r="A96" s="172"/>
      <c r="B96" s="78" t="s">
        <v>134</v>
      </c>
      <c r="C96" s="67" t="s">
        <v>135</v>
      </c>
      <c r="D96" s="83"/>
      <c r="E96" s="51">
        <v>4224.3999999999996</v>
      </c>
      <c r="F96" s="51">
        <f>SUM(E96*12)</f>
        <v>50692.799999999996</v>
      </c>
      <c r="G96" s="84">
        <v>2.1</v>
      </c>
      <c r="H96" s="148">
        <f>SUM(F96*G96/1000)</f>
        <v>106.45487999999999</v>
      </c>
      <c r="I96" s="35">
        <f>F96/12*G96</f>
        <v>8871.24</v>
      </c>
      <c r="J96" s="35">
        <f>F96/12*G96</f>
        <v>8871.24</v>
      </c>
      <c r="K96" s="35">
        <f>F96/12*G96</f>
        <v>8871.24</v>
      </c>
      <c r="L96" s="35">
        <f>F96/12*G96</f>
        <v>8871.24</v>
      </c>
      <c r="M96" s="36">
        <f>F96/12*G96</f>
        <v>8871.24</v>
      </c>
      <c r="N96" s="36">
        <f>F96/12*G96</f>
        <v>8871.24</v>
      </c>
      <c r="O96" s="35">
        <f>F96/12*G96</f>
        <v>8871.24</v>
      </c>
      <c r="P96" s="35">
        <f>F96/12*G96</f>
        <v>8871.24</v>
      </c>
      <c r="Q96" s="35">
        <f>F96/12*G96</f>
        <v>8871.24</v>
      </c>
      <c r="R96" s="35">
        <f>F96/12*G96</f>
        <v>8871.24</v>
      </c>
      <c r="S96" s="35">
        <f>F96/12*G96</f>
        <v>8871.24</v>
      </c>
      <c r="T96" s="35">
        <f>F96/12*G96</f>
        <v>8871.24</v>
      </c>
      <c r="U96" s="35">
        <f t="shared" si="42"/>
        <v>106454.88000000002</v>
      </c>
    </row>
    <row r="97" spans="1:26" hidden="1">
      <c r="A97" s="67" t="s">
        <v>136</v>
      </c>
      <c r="B97" s="9" t="s">
        <v>137</v>
      </c>
      <c r="C97" s="61" t="s">
        <v>13</v>
      </c>
      <c r="D97" s="9"/>
      <c r="E97" s="68">
        <v>30</v>
      </c>
      <c r="F97" s="51">
        <f>E97/100</f>
        <v>0.3</v>
      </c>
      <c r="G97" s="51">
        <v>0</v>
      </c>
      <c r="H97" s="148">
        <f>F97*G97/1000</f>
        <v>0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>
        <f t="shared" ref="T97:T99" si="45">F97/12*G97</f>
        <v>0</v>
      </c>
      <c r="U97" s="35"/>
    </row>
    <row r="98" spans="1:26" s="19" customFormat="1">
      <c r="A98" s="85"/>
      <c r="B98" s="20" t="s">
        <v>27</v>
      </c>
      <c r="C98" s="86"/>
      <c r="D98" s="87"/>
      <c r="E98" s="88"/>
      <c r="F98" s="42"/>
      <c r="G98" s="89"/>
      <c r="H98" s="43">
        <f>SUM(H95:H97)</f>
        <v>123.81467999999998</v>
      </c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>
        <f>SUM(U95:U97)</f>
        <v>123814.68000000002</v>
      </c>
    </row>
    <row r="99" spans="1:26" ht="25.5" customHeight="1">
      <c r="A99" s="90"/>
      <c r="B99" s="9" t="s">
        <v>138</v>
      </c>
      <c r="C99" s="67"/>
      <c r="D99" s="91"/>
      <c r="E99" s="32">
        <f>E96</f>
        <v>4224.3999999999996</v>
      </c>
      <c r="F99" s="51">
        <f>E99*12</f>
        <v>50692.799999999996</v>
      </c>
      <c r="G99" s="51">
        <v>1.63</v>
      </c>
      <c r="H99" s="148">
        <f>F99*G99/1000</f>
        <v>82.629263999999978</v>
      </c>
      <c r="I99" s="35">
        <f>F99/12*G99</f>
        <v>6885.771999999999</v>
      </c>
      <c r="J99" s="35">
        <f>F99/12*G99</f>
        <v>6885.771999999999</v>
      </c>
      <c r="K99" s="35">
        <f>F99/12*G99</f>
        <v>6885.771999999999</v>
      </c>
      <c r="L99" s="35">
        <f>F99/12*G99</f>
        <v>6885.771999999999</v>
      </c>
      <c r="M99" s="35">
        <f>F99/12*G99</f>
        <v>6885.771999999999</v>
      </c>
      <c r="N99" s="35">
        <f>F99/12*G99</f>
        <v>6885.771999999999</v>
      </c>
      <c r="O99" s="35">
        <f>F99/12*G99</f>
        <v>6885.771999999999</v>
      </c>
      <c r="P99" s="35">
        <f>F99/12*G99</f>
        <v>6885.771999999999</v>
      </c>
      <c r="Q99" s="35">
        <f>F99/12*G99</f>
        <v>6885.771999999999</v>
      </c>
      <c r="R99" s="35">
        <f>F99/12*G99</f>
        <v>6885.771999999999</v>
      </c>
      <c r="S99" s="35">
        <f>F99/12*G99</f>
        <v>6885.771999999999</v>
      </c>
      <c r="T99" s="35">
        <f t="shared" si="45"/>
        <v>6885.771999999999</v>
      </c>
      <c r="U99" s="35">
        <f t="shared" ref="U99" si="46">SUM(I99:T99)</f>
        <v>82629.263999999981</v>
      </c>
    </row>
    <row r="100" spans="1:26" s="19" customFormat="1">
      <c r="A100" s="85"/>
      <c r="B100" s="92" t="s">
        <v>139</v>
      </c>
      <c r="C100" s="93"/>
      <c r="D100" s="92"/>
      <c r="E100" s="42"/>
      <c r="F100" s="42"/>
      <c r="G100" s="42"/>
      <c r="H100" s="77">
        <f>H99</f>
        <v>82.629263999999978</v>
      </c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149">
        <f>U99</f>
        <v>82629.263999999981</v>
      </c>
    </row>
    <row r="101" spans="1:26" s="19" customFormat="1">
      <c r="A101" s="85"/>
      <c r="B101" s="92" t="s">
        <v>140</v>
      </c>
      <c r="C101" s="94"/>
      <c r="D101" s="95"/>
      <c r="E101" s="96"/>
      <c r="F101" s="96"/>
      <c r="G101" s="96"/>
      <c r="H101" s="77">
        <f>SUM(H100+H98+H94+H62+H50+H35+H20)</f>
        <v>8245.8323691789319</v>
      </c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149">
        <f>SUM(U100+U98+U94+U62+U50+U35+U20)*1.054</f>
        <v>1045551.5877221957</v>
      </c>
      <c r="W101" s="194"/>
      <c r="X101" s="194"/>
      <c r="Y101" s="194"/>
      <c r="Z101" s="194"/>
    </row>
    <row r="102" spans="1:26" s="146" customFormat="1" ht="51" customHeight="1">
      <c r="A102" s="90"/>
      <c r="B102" s="70"/>
      <c r="C102" s="67"/>
      <c r="D102" s="91"/>
      <c r="E102" s="51"/>
      <c r="F102" s="51"/>
      <c r="G102" s="51"/>
      <c r="H102" s="145"/>
      <c r="I102" s="51"/>
      <c r="J102" s="51"/>
      <c r="K102" s="51"/>
      <c r="L102" s="51"/>
      <c r="M102" s="51"/>
      <c r="N102" s="51"/>
      <c r="O102" s="51"/>
      <c r="P102" s="51"/>
      <c r="Q102" s="51"/>
      <c r="R102" s="157"/>
      <c r="S102" s="157"/>
      <c r="T102" s="157"/>
      <c r="U102" s="158" t="s">
        <v>269</v>
      </c>
    </row>
    <row r="103" spans="1:26">
      <c r="A103" s="90"/>
      <c r="B103" s="91" t="s">
        <v>141</v>
      </c>
      <c r="C103" s="67"/>
      <c r="D103" s="91"/>
      <c r="E103" s="51"/>
      <c r="F103" s="51"/>
      <c r="G103" s="51" t="s">
        <v>142</v>
      </c>
      <c r="H103" s="97">
        <f>E99</f>
        <v>4224.3999999999996</v>
      </c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6" s="19" customFormat="1">
      <c r="A104" s="85"/>
      <c r="B104" s="95" t="s">
        <v>143</v>
      </c>
      <c r="C104" s="94"/>
      <c r="D104" s="95"/>
      <c r="E104" s="96"/>
      <c r="F104" s="96"/>
      <c r="G104" s="96"/>
      <c r="H104" s="98">
        <f>SUM(H101/H103/12*1000)</f>
        <v>162.66279174121243</v>
      </c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150"/>
    </row>
    <row r="105" spans="1:26">
      <c r="A105" s="90"/>
      <c r="B105" s="91"/>
      <c r="C105" s="67"/>
      <c r="D105" s="91"/>
      <c r="E105" s="51"/>
      <c r="F105" s="51"/>
      <c r="G105" s="51"/>
      <c r="H105" s="99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151"/>
    </row>
    <row r="106" spans="1:26">
      <c r="A106" s="90"/>
      <c r="B106" s="70" t="s">
        <v>144</v>
      </c>
      <c r="C106" s="67"/>
      <c r="D106" s="91"/>
      <c r="E106" s="51"/>
      <c r="F106" s="51"/>
      <c r="G106" s="51"/>
      <c r="H106" s="5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6" ht="25.5">
      <c r="A107" s="162" t="s">
        <v>255</v>
      </c>
      <c r="B107" s="161" t="s">
        <v>195</v>
      </c>
      <c r="C107" s="160" t="s">
        <v>196</v>
      </c>
      <c r="D107" s="91"/>
      <c r="E107" s="51"/>
      <c r="F107" s="51">
        <v>13</v>
      </c>
      <c r="G107" s="51">
        <v>589.84</v>
      </c>
      <c r="H107" s="148">
        <f t="shared" ref="H107:H111" si="47">G107*F107/1000</f>
        <v>7.6679200000000005</v>
      </c>
      <c r="I107" s="35">
        <f>G107*4</f>
        <v>2359.36</v>
      </c>
      <c r="J107" s="35">
        <v>0</v>
      </c>
      <c r="K107" s="35">
        <f>G107*2</f>
        <v>1179.68</v>
      </c>
      <c r="L107" s="35">
        <v>0</v>
      </c>
      <c r="M107" s="35">
        <v>0</v>
      </c>
      <c r="N107" s="35">
        <f>G107*2</f>
        <v>1179.68</v>
      </c>
      <c r="O107" s="35">
        <f>G107</f>
        <v>589.84</v>
      </c>
      <c r="P107" s="35">
        <v>0</v>
      </c>
      <c r="Q107" s="35">
        <f>G107*2</f>
        <v>1179.68</v>
      </c>
      <c r="R107" s="35">
        <f>G107*2</f>
        <v>1179.68</v>
      </c>
      <c r="S107" s="35">
        <v>0</v>
      </c>
      <c r="T107" s="35">
        <v>0</v>
      </c>
      <c r="U107" s="35">
        <f t="shared" ref="U107:U156" si="48">SUM(I107:T107)</f>
        <v>7667.920000000001</v>
      </c>
    </row>
    <row r="108" spans="1:26">
      <c r="A108" s="162" t="s">
        <v>270</v>
      </c>
      <c r="B108" s="161" t="s">
        <v>271</v>
      </c>
      <c r="C108" s="160" t="s">
        <v>196</v>
      </c>
      <c r="D108" s="91"/>
      <c r="E108" s="51"/>
      <c r="F108" s="51">
        <v>5</v>
      </c>
      <c r="G108" s="51">
        <v>721.28</v>
      </c>
      <c r="H108" s="148">
        <f t="shared" ref="H108" si="49">G108*F108/1000</f>
        <v>3.6063999999999998</v>
      </c>
      <c r="I108" s="35">
        <f>G108*4</f>
        <v>2885.12</v>
      </c>
      <c r="J108" s="35">
        <v>0</v>
      </c>
      <c r="K108" s="35">
        <f>G108</f>
        <v>721.28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f t="shared" si="48"/>
        <v>3606.3999999999996</v>
      </c>
    </row>
    <row r="109" spans="1:26">
      <c r="A109" s="160" t="s">
        <v>256</v>
      </c>
      <c r="B109" s="161" t="s">
        <v>272</v>
      </c>
      <c r="C109" s="160" t="s">
        <v>196</v>
      </c>
      <c r="D109" s="91"/>
      <c r="E109" s="51"/>
      <c r="F109" s="51">
        <v>1</v>
      </c>
      <c r="G109" s="51">
        <v>187.02</v>
      </c>
      <c r="H109" s="148">
        <f t="shared" si="47"/>
        <v>0.18702000000000002</v>
      </c>
      <c r="I109" s="35">
        <f>G109</f>
        <v>187.02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f t="shared" si="48"/>
        <v>187.02</v>
      </c>
    </row>
    <row r="110" spans="1:26" ht="12.75" customHeight="1">
      <c r="A110" s="174" t="s">
        <v>297</v>
      </c>
      <c r="B110" s="175" t="s">
        <v>296</v>
      </c>
      <c r="C110" s="174" t="s">
        <v>210</v>
      </c>
      <c r="D110" s="91"/>
      <c r="E110" s="51"/>
      <c r="F110" s="51">
        <f>(3*8+5+10+10+10+10+20+20+5+10+20+3+15+10+10+15+20+10+10+5+10+15+10+15+15+15+10+10+20+10)/3</f>
        <v>124</v>
      </c>
      <c r="G110" s="51">
        <v>1120.8900000000001</v>
      </c>
      <c r="H110" s="148">
        <f>G110*F110/1000</f>
        <v>138.99036000000001</v>
      </c>
      <c r="I110" s="35">
        <f>G110*((3+3+3)/3)</f>
        <v>3362.67</v>
      </c>
      <c r="J110" s="35">
        <f>G110*5</f>
        <v>5604.4500000000007</v>
      </c>
      <c r="K110" s="35">
        <f>G110*(5/3)</f>
        <v>1868.1500000000003</v>
      </c>
      <c r="L110" s="35">
        <f>G110*((10+10)/3)</f>
        <v>7472.6000000000013</v>
      </c>
      <c r="M110" s="35">
        <f>G110*((10)/3)</f>
        <v>3736.3000000000006</v>
      </c>
      <c r="N110" s="35">
        <v>0</v>
      </c>
      <c r="O110" s="35">
        <v>0</v>
      </c>
      <c r="P110" s="35">
        <f>G110*((10+20+20+5+10+20)/3)</f>
        <v>31758.550000000003</v>
      </c>
      <c r="Q110" s="35">
        <f>G110</f>
        <v>1120.8900000000001</v>
      </c>
      <c r="R110" s="35">
        <f>G110*((15+10+10+15+20+10+10+5+10)/3)</f>
        <v>39231.15</v>
      </c>
      <c r="S110" s="35">
        <f>G110*((15+10+15+15+15+10+10)/3)</f>
        <v>33626.700000000004</v>
      </c>
      <c r="T110" s="35">
        <f>G110*((20+10)/3)</f>
        <v>11208.900000000001</v>
      </c>
      <c r="U110" s="35">
        <f>SUM(I110:T110)</f>
        <v>138990.36000000002</v>
      </c>
    </row>
    <row r="111" spans="1:26" ht="25.5" customHeight="1">
      <c r="A111" s="144" t="s">
        <v>274</v>
      </c>
      <c r="B111" s="23" t="s">
        <v>291</v>
      </c>
      <c r="C111" s="144" t="s">
        <v>275</v>
      </c>
      <c r="D111" s="159"/>
      <c r="E111" s="51"/>
      <c r="F111" s="51">
        <v>6</v>
      </c>
      <c r="G111" s="51">
        <v>1046.06</v>
      </c>
      <c r="H111" s="148">
        <f t="shared" si="47"/>
        <v>6.2763599999999995</v>
      </c>
      <c r="I111" s="35">
        <f>G111*2</f>
        <v>2092.12</v>
      </c>
      <c r="J111" s="35">
        <f>G111</f>
        <v>1046.06</v>
      </c>
      <c r="K111" s="35">
        <f>G111</f>
        <v>1046.06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f>G111*2</f>
        <v>2092.12</v>
      </c>
      <c r="R111" s="35">
        <v>0</v>
      </c>
      <c r="S111" s="35">
        <v>0</v>
      </c>
      <c r="T111" s="35">
        <v>0</v>
      </c>
      <c r="U111" s="35">
        <f t="shared" si="48"/>
        <v>6276.36</v>
      </c>
    </row>
    <row r="112" spans="1:26" ht="12.75" customHeight="1">
      <c r="A112" s="144" t="s">
        <v>266</v>
      </c>
      <c r="B112" s="23" t="s">
        <v>276</v>
      </c>
      <c r="C112" s="144" t="s">
        <v>84</v>
      </c>
      <c r="D112" s="159"/>
      <c r="E112" s="51"/>
      <c r="F112" s="51">
        <v>6</v>
      </c>
      <c r="G112" s="51">
        <v>108</v>
      </c>
      <c r="H112" s="148">
        <f>G112*F112/1000</f>
        <v>0.64800000000000002</v>
      </c>
      <c r="I112" s="35">
        <f>G112</f>
        <v>108</v>
      </c>
      <c r="J112" s="35">
        <v>0</v>
      </c>
      <c r="K112" s="35">
        <f>G112*(1+1)</f>
        <v>216</v>
      </c>
      <c r="L112" s="35">
        <v>0</v>
      </c>
      <c r="M112" s="35">
        <v>0</v>
      </c>
      <c r="N112" s="35">
        <v>0</v>
      </c>
      <c r="O112" s="35">
        <f>G112*2</f>
        <v>216</v>
      </c>
      <c r="P112" s="35">
        <v>0</v>
      </c>
      <c r="Q112" s="35">
        <f>G112</f>
        <v>108</v>
      </c>
      <c r="R112" s="35">
        <v>0</v>
      </c>
      <c r="S112" s="35">
        <v>0</v>
      </c>
      <c r="T112" s="35">
        <v>0</v>
      </c>
      <c r="U112" s="35">
        <f t="shared" si="48"/>
        <v>648</v>
      </c>
    </row>
    <row r="113" spans="1:21" ht="12.75" customHeight="1">
      <c r="A113" s="144" t="s">
        <v>266</v>
      </c>
      <c r="B113" s="178" t="s">
        <v>277</v>
      </c>
      <c r="C113" s="144" t="s">
        <v>84</v>
      </c>
      <c r="D113" s="159"/>
      <c r="E113" s="51"/>
      <c r="F113" s="51">
        <v>3</v>
      </c>
      <c r="G113" s="51">
        <v>118</v>
      </c>
      <c r="H113" s="148">
        <f>G113*F113/1000</f>
        <v>0.35399999999999998</v>
      </c>
      <c r="I113" s="35">
        <f>G113</f>
        <v>118</v>
      </c>
      <c r="J113" s="35">
        <f>G113</f>
        <v>118</v>
      </c>
      <c r="K113" s="35">
        <f>G113</f>
        <v>118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f t="shared" si="48"/>
        <v>354</v>
      </c>
    </row>
    <row r="114" spans="1:21" ht="12.75" customHeight="1">
      <c r="A114" s="144" t="s">
        <v>266</v>
      </c>
      <c r="B114" s="175" t="s">
        <v>317</v>
      </c>
      <c r="C114" s="144" t="s">
        <v>84</v>
      </c>
      <c r="D114" s="159"/>
      <c r="E114" s="51"/>
      <c r="F114" s="51">
        <v>2</v>
      </c>
      <c r="G114" s="51">
        <v>175</v>
      </c>
      <c r="H114" s="148">
        <f>G114*F114/1000</f>
        <v>0.35</v>
      </c>
      <c r="I114" s="35">
        <f>G114</f>
        <v>175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f>G114</f>
        <v>175</v>
      </c>
      <c r="R114" s="35">
        <v>0</v>
      </c>
      <c r="S114" s="35">
        <v>0</v>
      </c>
      <c r="T114" s="35">
        <v>0</v>
      </c>
      <c r="U114" s="35">
        <f t="shared" si="48"/>
        <v>350</v>
      </c>
    </row>
    <row r="115" spans="1:21" ht="12.75" customHeight="1">
      <c r="A115" s="144" t="s">
        <v>266</v>
      </c>
      <c r="B115" s="23" t="s">
        <v>278</v>
      </c>
      <c r="C115" s="144" t="s">
        <v>84</v>
      </c>
      <c r="D115" s="91"/>
      <c r="E115" s="51"/>
      <c r="F115" s="51">
        <v>3</v>
      </c>
      <c r="G115" s="51">
        <v>27.36</v>
      </c>
      <c r="H115" s="148">
        <f t="shared" ref="H115:H116" si="50">G115*F115/1000</f>
        <v>8.208E-2</v>
      </c>
      <c r="I115" s="35">
        <f>G115*2</f>
        <v>54.72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f>G115</f>
        <v>27.36</v>
      </c>
      <c r="R115" s="35">
        <v>0</v>
      </c>
      <c r="S115" s="35">
        <v>0</v>
      </c>
      <c r="T115" s="35">
        <v>0</v>
      </c>
      <c r="U115" s="35">
        <f t="shared" si="48"/>
        <v>82.08</v>
      </c>
    </row>
    <row r="116" spans="1:21" ht="25.5" customHeight="1">
      <c r="A116" s="144" t="s">
        <v>279</v>
      </c>
      <c r="B116" s="23" t="s">
        <v>280</v>
      </c>
      <c r="C116" s="144" t="s">
        <v>300</v>
      </c>
      <c r="D116" s="91"/>
      <c r="E116" s="51"/>
      <c r="F116" s="51">
        <v>2.5</v>
      </c>
      <c r="G116" s="51">
        <v>293.17</v>
      </c>
      <c r="H116" s="148">
        <f t="shared" si="50"/>
        <v>0.73292500000000005</v>
      </c>
      <c r="I116" s="35">
        <f>G116</f>
        <v>293.17</v>
      </c>
      <c r="J116" s="35">
        <f>G116</f>
        <v>293.17</v>
      </c>
      <c r="K116" s="35">
        <f>G116*0.5</f>
        <v>146.58500000000001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f t="shared" si="48"/>
        <v>732.92500000000007</v>
      </c>
    </row>
    <row r="117" spans="1:21" ht="25.5">
      <c r="A117" s="144" t="s">
        <v>249</v>
      </c>
      <c r="B117" s="23" t="s">
        <v>177</v>
      </c>
      <c r="C117" s="144" t="s">
        <v>84</v>
      </c>
      <c r="D117" s="159"/>
      <c r="E117" s="51"/>
      <c r="F117" s="51">
        <v>960</v>
      </c>
      <c r="G117" s="51">
        <v>53.42</v>
      </c>
      <c r="H117" s="148">
        <f t="shared" ref="H117:H155" si="51">G117*F117/1000</f>
        <v>51.283200000000008</v>
      </c>
      <c r="I117" s="35">
        <f>G117*80</f>
        <v>4273.6000000000004</v>
      </c>
      <c r="J117" s="35">
        <f>G117*80</f>
        <v>4273.6000000000004</v>
      </c>
      <c r="K117" s="35">
        <f>G117*80</f>
        <v>4273.6000000000004</v>
      </c>
      <c r="L117" s="35">
        <f>G117*80</f>
        <v>4273.6000000000004</v>
      </c>
      <c r="M117" s="35">
        <f>G117*80</f>
        <v>4273.6000000000004</v>
      </c>
      <c r="N117" s="35">
        <f>G117*80</f>
        <v>4273.6000000000004</v>
      </c>
      <c r="O117" s="35">
        <f>G117*80</f>
        <v>4273.6000000000004</v>
      </c>
      <c r="P117" s="35">
        <f>G117*80</f>
        <v>4273.6000000000004</v>
      </c>
      <c r="Q117" s="35">
        <f>G117*80</f>
        <v>4273.6000000000004</v>
      </c>
      <c r="R117" s="35">
        <f>G117*80</f>
        <v>4273.6000000000004</v>
      </c>
      <c r="S117" s="35">
        <f>G117*80</f>
        <v>4273.6000000000004</v>
      </c>
      <c r="T117" s="35">
        <f>G117*80</f>
        <v>4273.6000000000004</v>
      </c>
      <c r="U117" s="35">
        <f t="shared" si="48"/>
        <v>51283.19999999999</v>
      </c>
    </row>
    <row r="118" spans="1:21" ht="25.5">
      <c r="A118" s="144" t="s">
        <v>251</v>
      </c>
      <c r="B118" s="23" t="s">
        <v>190</v>
      </c>
      <c r="C118" s="144" t="s">
        <v>84</v>
      </c>
      <c r="D118" s="91"/>
      <c r="E118" s="51"/>
      <c r="F118" s="51">
        <v>6</v>
      </c>
      <c r="G118" s="51">
        <v>189.88</v>
      </c>
      <c r="H118" s="148">
        <f t="shared" si="51"/>
        <v>1.1392800000000001</v>
      </c>
      <c r="I118" s="35">
        <f>G118</f>
        <v>189.88</v>
      </c>
      <c r="J118" s="35">
        <v>0</v>
      </c>
      <c r="K118" s="35">
        <v>0</v>
      </c>
      <c r="L118" s="35">
        <v>0</v>
      </c>
      <c r="M118" s="35">
        <v>0</v>
      </c>
      <c r="N118" s="35">
        <f>G118</f>
        <v>189.88</v>
      </c>
      <c r="O118" s="35">
        <f>G118*3</f>
        <v>569.64</v>
      </c>
      <c r="P118" s="35">
        <v>0</v>
      </c>
      <c r="Q118" s="35">
        <f>G118</f>
        <v>189.88</v>
      </c>
      <c r="R118" s="35">
        <v>0</v>
      </c>
      <c r="S118" s="35">
        <v>0</v>
      </c>
      <c r="T118" s="35">
        <v>0</v>
      </c>
      <c r="U118" s="35">
        <f t="shared" si="48"/>
        <v>1139.28</v>
      </c>
    </row>
    <row r="119" spans="1:21" ht="25.5">
      <c r="A119" s="100" t="s">
        <v>248</v>
      </c>
      <c r="B119" s="22" t="s">
        <v>164</v>
      </c>
      <c r="C119" s="67" t="s">
        <v>37</v>
      </c>
      <c r="D119" s="159"/>
      <c r="E119" s="51"/>
      <c r="F119" s="51">
        <v>2</v>
      </c>
      <c r="G119" s="51">
        <v>83.36</v>
      </c>
      <c r="H119" s="51">
        <f t="shared" si="51"/>
        <v>0.16672000000000001</v>
      </c>
      <c r="I119" s="35">
        <f>G119</f>
        <v>83.36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f>G119</f>
        <v>83.36</v>
      </c>
      <c r="Q119" s="35">
        <v>0</v>
      </c>
      <c r="R119" s="35">
        <v>0</v>
      </c>
      <c r="S119" s="35">
        <v>0</v>
      </c>
      <c r="T119" s="35">
        <v>0</v>
      </c>
      <c r="U119" s="35">
        <f t="shared" si="48"/>
        <v>166.72</v>
      </c>
    </row>
    <row r="120" spans="1:21" ht="25.5" customHeight="1">
      <c r="A120" s="160" t="s">
        <v>236</v>
      </c>
      <c r="B120" s="161" t="s">
        <v>261</v>
      </c>
      <c r="C120" s="160" t="s">
        <v>81</v>
      </c>
      <c r="D120" s="159"/>
      <c r="E120" s="51"/>
      <c r="F120" s="51">
        <v>0.06</v>
      </c>
      <c r="G120" s="51">
        <v>3581.13</v>
      </c>
      <c r="H120" s="148">
        <f t="shared" si="51"/>
        <v>0.2148678</v>
      </c>
      <c r="I120" s="35">
        <f>G120*0.01</f>
        <v>35.811300000000003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f>G120*0.02</f>
        <v>71.622600000000006</v>
      </c>
      <c r="P120" s="35">
        <f>G120*0.02</f>
        <v>71.622600000000006</v>
      </c>
      <c r="Q120" s="35">
        <v>0</v>
      </c>
      <c r="R120" s="35">
        <v>0</v>
      </c>
      <c r="S120" s="35">
        <v>0</v>
      </c>
      <c r="T120" s="35">
        <f>G120*0.01</f>
        <v>35.811300000000003</v>
      </c>
      <c r="U120" s="35">
        <f t="shared" si="48"/>
        <v>214.86780000000005</v>
      </c>
    </row>
    <row r="121" spans="1:21">
      <c r="A121" s="160" t="s">
        <v>266</v>
      </c>
      <c r="B121" s="161" t="s">
        <v>285</v>
      </c>
      <c r="C121" s="160" t="s">
        <v>84</v>
      </c>
      <c r="D121" s="9"/>
      <c r="E121" s="68"/>
      <c r="F121" s="51">
        <v>10</v>
      </c>
      <c r="G121" s="51">
        <v>140</v>
      </c>
      <c r="H121" s="148">
        <f t="shared" si="51"/>
        <v>1.4</v>
      </c>
      <c r="I121" s="179">
        <v>0</v>
      </c>
      <c r="J121" s="179">
        <f>G121</f>
        <v>140</v>
      </c>
      <c r="K121" s="179">
        <f>G121*(2+2)</f>
        <v>560</v>
      </c>
      <c r="L121" s="179">
        <v>0</v>
      </c>
      <c r="M121" s="179">
        <v>0</v>
      </c>
      <c r="N121" s="35">
        <v>0</v>
      </c>
      <c r="O121" s="35">
        <f>G121*3</f>
        <v>420</v>
      </c>
      <c r="P121" s="35">
        <v>0</v>
      </c>
      <c r="Q121" s="35">
        <f>G121*2</f>
        <v>280</v>
      </c>
      <c r="R121" s="35">
        <v>0</v>
      </c>
      <c r="S121" s="35">
        <v>0</v>
      </c>
      <c r="T121" s="35">
        <v>0</v>
      </c>
      <c r="U121" s="35">
        <f t="shared" si="48"/>
        <v>1400</v>
      </c>
    </row>
    <row r="122" spans="1:21">
      <c r="A122" s="144" t="s">
        <v>266</v>
      </c>
      <c r="B122" s="23" t="s">
        <v>286</v>
      </c>
      <c r="C122" s="144" t="s">
        <v>84</v>
      </c>
      <c r="D122" s="91"/>
      <c r="E122" s="51"/>
      <c r="F122" s="51">
        <v>2</v>
      </c>
      <c r="G122" s="51">
        <v>90</v>
      </c>
      <c r="H122" s="148">
        <f t="shared" si="51"/>
        <v>0.18</v>
      </c>
      <c r="I122" s="179">
        <v>0</v>
      </c>
      <c r="J122" s="179">
        <f>G122*2</f>
        <v>180</v>
      </c>
      <c r="K122" s="179">
        <v>0</v>
      </c>
      <c r="L122" s="179">
        <v>0</v>
      </c>
      <c r="M122" s="179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f t="shared" si="48"/>
        <v>180</v>
      </c>
    </row>
    <row r="123" spans="1:21">
      <c r="A123" s="144" t="s">
        <v>266</v>
      </c>
      <c r="B123" s="23" t="s">
        <v>287</v>
      </c>
      <c r="C123" s="144" t="s">
        <v>84</v>
      </c>
      <c r="D123" s="91"/>
      <c r="E123" s="51"/>
      <c r="F123" s="51">
        <v>4</v>
      </c>
      <c r="G123" s="51">
        <v>70</v>
      </c>
      <c r="H123" s="148">
        <f t="shared" ref="H123:H125" si="52">G123*F123/1000</f>
        <v>0.28000000000000003</v>
      </c>
      <c r="I123" s="179">
        <v>0</v>
      </c>
      <c r="J123" s="179">
        <f>G123</f>
        <v>70</v>
      </c>
      <c r="K123" s="179">
        <f>G123*(1+1)</f>
        <v>140</v>
      </c>
      <c r="L123" s="179">
        <v>0</v>
      </c>
      <c r="M123" s="179">
        <v>0</v>
      </c>
      <c r="N123" s="35">
        <v>0</v>
      </c>
      <c r="O123" s="35">
        <v>0</v>
      </c>
      <c r="P123" s="35">
        <v>0</v>
      </c>
      <c r="Q123" s="35">
        <f>G123</f>
        <v>70</v>
      </c>
      <c r="R123" s="35">
        <v>0</v>
      </c>
      <c r="S123" s="35">
        <v>0</v>
      </c>
      <c r="T123" s="35">
        <v>0</v>
      </c>
      <c r="U123" s="35">
        <f t="shared" si="48"/>
        <v>280</v>
      </c>
    </row>
    <row r="124" spans="1:21" ht="25.5">
      <c r="A124" s="180" t="s">
        <v>165</v>
      </c>
      <c r="B124" s="181" t="s">
        <v>178</v>
      </c>
      <c r="C124" s="100" t="s">
        <v>179</v>
      </c>
      <c r="D124" s="159"/>
      <c r="E124" s="182"/>
      <c r="F124" s="182">
        <v>4</v>
      </c>
      <c r="G124" s="182">
        <v>1934.94</v>
      </c>
      <c r="H124" s="183">
        <f t="shared" si="52"/>
        <v>7.7397600000000004</v>
      </c>
      <c r="I124" s="35">
        <v>0</v>
      </c>
      <c r="J124" s="35">
        <f>G124*2</f>
        <v>3869.88</v>
      </c>
      <c r="K124" s="35">
        <v>0</v>
      </c>
      <c r="L124" s="35">
        <f>G124</f>
        <v>1934.94</v>
      </c>
      <c r="M124" s="35">
        <v>0</v>
      </c>
      <c r="N124" s="35">
        <f>G124</f>
        <v>1934.94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f t="shared" si="48"/>
        <v>7739.76</v>
      </c>
    </row>
    <row r="125" spans="1:21" ht="25.5">
      <c r="A125" s="184" t="s">
        <v>289</v>
      </c>
      <c r="B125" s="23" t="s">
        <v>288</v>
      </c>
      <c r="C125" s="144" t="s">
        <v>84</v>
      </c>
      <c r="D125" s="159"/>
      <c r="E125" s="182"/>
      <c r="F125" s="182">
        <v>1</v>
      </c>
      <c r="G125" s="182">
        <v>3107.36</v>
      </c>
      <c r="H125" s="183">
        <f t="shared" si="52"/>
        <v>3.1073600000000003</v>
      </c>
      <c r="I125" s="35">
        <v>0</v>
      </c>
      <c r="J125" s="35">
        <f>G125</f>
        <v>3107.36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f t="shared" si="48"/>
        <v>3107.36</v>
      </c>
    </row>
    <row r="126" spans="1:21">
      <c r="A126" s="184" t="s">
        <v>254</v>
      </c>
      <c r="B126" s="23" t="s">
        <v>290</v>
      </c>
      <c r="C126" s="144" t="s">
        <v>84</v>
      </c>
      <c r="D126" s="159"/>
      <c r="E126" s="51"/>
      <c r="F126" s="51">
        <v>2</v>
      </c>
      <c r="G126" s="51">
        <v>1241.75</v>
      </c>
      <c r="H126" s="148">
        <f>G126*F126/1000</f>
        <v>2.4834999999999998</v>
      </c>
      <c r="I126" s="35">
        <v>0</v>
      </c>
      <c r="J126" s="35">
        <f>G126</f>
        <v>1241.75</v>
      </c>
      <c r="K126" s="35">
        <v>0</v>
      </c>
      <c r="L126" s="35">
        <v>0</v>
      </c>
      <c r="M126" s="35">
        <v>0</v>
      </c>
      <c r="N126" s="35">
        <f>G126</f>
        <v>1241.75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f t="shared" si="48"/>
        <v>2483.5</v>
      </c>
    </row>
    <row r="127" spans="1:21" ht="25.5">
      <c r="A127" s="162" t="s">
        <v>186</v>
      </c>
      <c r="B127" s="161" t="s">
        <v>259</v>
      </c>
      <c r="C127" s="160" t="s">
        <v>187</v>
      </c>
      <c r="D127" s="159"/>
      <c r="E127" s="51"/>
      <c r="F127" s="51">
        <v>20.5</v>
      </c>
      <c r="G127" s="51">
        <v>1272</v>
      </c>
      <c r="H127" s="148">
        <f>G127*F127/1000</f>
        <v>26.076000000000001</v>
      </c>
      <c r="I127" s="35">
        <v>0</v>
      </c>
      <c r="J127" s="35">
        <v>0</v>
      </c>
      <c r="K127" s="35">
        <f>G127*6.5</f>
        <v>8268</v>
      </c>
      <c r="L127" s="35">
        <v>0</v>
      </c>
      <c r="M127" s="35">
        <f>G127</f>
        <v>1272</v>
      </c>
      <c r="N127" s="35">
        <f>G127*(7+4)</f>
        <v>13992</v>
      </c>
      <c r="O127" s="35">
        <v>0</v>
      </c>
      <c r="P127" s="35">
        <v>0</v>
      </c>
      <c r="Q127" s="35">
        <f>G127*2</f>
        <v>2544</v>
      </c>
      <c r="R127" s="35">
        <v>0</v>
      </c>
      <c r="S127" s="35">
        <v>0</v>
      </c>
      <c r="T127" s="35">
        <v>0</v>
      </c>
      <c r="U127" s="35">
        <f t="shared" si="48"/>
        <v>26076</v>
      </c>
    </row>
    <row r="128" spans="1:21" ht="25.5">
      <c r="A128" s="144" t="s">
        <v>274</v>
      </c>
      <c r="B128" s="23" t="s">
        <v>292</v>
      </c>
      <c r="C128" s="144" t="s">
        <v>196</v>
      </c>
      <c r="D128" s="91"/>
      <c r="E128" s="51"/>
      <c r="F128" s="51">
        <v>3</v>
      </c>
      <c r="G128" s="51">
        <v>832.06</v>
      </c>
      <c r="H128" s="148">
        <f t="shared" ref="H128:H130" si="53">G128*F128/1000</f>
        <v>2.4961799999999998</v>
      </c>
      <c r="I128" s="179">
        <v>0</v>
      </c>
      <c r="J128" s="179">
        <v>0</v>
      </c>
      <c r="K128" s="179">
        <f>G128*2</f>
        <v>1664.12</v>
      </c>
      <c r="L128" s="179">
        <v>0</v>
      </c>
      <c r="M128" s="179">
        <v>0</v>
      </c>
      <c r="N128" s="35">
        <v>0</v>
      </c>
      <c r="O128" s="35">
        <f>G128</f>
        <v>832.06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f t="shared" si="48"/>
        <v>2496.1799999999998</v>
      </c>
    </row>
    <row r="129" spans="1:21" ht="12.75" customHeight="1">
      <c r="A129" s="160" t="s">
        <v>266</v>
      </c>
      <c r="B129" s="161" t="s">
        <v>293</v>
      </c>
      <c r="C129" s="160" t="s">
        <v>84</v>
      </c>
      <c r="D129" s="91"/>
      <c r="E129" s="51"/>
      <c r="F129" s="51">
        <v>3</v>
      </c>
      <c r="G129" s="51">
        <v>61</v>
      </c>
      <c r="H129" s="148">
        <f t="shared" si="53"/>
        <v>0.183</v>
      </c>
      <c r="I129" s="35">
        <v>0</v>
      </c>
      <c r="J129" s="35">
        <v>0</v>
      </c>
      <c r="K129" s="35">
        <f>G129</f>
        <v>61</v>
      </c>
      <c r="L129" s="35">
        <v>0</v>
      </c>
      <c r="M129" s="179">
        <v>0</v>
      </c>
      <c r="N129" s="35">
        <v>0</v>
      </c>
      <c r="O129" s="35">
        <f>G129*2</f>
        <v>122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f t="shared" si="48"/>
        <v>183</v>
      </c>
    </row>
    <row r="130" spans="1:21" ht="25.5" customHeight="1">
      <c r="A130" s="160" t="s">
        <v>294</v>
      </c>
      <c r="B130" s="161" t="s">
        <v>295</v>
      </c>
      <c r="C130" s="160" t="s">
        <v>187</v>
      </c>
      <c r="D130" s="91"/>
      <c r="E130" s="51"/>
      <c r="F130" s="51">
        <v>1.5</v>
      </c>
      <c r="G130" s="51">
        <v>823.96</v>
      </c>
      <c r="H130" s="148">
        <f t="shared" si="53"/>
        <v>1.23594</v>
      </c>
      <c r="I130" s="35">
        <v>0</v>
      </c>
      <c r="J130" s="35">
        <v>0</v>
      </c>
      <c r="K130" s="35">
        <f>G130*1.5</f>
        <v>1235.94</v>
      </c>
      <c r="L130" s="35">
        <v>0</v>
      </c>
      <c r="M130" s="179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f t="shared" si="48"/>
        <v>1235.94</v>
      </c>
    </row>
    <row r="131" spans="1:21">
      <c r="A131" s="162" t="s">
        <v>252</v>
      </c>
      <c r="B131" s="161" t="s">
        <v>191</v>
      </c>
      <c r="C131" s="160" t="s">
        <v>105</v>
      </c>
      <c r="D131" s="91"/>
      <c r="E131" s="51"/>
      <c r="F131" s="51">
        <f>9/10</f>
        <v>0.9</v>
      </c>
      <c r="G131" s="51">
        <v>657.87</v>
      </c>
      <c r="H131" s="148">
        <f>G131*F131/1000</f>
        <v>0.59208299999999991</v>
      </c>
      <c r="I131" s="35">
        <v>0</v>
      </c>
      <c r="J131" s="35">
        <v>0</v>
      </c>
      <c r="K131" s="35">
        <f>G131*0.2</f>
        <v>131.57400000000001</v>
      </c>
      <c r="L131" s="35">
        <v>0</v>
      </c>
      <c r="M131" s="35">
        <v>0</v>
      </c>
      <c r="N131" s="35">
        <v>0</v>
      </c>
      <c r="O131" s="35">
        <f>G131*0.6</f>
        <v>394.72199999999998</v>
      </c>
      <c r="P131" s="35">
        <v>0</v>
      </c>
      <c r="Q131" s="35">
        <v>0</v>
      </c>
      <c r="R131" s="35">
        <f>G131*0.1</f>
        <v>65.787000000000006</v>
      </c>
      <c r="S131" s="35">
        <v>0</v>
      </c>
      <c r="T131" s="35">
        <v>0</v>
      </c>
      <c r="U131" s="35">
        <f t="shared" si="48"/>
        <v>592.08300000000008</v>
      </c>
    </row>
    <row r="132" spans="1:21" ht="12.75" customHeight="1">
      <c r="A132" s="160" t="s">
        <v>250</v>
      </c>
      <c r="B132" s="161" t="s">
        <v>206</v>
      </c>
      <c r="C132" s="160" t="s">
        <v>185</v>
      </c>
      <c r="D132" s="91"/>
      <c r="E132" s="51"/>
      <c r="F132" s="51">
        <v>6</v>
      </c>
      <c r="G132" s="51">
        <v>195.85</v>
      </c>
      <c r="H132" s="148">
        <f>G132*F132/1000</f>
        <v>1.1750999999999998</v>
      </c>
      <c r="I132" s="35">
        <v>0</v>
      </c>
      <c r="J132" s="35">
        <v>0</v>
      </c>
      <c r="K132" s="35">
        <v>0</v>
      </c>
      <c r="L132" s="35">
        <f>G132</f>
        <v>195.85</v>
      </c>
      <c r="M132" s="35">
        <f>G132*2</f>
        <v>391.7</v>
      </c>
      <c r="N132" s="35">
        <f>G132</f>
        <v>195.85</v>
      </c>
      <c r="O132" s="35">
        <v>0</v>
      </c>
      <c r="P132" s="35">
        <v>0</v>
      </c>
      <c r="Q132" s="35">
        <v>0</v>
      </c>
      <c r="R132" s="35">
        <f>G132</f>
        <v>195.85</v>
      </c>
      <c r="S132" s="35">
        <f>G132</f>
        <v>195.85</v>
      </c>
      <c r="T132" s="35">
        <v>0</v>
      </c>
      <c r="U132" s="35">
        <f t="shared" si="48"/>
        <v>1175.0999999999999</v>
      </c>
    </row>
    <row r="133" spans="1:21" ht="25.5" customHeight="1">
      <c r="A133" s="160" t="s">
        <v>299</v>
      </c>
      <c r="B133" s="161" t="s">
        <v>298</v>
      </c>
      <c r="C133" s="160" t="s">
        <v>194</v>
      </c>
      <c r="D133" s="91"/>
      <c r="E133" s="51"/>
      <c r="F133" s="51">
        <v>1</v>
      </c>
      <c r="G133" s="51">
        <v>206.54</v>
      </c>
      <c r="H133" s="148">
        <f>G133*F133/1000</f>
        <v>0.20654</v>
      </c>
      <c r="I133" s="35">
        <v>0</v>
      </c>
      <c r="J133" s="35">
        <v>0</v>
      </c>
      <c r="K133" s="35">
        <v>0</v>
      </c>
      <c r="L133" s="35">
        <v>0</v>
      </c>
      <c r="M133" s="35">
        <f>G133</f>
        <v>206.54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f t="shared" si="48"/>
        <v>206.54</v>
      </c>
    </row>
    <row r="134" spans="1:21" ht="38.25" customHeight="1">
      <c r="A134" s="160" t="s">
        <v>258</v>
      </c>
      <c r="B134" s="161" t="s">
        <v>208</v>
      </c>
      <c r="C134" s="160" t="s">
        <v>209</v>
      </c>
      <c r="D134" s="91"/>
      <c r="E134" s="51"/>
      <c r="F134" s="51">
        <v>2</v>
      </c>
      <c r="G134" s="51">
        <v>54.17</v>
      </c>
      <c r="H134" s="148">
        <f t="shared" ref="H134:H136" si="54">G134*F134/1000</f>
        <v>0.10834000000000001</v>
      </c>
      <c r="I134" s="35">
        <v>0</v>
      </c>
      <c r="J134" s="35">
        <v>0</v>
      </c>
      <c r="K134" s="35">
        <v>0</v>
      </c>
      <c r="L134" s="35">
        <v>0</v>
      </c>
      <c r="M134" s="35">
        <f>G134</f>
        <v>54.17</v>
      </c>
      <c r="N134" s="35">
        <f>G134</f>
        <v>54.17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f t="shared" si="48"/>
        <v>108.34</v>
      </c>
    </row>
    <row r="135" spans="1:21" ht="12.75" customHeight="1">
      <c r="A135" s="180" t="s">
        <v>301</v>
      </c>
      <c r="B135" s="181" t="s">
        <v>302</v>
      </c>
      <c r="C135" s="100" t="s">
        <v>20</v>
      </c>
      <c r="D135" s="91"/>
      <c r="E135" s="51"/>
      <c r="F135" s="51">
        <f>0.5/10</f>
        <v>0.05</v>
      </c>
      <c r="G135" s="51">
        <v>3282.12</v>
      </c>
      <c r="H135" s="148">
        <f t="shared" si="54"/>
        <v>0.164106</v>
      </c>
      <c r="I135" s="35">
        <v>0</v>
      </c>
      <c r="J135" s="35">
        <v>0</v>
      </c>
      <c r="K135" s="35">
        <v>0</v>
      </c>
      <c r="L135" s="35">
        <v>0</v>
      </c>
      <c r="M135" s="35">
        <f>G135*F135</f>
        <v>164.10599999999999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f t="shared" si="48"/>
        <v>164.10599999999999</v>
      </c>
    </row>
    <row r="136" spans="1:21" ht="12.75" customHeight="1">
      <c r="A136" s="180" t="s">
        <v>304</v>
      </c>
      <c r="B136" s="23" t="s">
        <v>305</v>
      </c>
      <c r="C136" s="184" t="s">
        <v>303</v>
      </c>
      <c r="D136" s="91"/>
      <c r="E136" s="51"/>
      <c r="F136" s="51">
        <f>1/10</f>
        <v>0.1</v>
      </c>
      <c r="G136" s="51">
        <v>10294.950000000001</v>
      </c>
      <c r="H136" s="148">
        <f t="shared" si="54"/>
        <v>1.029495</v>
      </c>
      <c r="I136" s="35">
        <v>0</v>
      </c>
      <c r="J136" s="35">
        <v>0</v>
      </c>
      <c r="K136" s="35">
        <v>0</v>
      </c>
      <c r="L136" s="35">
        <v>0</v>
      </c>
      <c r="M136" s="35">
        <f>G136*0.1</f>
        <v>1029.4950000000001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f t="shared" si="48"/>
        <v>1029.4950000000001</v>
      </c>
    </row>
    <row r="137" spans="1:21" ht="25.5" customHeight="1">
      <c r="A137" s="160" t="s">
        <v>186</v>
      </c>
      <c r="B137" s="161" t="s">
        <v>260</v>
      </c>
      <c r="C137" s="160" t="s">
        <v>187</v>
      </c>
      <c r="D137" s="159"/>
      <c r="E137" s="51"/>
      <c r="F137" s="51">
        <v>2</v>
      </c>
      <c r="G137" s="51">
        <f>1187</f>
        <v>1187</v>
      </c>
      <c r="H137" s="148">
        <f>G137*F137/1000</f>
        <v>2.3740000000000001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f>G137*2</f>
        <v>2374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f t="shared" si="48"/>
        <v>2374</v>
      </c>
    </row>
    <row r="138" spans="1:21" ht="12.75" customHeight="1">
      <c r="A138" s="160" t="s">
        <v>266</v>
      </c>
      <c r="B138" s="161" t="s">
        <v>306</v>
      </c>
      <c r="C138" s="160" t="s">
        <v>84</v>
      </c>
      <c r="D138" s="159"/>
      <c r="E138" s="51"/>
      <c r="F138" s="51">
        <v>1</v>
      </c>
      <c r="G138" s="51">
        <v>204</v>
      </c>
      <c r="H138" s="148">
        <f>G138*F138/1000</f>
        <v>0.20399999999999999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f>G138</f>
        <v>204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f t="shared" si="48"/>
        <v>204</v>
      </c>
    </row>
    <row r="139" spans="1:21" ht="12.75" customHeight="1">
      <c r="A139" s="160" t="s">
        <v>266</v>
      </c>
      <c r="B139" s="161" t="s">
        <v>307</v>
      </c>
      <c r="C139" s="160" t="s">
        <v>84</v>
      </c>
      <c r="D139" s="91"/>
      <c r="E139" s="51"/>
      <c r="F139" s="51">
        <v>2</v>
      </c>
      <c r="G139" s="51">
        <v>63</v>
      </c>
      <c r="H139" s="148">
        <f t="shared" ref="H139:H144" si="55">G139*F139/1000</f>
        <v>0.126</v>
      </c>
      <c r="I139" s="35">
        <v>0</v>
      </c>
      <c r="J139" s="35">
        <v>0</v>
      </c>
      <c r="K139" s="179">
        <v>0</v>
      </c>
      <c r="L139" s="35">
        <v>0</v>
      </c>
      <c r="M139" s="179">
        <v>0</v>
      </c>
      <c r="N139" s="35">
        <v>0</v>
      </c>
      <c r="O139" s="35">
        <f>G139</f>
        <v>63</v>
      </c>
      <c r="P139" s="35">
        <v>0</v>
      </c>
      <c r="Q139" s="35">
        <f>G139</f>
        <v>63</v>
      </c>
      <c r="R139" s="35">
        <v>0</v>
      </c>
      <c r="S139" s="35">
        <v>0</v>
      </c>
      <c r="T139" s="35">
        <v>0</v>
      </c>
      <c r="U139" s="35">
        <f t="shared" si="48"/>
        <v>126</v>
      </c>
    </row>
    <row r="140" spans="1:21" ht="25.5" customHeight="1">
      <c r="A140" s="144" t="s">
        <v>265</v>
      </c>
      <c r="B140" s="23" t="s">
        <v>308</v>
      </c>
      <c r="C140" s="144" t="s">
        <v>196</v>
      </c>
      <c r="D140" s="91"/>
      <c r="E140" s="51"/>
      <c r="F140" s="51">
        <v>2</v>
      </c>
      <c r="G140" s="51">
        <v>727.73</v>
      </c>
      <c r="H140" s="148">
        <f t="shared" si="55"/>
        <v>1.45546</v>
      </c>
      <c r="I140" s="179">
        <v>0</v>
      </c>
      <c r="J140" s="179">
        <v>0</v>
      </c>
      <c r="K140" s="179">
        <v>0</v>
      </c>
      <c r="L140" s="179">
        <v>0</v>
      </c>
      <c r="M140" s="179">
        <v>0</v>
      </c>
      <c r="N140" s="179">
        <v>0</v>
      </c>
      <c r="O140" s="179">
        <f>G140*2</f>
        <v>1455.46</v>
      </c>
      <c r="P140" s="179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f t="shared" si="48"/>
        <v>1455.46</v>
      </c>
    </row>
    <row r="141" spans="1:21" ht="12.75" customHeight="1">
      <c r="A141" s="160" t="s">
        <v>266</v>
      </c>
      <c r="B141" s="161" t="s">
        <v>309</v>
      </c>
      <c r="C141" s="160" t="s">
        <v>84</v>
      </c>
      <c r="D141" s="91"/>
      <c r="E141" s="51"/>
      <c r="F141" s="51">
        <v>2</v>
      </c>
      <c r="G141" s="51">
        <v>22</v>
      </c>
      <c r="H141" s="148">
        <f t="shared" si="55"/>
        <v>4.3999999999999997E-2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f>G141*2</f>
        <v>44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f t="shared" si="48"/>
        <v>44</v>
      </c>
    </row>
    <row r="142" spans="1:21" ht="12.75" customHeight="1">
      <c r="A142" s="160" t="s">
        <v>266</v>
      </c>
      <c r="B142" s="161" t="s">
        <v>267</v>
      </c>
      <c r="C142" s="160" t="s">
        <v>84</v>
      </c>
      <c r="D142" s="91"/>
      <c r="E142" s="51"/>
      <c r="F142" s="51">
        <v>1</v>
      </c>
      <c r="G142" s="51">
        <v>62</v>
      </c>
      <c r="H142" s="148">
        <f t="shared" si="55"/>
        <v>6.2E-2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f>G142</f>
        <v>62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f t="shared" si="48"/>
        <v>62</v>
      </c>
    </row>
    <row r="143" spans="1:21" ht="25.5" customHeight="1">
      <c r="A143" s="160" t="s">
        <v>237</v>
      </c>
      <c r="B143" s="161" t="s">
        <v>310</v>
      </c>
      <c r="C143" s="160" t="s">
        <v>207</v>
      </c>
      <c r="D143" s="91"/>
      <c r="E143" s="51"/>
      <c r="F143" s="51">
        <v>0.01</v>
      </c>
      <c r="G143" s="51">
        <v>7412.92</v>
      </c>
      <c r="H143" s="148">
        <f t="shared" si="55"/>
        <v>7.4129199999999992E-2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f>G143*0.01</f>
        <v>74.129199999999997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f t="shared" si="48"/>
        <v>74.129199999999997</v>
      </c>
    </row>
    <row r="144" spans="1:21" ht="51" customHeight="1">
      <c r="A144" s="144" t="s">
        <v>312</v>
      </c>
      <c r="B144" s="23" t="s">
        <v>311</v>
      </c>
      <c r="C144" s="144" t="s">
        <v>211</v>
      </c>
      <c r="D144" s="91"/>
      <c r="E144" s="51"/>
      <c r="F144" s="51">
        <f>97.6/10</f>
        <v>9.76</v>
      </c>
      <c r="G144" s="51">
        <v>2166.5300000000002</v>
      </c>
      <c r="H144" s="148">
        <f t="shared" si="55"/>
        <v>21.145332799999998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f>G144*F144</f>
        <v>21145.3328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f t="shared" si="48"/>
        <v>21145.3328</v>
      </c>
    </row>
    <row r="145" spans="1:25">
      <c r="A145" s="185" t="s">
        <v>165</v>
      </c>
      <c r="B145" s="159" t="s">
        <v>188</v>
      </c>
      <c r="C145" s="186" t="s">
        <v>189</v>
      </c>
      <c r="D145" s="91"/>
      <c r="E145" s="51"/>
      <c r="F145" s="51">
        <v>4</v>
      </c>
      <c r="G145" s="51">
        <v>1582</v>
      </c>
      <c r="H145" s="148">
        <f>G145*F145/1000</f>
        <v>6.3280000000000003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f>G145*4</f>
        <v>6328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f t="shared" si="48"/>
        <v>6328</v>
      </c>
    </row>
    <row r="146" spans="1:25" s="187" customFormat="1" ht="25.5" customHeight="1">
      <c r="A146" s="160" t="s">
        <v>313</v>
      </c>
      <c r="B146" s="161" t="s">
        <v>314</v>
      </c>
      <c r="C146" s="160" t="s">
        <v>211</v>
      </c>
      <c r="D146" s="91"/>
      <c r="E146" s="51"/>
      <c r="F146" s="51">
        <f>24/10</f>
        <v>2.4</v>
      </c>
      <c r="G146" s="51">
        <v>2064.25</v>
      </c>
      <c r="H146" s="183">
        <f t="shared" ref="H146:H147" si="56">G146*F146/1000</f>
        <v>4.9542000000000002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f>G146*2.4</f>
        <v>4954.2</v>
      </c>
      <c r="Q146" s="35">
        <v>0</v>
      </c>
      <c r="R146" s="35">
        <v>0</v>
      </c>
      <c r="S146" s="35">
        <v>0</v>
      </c>
      <c r="T146" s="35">
        <v>0</v>
      </c>
      <c r="U146" s="35">
        <f t="shared" si="48"/>
        <v>4954.2</v>
      </c>
    </row>
    <row r="147" spans="1:25" s="187" customFormat="1" ht="25.5" customHeight="1">
      <c r="A147" s="160" t="s">
        <v>315</v>
      </c>
      <c r="B147" s="161" t="s">
        <v>316</v>
      </c>
      <c r="C147" s="160" t="s">
        <v>187</v>
      </c>
      <c r="D147" s="91"/>
      <c r="E147" s="51"/>
      <c r="F147" s="51">
        <v>1</v>
      </c>
      <c r="G147" s="51">
        <v>1047.71</v>
      </c>
      <c r="H147" s="183">
        <f t="shared" si="56"/>
        <v>1.0477100000000001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f>G147</f>
        <v>1047.71</v>
      </c>
      <c r="R147" s="35">
        <v>0</v>
      </c>
      <c r="S147" s="35">
        <v>0</v>
      </c>
      <c r="T147" s="35">
        <v>0</v>
      </c>
      <c r="U147" s="35">
        <f t="shared" si="48"/>
        <v>1047.71</v>
      </c>
    </row>
    <row r="148" spans="1:25" ht="25.5">
      <c r="A148" s="162" t="s">
        <v>257</v>
      </c>
      <c r="B148" s="161" t="s">
        <v>197</v>
      </c>
      <c r="C148" s="160" t="s">
        <v>196</v>
      </c>
      <c r="D148" s="91"/>
      <c r="E148" s="51"/>
      <c r="F148" s="51">
        <v>3</v>
      </c>
      <c r="G148" s="51">
        <v>803.54</v>
      </c>
      <c r="H148" s="148">
        <f>G148*F148/1000</f>
        <v>2.4106199999999998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f>G148*(1+1)</f>
        <v>1607.08</v>
      </c>
      <c r="R148" s="35">
        <v>0</v>
      </c>
      <c r="S148" s="35">
        <v>0</v>
      </c>
      <c r="T148" s="35">
        <f>G148</f>
        <v>803.54</v>
      </c>
      <c r="U148" s="35">
        <f t="shared" si="48"/>
        <v>2410.62</v>
      </c>
    </row>
    <row r="149" spans="1:25" ht="25.5">
      <c r="A149" s="160" t="s">
        <v>253</v>
      </c>
      <c r="B149" s="161" t="s">
        <v>193</v>
      </c>
      <c r="C149" s="160" t="s">
        <v>194</v>
      </c>
      <c r="D149" s="91"/>
      <c r="E149" s="51"/>
      <c r="F149" s="51">
        <v>2</v>
      </c>
      <c r="G149" s="51">
        <v>306.37</v>
      </c>
      <c r="H149" s="148">
        <f>G149*F149/1000</f>
        <v>0.61274000000000006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f>G149*2</f>
        <v>612.74</v>
      </c>
      <c r="R149" s="35">
        <v>0</v>
      </c>
      <c r="S149" s="35">
        <v>0</v>
      </c>
      <c r="T149" s="35">
        <v>0</v>
      </c>
      <c r="U149" s="35">
        <f t="shared" si="48"/>
        <v>612.74</v>
      </c>
    </row>
    <row r="150" spans="1:25" ht="25.5">
      <c r="A150" s="160" t="s">
        <v>165</v>
      </c>
      <c r="B150" s="161" t="s">
        <v>318</v>
      </c>
      <c r="C150" s="160" t="s">
        <v>273</v>
      </c>
      <c r="D150" s="91"/>
      <c r="E150" s="51"/>
      <c r="F150" s="51">
        <v>4</v>
      </c>
      <c r="G150" s="51">
        <v>1365</v>
      </c>
      <c r="H150" s="51">
        <f t="shared" ref="H150" si="57">G150*F150/1000</f>
        <v>5.46</v>
      </c>
      <c r="I150" s="179">
        <v>0</v>
      </c>
      <c r="J150" s="179">
        <v>0</v>
      </c>
      <c r="K150" s="179">
        <v>0</v>
      </c>
      <c r="L150" s="179">
        <v>0</v>
      </c>
      <c r="M150" s="179">
        <v>0</v>
      </c>
      <c r="N150" s="179">
        <v>0</v>
      </c>
      <c r="O150" s="179">
        <v>0</v>
      </c>
      <c r="P150" s="179">
        <v>0</v>
      </c>
      <c r="Q150" s="35">
        <v>0</v>
      </c>
      <c r="R150" s="35">
        <f>G150*4</f>
        <v>5460</v>
      </c>
      <c r="S150" s="35">
        <v>0</v>
      </c>
      <c r="T150" s="35">
        <v>0</v>
      </c>
      <c r="U150" s="35">
        <f t="shared" si="48"/>
        <v>5460</v>
      </c>
      <c r="V150" s="188"/>
      <c r="W150" s="188"/>
      <c r="X150" s="188"/>
      <c r="Y150" s="188"/>
    </row>
    <row r="151" spans="1:25" ht="25.5">
      <c r="A151" s="160" t="s">
        <v>319</v>
      </c>
      <c r="B151" s="161" t="s">
        <v>320</v>
      </c>
      <c r="C151" s="160" t="s">
        <v>321</v>
      </c>
      <c r="D151" s="9"/>
      <c r="E151" s="68"/>
      <c r="F151" s="51">
        <v>2</v>
      </c>
      <c r="G151" s="51">
        <v>663.38</v>
      </c>
      <c r="H151" s="148">
        <f>G151*F151/1000</f>
        <v>1.3267599999999999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f>G151</f>
        <v>663.38</v>
      </c>
      <c r="S151" s="35">
        <f>G151</f>
        <v>663.38</v>
      </c>
      <c r="T151" s="35">
        <v>0</v>
      </c>
      <c r="U151" s="35">
        <f t="shared" si="48"/>
        <v>1326.76</v>
      </c>
    </row>
    <row r="152" spans="1:25" s="188" customFormat="1" ht="25.5" customHeight="1">
      <c r="A152" s="144" t="s">
        <v>324</v>
      </c>
      <c r="B152" s="23" t="s">
        <v>325</v>
      </c>
      <c r="C152" s="144" t="s">
        <v>24</v>
      </c>
      <c r="D152" s="159"/>
      <c r="E152" s="182"/>
      <c r="F152" s="182">
        <f>4/100</f>
        <v>0.04</v>
      </c>
      <c r="G152" s="182">
        <v>16545.96</v>
      </c>
      <c r="H152" s="183">
        <f t="shared" ref="H152:H153" si="58">G152*F152/1000</f>
        <v>0.66183839999999994</v>
      </c>
      <c r="I152" s="191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f>G152*0.04</f>
        <v>661.83839999999998</v>
      </c>
      <c r="S152" s="35">
        <v>0</v>
      </c>
      <c r="T152" s="35">
        <v>0</v>
      </c>
      <c r="U152" s="35">
        <f t="shared" si="48"/>
        <v>661.83839999999998</v>
      </c>
    </row>
    <row r="153" spans="1:25" ht="12.75" customHeight="1">
      <c r="A153" s="160" t="s">
        <v>182</v>
      </c>
      <c r="B153" s="161" t="s">
        <v>330</v>
      </c>
      <c r="C153" s="160" t="s">
        <v>326</v>
      </c>
      <c r="D153" s="192"/>
      <c r="E153" s="193"/>
      <c r="F153" s="182">
        <v>22</v>
      </c>
      <c r="G153" s="182">
        <f>103656/303</f>
        <v>342.0990099009901</v>
      </c>
      <c r="H153" s="183">
        <f t="shared" si="58"/>
        <v>7.5261782178217818</v>
      </c>
      <c r="I153" s="179">
        <v>0</v>
      </c>
      <c r="J153" s="179">
        <v>0</v>
      </c>
      <c r="K153" s="179">
        <v>0</v>
      </c>
      <c r="L153" s="179">
        <v>0</v>
      </c>
      <c r="M153" s="179">
        <v>0</v>
      </c>
      <c r="N153" s="179">
        <v>0</v>
      </c>
      <c r="O153" s="179">
        <v>0</v>
      </c>
      <c r="P153" s="179">
        <v>0</v>
      </c>
      <c r="Q153" s="179">
        <v>0</v>
      </c>
      <c r="R153" s="179">
        <f>G153*22</f>
        <v>7526.1782178217818</v>
      </c>
      <c r="S153" s="179">
        <v>0</v>
      </c>
      <c r="T153" s="179">
        <v>0</v>
      </c>
      <c r="U153" s="35">
        <f t="shared" si="48"/>
        <v>7526.1782178217818</v>
      </c>
    </row>
    <row r="154" spans="1:25" ht="25.5">
      <c r="A154" s="144" t="s">
        <v>235</v>
      </c>
      <c r="B154" s="23" t="s">
        <v>322</v>
      </c>
      <c r="C154" s="144" t="s">
        <v>60</v>
      </c>
      <c r="D154" s="9"/>
      <c r="E154" s="68"/>
      <c r="F154" s="189">
        <f>1/1000</f>
        <v>1E-3</v>
      </c>
      <c r="G154" s="51">
        <v>1591.6</v>
      </c>
      <c r="H154" s="190">
        <f>G154*F154/1000</f>
        <v>1.5915999999999999E-3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f>G154*0.001</f>
        <v>1.5915999999999999</v>
      </c>
      <c r="T154" s="35">
        <v>0</v>
      </c>
      <c r="U154" s="35">
        <f t="shared" si="48"/>
        <v>1.5915999999999999</v>
      </c>
    </row>
    <row r="155" spans="1:25">
      <c r="A155" s="166" t="s">
        <v>323</v>
      </c>
      <c r="B155" s="11" t="s">
        <v>329</v>
      </c>
      <c r="C155" s="27" t="s">
        <v>84</v>
      </c>
      <c r="D155" s="9"/>
      <c r="E155" s="68"/>
      <c r="F155" s="51">
        <v>2</v>
      </c>
      <c r="G155" s="51">
        <v>86.15</v>
      </c>
      <c r="H155" s="148">
        <f t="shared" si="51"/>
        <v>0.17230000000000001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f>G155*2</f>
        <v>172.3</v>
      </c>
      <c r="T155" s="35">
        <v>0</v>
      </c>
      <c r="U155" s="35">
        <f t="shared" si="48"/>
        <v>172.3</v>
      </c>
    </row>
    <row r="156" spans="1:25" ht="25.5">
      <c r="A156" s="144" t="s">
        <v>331</v>
      </c>
      <c r="B156" s="23" t="s">
        <v>332</v>
      </c>
      <c r="C156" s="144" t="s">
        <v>333</v>
      </c>
      <c r="D156" s="91"/>
      <c r="E156" s="51"/>
      <c r="F156" s="51">
        <f>27/100</f>
        <v>0.27</v>
      </c>
      <c r="G156" s="51">
        <v>25454.69</v>
      </c>
      <c r="H156" s="148">
        <f>G156*F156/1000</f>
        <v>6.8727663000000003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f>G156*0.27</f>
        <v>6872.7663000000002</v>
      </c>
      <c r="T156" s="35">
        <v>0</v>
      </c>
      <c r="U156" s="35">
        <f t="shared" si="48"/>
        <v>6872.7663000000002</v>
      </c>
    </row>
    <row r="157" spans="1:25" s="19" customFormat="1">
      <c r="A157" s="101"/>
      <c r="B157" s="102" t="s">
        <v>145</v>
      </c>
      <c r="C157" s="101"/>
      <c r="D157" s="101"/>
      <c r="E157" s="96"/>
      <c r="F157" s="96"/>
      <c r="G157" s="96"/>
      <c r="H157" s="43">
        <f>SUM(H106:H156)</f>
        <v>323.01616331782179</v>
      </c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42">
        <f>SUM(U106:U156)</f>
        <v>323016.1633178218</v>
      </c>
    </row>
    <row r="158" spans="1:25">
      <c r="A158" s="103"/>
      <c r="B158" s="104"/>
      <c r="C158" s="103"/>
      <c r="D158" s="103"/>
      <c r="E158" s="51"/>
      <c r="F158" s="51"/>
      <c r="G158" s="51"/>
      <c r="H158" s="10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152"/>
    </row>
    <row r="159" spans="1:25" ht="12" customHeight="1">
      <c r="A159" s="90"/>
      <c r="B159" s="18" t="s">
        <v>146</v>
      </c>
      <c r="C159" s="67"/>
      <c r="D159" s="91"/>
      <c r="E159" s="51"/>
      <c r="F159" s="51"/>
      <c r="G159" s="51"/>
      <c r="H159" s="106">
        <f>H157/E160/12*1000</f>
        <v>14.693238869988255</v>
      </c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152"/>
    </row>
    <row r="160" spans="1:25" s="19" customFormat="1">
      <c r="A160" s="107"/>
      <c r="B160" s="108" t="s">
        <v>147</v>
      </c>
      <c r="C160" s="109"/>
      <c r="D160" s="108"/>
      <c r="E160" s="173">
        <v>1832</v>
      </c>
      <c r="F160" s="110">
        <f>SUM(E160*12)</f>
        <v>21984</v>
      </c>
      <c r="G160" s="111">
        <f>H104+H159</f>
        <v>177.35603061120068</v>
      </c>
      <c r="H160" s="112">
        <f>SUM(F160*G160/1000)</f>
        <v>3898.9949769566356</v>
      </c>
      <c r="I160" s="96">
        <f t="shared" ref="I160:R160" si="59">SUM(I11:I159)</f>
        <v>105348.10227133332</v>
      </c>
      <c r="J160" s="96">
        <f t="shared" si="59"/>
        <v>98070.45097133331</v>
      </c>
      <c r="K160" s="96">
        <f t="shared" si="59"/>
        <v>98671.232841333302</v>
      </c>
      <c r="L160" s="96">
        <f t="shared" si="59"/>
        <v>92867.760171333328</v>
      </c>
      <c r="M160" s="96">
        <f t="shared" si="59"/>
        <v>194987.09984735557</v>
      </c>
      <c r="N160" s="96">
        <f t="shared" si="59"/>
        <v>95789.104017555554</v>
      </c>
      <c r="O160" s="96">
        <f t="shared" si="59"/>
        <v>97471.010617555541</v>
      </c>
      <c r="P160" s="96">
        <f t="shared" si="59"/>
        <v>99862.24661755556</v>
      </c>
      <c r="Q160" s="96">
        <f t="shared" si="59"/>
        <v>82857.407463355557</v>
      </c>
      <c r="R160" s="96">
        <f t="shared" si="59"/>
        <v>131882.67656537733</v>
      </c>
      <c r="S160" s="96">
        <f>SUM(S11:S159)</f>
        <v>122745.46824133334</v>
      </c>
      <c r="T160" s="96">
        <f>SUM(T11:T159)</f>
        <v>94448.032271333315</v>
      </c>
      <c r="U160" s="42">
        <f>U101+U157</f>
        <v>1368567.7510400175</v>
      </c>
    </row>
    <row r="161" spans="1:21" hidden="1">
      <c r="A161" s="113"/>
      <c r="B161" s="114"/>
      <c r="C161" s="114"/>
      <c r="D161" s="114"/>
      <c r="E161" s="115"/>
      <c r="F161" s="116"/>
      <c r="G161" s="117"/>
      <c r="H161" s="117"/>
      <c r="I161" s="118"/>
      <c r="J161" s="118"/>
      <c r="K161" s="118"/>
      <c r="L161" s="118"/>
      <c r="M161" s="118"/>
      <c r="N161" s="119"/>
      <c r="O161" s="119"/>
      <c r="P161" s="119"/>
      <c r="Q161" s="119"/>
      <c r="R161" s="119"/>
      <c r="S161" s="119"/>
      <c r="T161" s="119"/>
      <c r="U161" s="119"/>
    </row>
    <row r="162" spans="1:21" hidden="1">
      <c r="A162" s="120"/>
      <c r="B162" s="121"/>
      <c r="C162" s="122"/>
      <c r="D162" s="123"/>
      <c r="E162" s="124"/>
      <c r="F162" s="125"/>
      <c r="G162" s="125"/>
      <c r="H162" s="126"/>
      <c r="I162" s="118"/>
      <c r="J162" s="118"/>
      <c r="K162" s="118"/>
      <c r="L162" s="118"/>
      <c r="M162" s="118"/>
      <c r="N162" s="119"/>
      <c r="O162" s="119"/>
      <c r="P162" s="119"/>
      <c r="Q162" s="119"/>
      <c r="R162" s="119"/>
      <c r="S162" s="119"/>
      <c r="T162" s="119"/>
      <c r="U162" s="119"/>
    </row>
    <row r="163" spans="1:21" hidden="1">
      <c r="A163" s="120"/>
      <c r="B163" s="127" t="s">
        <v>148</v>
      </c>
      <c r="C163" s="127" t="s">
        <v>84</v>
      </c>
      <c r="D163" s="127" t="s">
        <v>149</v>
      </c>
      <c r="E163" s="128">
        <v>64</v>
      </c>
      <c r="F163" s="128">
        <v>64</v>
      </c>
      <c r="G163" s="129">
        <v>11.41</v>
      </c>
      <c r="H163" s="129">
        <f>G163*12*F163/1000</f>
        <v>8.7628800000000009</v>
      </c>
      <c r="I163" s="118"/>
      <c r="J163" s="118"/>
      <c r="K163" s="118"/>
      <c r="L163" s="118"/>
      <c r="M163" s="118"/>
      <c r="N163" s="119"/>
      <c r="O163" s="119"/>
      <c r="P163" s="119"/>
      <c r="Q163" s="119"/>
      <c r="R163" s="119"/>
      <c r="S163" s="119"/>
      <c r="T163" s="119"/>
      <c r="U163" s="119"/>
    </row>
    <row r="164" spans="1:21" hidden="1">
      <c r="A164" s="120"/>
      <c r="B164" s="127" t="s">
        <v>148</v>
      </c>
      <c r="C164" s="127" t="s">
        <v>84</v>
      </c>
      <c r="D164" s="127" t="s">
        <v>150</v>
      </c>
      <c r="E164" s="128">
        <v>64</v>
      </c>
      <c r="F164" s="128">
        <v>64</v>
      </c>
      <c r="G164" s="129">
        <v>18.98</v>
      </c>
      <c r="H164" s="129">
        <f>G164*12*F164/1000</f>
        <v>14.576639999999999</v>
      </c>
      <c r="I164" s="118"/>
      <c r="J164" s="118"/>
      <c r="K164" s="118"/>
      <c r="L164" s="118"/>
      <c r="M164" s="118"/>
      <c r="N164" s="119"/>
      <c r="O164" s="119"/>
      <c r="P164" s="119"/>
      <c r="Q164" s="119"/>
      <c r="R164" s="119"/>
      <c r="S164" s="119"/>
      <c r="T164" s="119"/>
      <c r="U164" s="119"/>
    </row>
    <row r="165" spans="1:21" hidden="1">
      <c r="A165" s="120"/>
      <c r="B165" s="130"/>
      <c r="C165" s="131"/>
      <c r="D165" s="132"/>
      <c r="E165" s="133"/>
      <c r="F165" s="134"/>
      <c r="G165" s="135"/>
      <c r="H165" s="136"/>
      <c r="I165" s="118"/>
      <c r="J165" s="118"/>
      <c r="K165" s="118"/>
      <c r="L165" s="118"/>
      <c r="M165" s="118"/>
      <c r="N165" s="119"/>
      <c r="O165" s="119"/>
      <c r="P165" s="119"/>
      <c r="Q165" s="119"/>
      <c r="R165" s="119"/>
      <c r="S165" s="119"/>
      <c r="T165" s="119"/>
      <c r="U165" s="119"/>
    </row>
    <row r="166" spans="1:21" hidden="1">
      <c r="A166" s="120"/>
      <c r="B166" s="130"/>
      <c r="C166" s="131"/>
      <c r="D166" s="132"/>
      <c r="E166" s="133"/>
      <c r="F166" s="134"/>
      <c r="G166" s="135"/>
      <c r="H166" s="136"/>
      <c r="I166" s="118"/>
      <c r="J166" s="118"/>
      <c r="K166" s="118"/>
      <c r="L166" s="118"/>
      <c r="M166" s="118"/>
      <c r="N166" s="119"/>
      <c r="O166" s="119"/>
      <c r="P166" s="119"/>
      <c r="Q166" s="119"/>
      <c r="R166" s="119"/>
      <c r="S166" s="119"/>
      <c r="T166" s="119"/>
      <c r="U166" s="119"/>
    </row>
    <row r="167" spans="1:21" hidden="1">
      <c r="A167" s="120"/>
      <c r="B167" s="130"/>
      <c r="C167" s="131"/>
      <c r="D167" s="132"/>
      <c r="E167" s="133"/>
      <c r="F167" s="134"/>
      <c r="G167" s="135"/>
      <c r="H167" s="136"/>
      <c r="I167" s="118"/>
      <c r="J167" s="118"/>
      <c r="K167" s="118"/>
      <c r="L167" s="118"/>
      <c r="M167" s="118"/>
      <c r="N167" s="119"/>
      <c r="O167" s="119"/>
      <c r="P167" s="119"/>
      <c r="Q167" s="119"/>
      <c r="R167" s="119"/>
      <c r="S167" s="119"/>
      <c r="T167" s="119"/>
      <c r="U167" s="119"/>
    </row>
    <row r="168" spans="1:21">
      <c r="A168" s="119"/>
      <c r="B168" s="119"/>
      <c r="C168" s="119"/>
      <c r="D168" s="119"/>
      <c r="E168" s="118"/>
      <c r="F168" s="118"/>
      <c r="G168" s="118"/>
      <c r="H168" s="118"/>
      <c r="I168" s="118"/>
      <c r="J168" s="118"/>
      <c r="K168" s="118"/>
      <c r="L168" s="118"/>
      <c r="M168" s="119"/>
      <c r="N168" s="118"/>
      <c r="O168" s="119"/>
      <c r="P168" s="119"/>
      <c r="Q168" s="119"/>
      <c r="R168" s="119"/>
      <c r="S168" s="119"/>
      <c r="T168" s="119"/>
      <c r="U168" s="119"/>
    </row>
    <row r="169" spans="1:21">
      <c r="A169" s="119"/>
      <c r="B169" s="119"/>
      <c r="C169" s="119"/>
      <c r="D169" s="119"/>
      <c r="E169" s="118"/>
      <c r="F169" s="118"/>
      <c r="G169" s="118"/>
      <c r="H169" s="118"/>
      <c r="I169" s="118"/>
      <c r="J169" s="137"/>
      <c r="K169" s="138"/>
      <c r="L169" s="137"/>
      <c r="M169" s="118"/>
      <c r="N169" s="119"/>
      <c r="O169" s="119"/>
      <c r="P169" s="119"/>
      <c r="Q169" s="119"/>
      <c r="R169" s="119"/>
      <c r="S169" s="119"/>
      <c r="T169" s="119"/>
      <c r="U169" s="119"/>
    </row>
    <row r="170" spans="1:21" ht="45">
      <c r="A170" s="119"/>
      <c r="B170" s="143" t="s">
        <v>262</v>
      </c>
      <c r="C170" s="198">
        <v>-54026.03</v>
      </c>
      <c r="D170" s="199"/>
      <c r="E170" s="199"/>
      <c r="F170" s="200"/>
      <c r="G170" s="118"/>
      <c r="H170" s="118"/>
      <c r="I170" s="118"/>
      <c r="J170" s="137"/>
      <c r="K170" s="138"/>
      <c r="L170" s="137"/>
      <c r="M170" s="118"/>
      <c r="N170" s="119"/>
      <c r="O170" s="119"/>
      <c r="P170" s="119"/>
      <c r="Q170" s="119"/>
      <c r="R170" s="119"/>
      <c r="S170" s="119"/>
      <c r="T170" s="119"/>
      <c r="U170" s="119"/>
    </row>
    <row r="171" spans="1:21" ht="30">
      <c r="A171" s="119"/>
      <c r="B171" s="143" t="s">
        <v>281</v>
      </c>
      <c r="C171" s="198">
        <f>(94035.16*11)+88922.16</f>
        <v>1123308.92</v>
      </c>
      <c r="D171" s="199"/>
      <c r="E171" s="199"/>
      <c r="F171" s="200"/>
      <c r="G171" s="118"/>
      <c r="H171" s="118"/>
      <c r="I171" s="118"/>
      <c r="J171" s="137"/>
      <c r="K171" s="138"/>
      <c r="L171" s="137"/>
      <c r="M171" s="118"/>
      <c r="N171" s="119"/>
      <c r="O171" s="119"/>
      <c r="P171" s="119"/>
      <c r="Q171" s="119"/>
      <c r="R171" s="119"/>
      <c r="S171" s="119"/>
      <c r="T171" s="119"/>
      <c r="U171" s="119"/>
    </row>
    <row r="172" spans="1:21" ht="30">
      <c r="A172" s="119"/>
      <c r="B172" s="143" t="s">
        <v>282</v>
      </c>
      <c r="C172" s="198">
        <f>SUM(U160-U157)</f>
        <v>1045551.5877221957</v>
      </c>
      <c r="D172" s="199"/>
      <c r="E172" s="199"/>
      <c r="F172" s="200"/>
      <c r="G172" s="118"/>
      <c r="H172" s="118"/>
      <c r="I172" s="118"/>
      <c r="J172" s="137"/>
      <c r="K172" s="138"/>
      <c r="L172" s="137"/>
      <c r="M172" s="118"/>
      <c r="N172" s="119"/>
      <c r="O172" s="119"/>
      <c r="P172" s="119"/>
      <c r="Q172" s="119"/>
      <c r="R172" s="119"/>
      <c r="S172" s="119"/>
      <c r="T172" s="119"/>
      <c r="U172" s="119"/>
    </row>
    <row r="173" spans="1:21" ht="30">
      <c r="A173" s="119"/>
      <c r="B173" s="143" t="s">
        <v>283</v>
      </c>
      <c r="C173" s="198">
        <f>SUM(U157)</f>
        <v>323016.1633178218</v>
      </c>
      <c r="D173" s="199"/>
      <c r="E173" s="199"/>
      <c r="F173" s="200"/>
      <c r="G173" s="118"/>
      <c r="H173" s="118"/>
      <c r="I173" s="118"/>
      <c r="J173" s="137"/>
      <c r="K173" s="138"/>
      <c r="L173" s="137"/>
      <c r="M173" s="118"/>
      <c r="N173" s="119"/>
      <c r="O173" s="119"/>
      <c r="P173" s="119"/>
      <c r="Q173" s="119"/>
      <c r="R173" s="119"/>
      <c r="S173" s="119"/>
      <c r="T173" s="119"/>
      <c r="U173" s="119"/>
    </row>
    <row r="174" spans="1:21" ht="18">
      <c r="A174" s="119"/>
      <c r="B174" s="147" t="s">
        <v>284</v>
      </c>
      <c r="C174" s="198">
        <f>82769.15+81251.28+104257.68+86444.68+89467.6+76366.07+104788.79+75343.79+83166.89+80753.31+90741.79+86626.34</f>
        <v>1041977.37</v>
      </c>
      <c r="D174" s="199"/>
      <c r="E174" s="199"/>
      <c r="F174" s="200"/>
      <c r="G174" s="119"/>
      <c r="I174" s="139" t="s">
        <v>157</v>
      </c>
      <c r="J174" s="140"/>
      <c r="K174" s="141"/>
      <c r="L174" s="142"/>
      <c r="M174" s="139"/>
      <c r="N174" s="139"/>
      <c r="O174" s="119"/>
      <c r="P174" s="119"/>
      <c r="Q174" s="119"/>
      <c r="R174" s="119"/>
      <c r="S174" s="119"/>
      <c r="T174" s="119"/>
      <c r="U174" s="119"/>
    </row>
    <row r="175" spans="1:21" ht="78.75">
      <c r="A175" s="119"/>
      <c r="B175" s="177" t="s">
        <v>327</v>
      </c>
      <c r="C175" s="204">
        <v>423634.06</v>
      </c>
      <c r="D175" s="205"/>
      <c r="E175" s="205"/>
      <c r="F175" s="206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</row>
    <row r="176" spans="1:21" ht="45">
      <c r="A176" s="119"/>
      <c r="B176" s="143" t="s">
        <v>328</v>
      </c>
      <c r="C176" s="201">
        <f>SUM(U160-C171)+C170</f>
        <v>191232.80104001754</v>
      </c>
      <c r="D176" s="202"/>
      <c r="E176" s="202"/>
      <c r="F176" s="203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</row>
    <row r="178" spans="7:13">
      <c r="J178" s="4"/>
      <c r="K178" s="5"/>
      <c r="L178" s="5"/>
      <c r="M178" s="3"/>
    </row>
    <row r="179" spans="7:13">
      <c r="G179" s="6"/>
      <c r="H179" s="6"/>
    </row>
    <row r="180" spans="7:13">
      <c r="G180" s="7"/>
    </row>
  </sheetData>
  <mergeCells count="12">
    <mergeCell ref="C170:F170"/>
    <mergeCell ref="C176:F176"/>
    <mergeCell ref="C171:F171"/>
    <mergeCell ref="C172:F172"/>
    <mergeCell ref="C173:F173"/>
    <mergeCell ref="C174:F174"/>
    <mergeCell ref="C175:F175"/>
    <mergeCell ref="W101:Z101"/>
    <mergeCell ref="B3:L3"/>
    <mergeCell ref="B4:L4"/>
    <mergeCell ref="B5:L5"/>
    <mergeCell ref="B6:L6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  <rowBreaks count="1" manualBreakCount="1">
    <brk id="143" max="20" man="1"/>
  </rowBreaks>
  <ignoredErrors>
    <ignoredError sqref="M28:P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Нефт.,4</vt:lpstr>
      <vt:lpstr>'Нефт.,4'!Область_печати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2018-11-27T12:03:43Z</cp:lastPrinted>
  <dcterms:created xsi:type="dcterms:W3CDTF">2014-02-05T12:20:20Z</dcterms:created>
  <dcterms:modified xsi:type="dcterms:W3CDTF">2018-11-27T12:04:32Z</dcterms:modified>
</cp:coreProperties>
</file>