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Сов.,41" sheetId="1" r:id="rId1"/>
  </sheets>
  <definedNames>
    <definedName name="_xlnm.Print_Area" localSheetId="0">'Сов.,41'!$A$1:$U$144</definedName>
  </definedNames>
  <calcPr calcId="124519"/>
</workbook>
</file>

<file path=xl/calcChain.xml><?xml version="1.0" encoding="utf-8"?>
<calcChain xmlns="http://schemas.openxmlformats.org/spreadsheetml/2006/main">
  <c r="T87" i="1"/>
  <c r="R62"/>
  <c r="Q85"/>
  <c r="R87"/>
  <c r="K87"/>
  <c r="S87"/>
  <c r="N87"/>
  <c r="M87"/>
  <c r="L87"/>
  <c r="T62"/>
  <c r="U63"/>
  <c r="U59"/>
  <c r="C142"/>
  <c r="C139"/>
  <c r="T109"/>
  <c r="T98"/>
  <c r="S98"/>
  <c r="U84"/>
  <c r="U85"/>
  <c r="U86"/>
  <c r="U87"/>
  <c r="U88"/>
  <c r="U89"/>
  <c r="U90"/>
  <c r="U91"/>
  <c r="U92"/>
  <c r="U93"/>
  <c r="U94"/>
  <c r="U95"/>
  <c r="U96"/>
  <c r="U83"/>
  <c r="U74"/>
  <c r="U76"/>
  <c r="U79"/>
  <c r="U73"/>
  <c r="T70"/>
  <c r="S70"/>
  <c r="T41"/>
  <c r="T35"/>
  <c r="S35"/>
  <c r="U37"/>
  <c r="U30"/>
  <c r="U31"/>
  <c r="S124"/>
  <c r="U124" s="1"/>
  <c r="H124"/>
  <c r="S117"/>
  <c r="S77"/>
  <c r="S109"/>
  <c r="S62"/>
  <c r="R123"/>
  <c r="U123" s="1"/>
  <c r="H123"/>
  <c r="R109" l="1"/>
  <c r="R108"/>
  <c r="R117"/>
  <c r="R122"/>
  <c r="U122" s="1"/>
  <c r="F122"/>
  <c r="H122" s="1"/>
  <c r="R77"/>
  <c r="H76"/>
  <c r="H120"/>
  <c r="R121"/>
  <c r="U121" s="1"/>
  <c r="H121"/>
  <c r="Q110"/>
  <c r="Q120"/>
  <c r="U120" s="1"/>
  <c r="Q119"/>
  <c r="U119" s="1"/>
  <c r="H119"/>
  <c r="Q118"/>
  <c r="U118" s="1"/>
  <c r="H118"/>
  <c r="R98" l="1"/>
  <c r="Q98"/>
  <c r="P98"/>
  <c r="H70"/>
  <c r="R70"/>
  <c r="Q70"/>
  <c r="P70"/>
  <c r="Q69"/>
  <c r="U69" s="1"/>
  <c r="S60"/>
  <c r="R60"/>
  <c r="Q60"/>
  <c r="P60"/>
  <c r="O60"/>
  <c r="R52"/>
  <c r="S41"/>
  <c r="L35"/>
  <c r="Q27"/>
  <c r="R27"/>
  <c r="P116"/>
  <c r="U116" s="1"/>
  <c r="H116"/>
  <c r="M112"/>
  <c r="M108"/>
  <c r="P117"/>
  <c r="U117" s="1"/>
  <c r="H117"/>
  <c r="P75"/>
  <c r="U75" s="1"/>
  <c r="O98"/>
  <c r="O70"/>
  <c r="P54"/>
  <c r="P53"/>
  <c r="P27"/>
  <c r="O112" l="1"/>
  <c r="F112"/>
  <c r="O108"/>
  <c r="N98"/>
  <c r="N70"/>
  <c r="N60"/>
  <c r="O27"/>
  <c r="L113"/>
  <c r="U113" s="1"/>
  <c r="M98"/>
  <c r="M70"/>
  <c r="M60"/>
  <c r="L60"/>
  <c r="N27"/>
  <c r="M115"/>
  <c r="U115" s="1"/>
  <c r="H115"/>
  <c r="H37"/>
  <c r="M52" l="1"/>
  <c r="U52" s="1"/>
  <c r="M114"/>
  <c r="U114" s="1"/>
  <c r="F114"/>
  <c r="H114" s="1"/>
  <c r="L98"/>
  <c r="K98"/>
  <c r="J98"/>
  <c r="I98"/>
  <c r="L70"/>
  <c r="K70"/>
  <c r="J70"/>
  <c r="I70"/>
  <c r="I54"/>
  <c r="I53"/>
  <c r="L54"/>
  <c r="L53"/>
  <c r="M27"/>
  <c r="U27" s="1"/>
  <c r="M20"/>
  <c r="U20" s="1"/>
  <c r="U70" l="1"/>
  <c r="U98"/>
  <c r="U53"/>
  <c r="U54"/>
  <c r="H108"/>
  <c r="H113"/>
  <c r="J77" l="1"/>
  <c r="U77" s="1"/>
  <c r="K60"/>
  <c r="L41" l="1"/>
  <c r="K35"/>
  <c r="K41" l="1"/>
  <c r="J35"/>
  <c r="J60" l="1"/>
  <c r="K109" l="1"/>
  <c r="K112" l="1"/>
  <c r="U112" s="1"/>
  <c r="H112"/>
  <c r="K108" l="1"/>
  <c r="U97"/>
  <c r="J110" l="1"/>
  <c r="U110" s="1"/>
  <c r="J111"/>
  <c r="U111" s="1"/>
  <c r="F111"/>
  <c r="H110"/>
  <c r="J109"/>
  <c r="U109" s="1"/>
  <c r="I108"/>
  <c r="U108" s="1"/>
  <c r="I107"/>
  <c r="U107" s="1"/>
  <c r="H107"/>
  <c r="I62"/>
  <c r="U62" s="1"/>
  <c r="P80"/>
  <c r="I60"/>
  <c r="U60" s="1"/>
  <c r="I41"/>
  <c r="U41" s="1"/>
  <c r="J41"/>
  <c r="I35"/>
  <c r="U35" s="1"/>
  <c r="U125" l="1"/>
  <c r="C141" s="1"/>
  <c r="U80"/>
  <c r="U81" s="1"/>
  <c r="H96"/>
  <c r="H95"/>
  <c r="H93"/>
  <c r="H92"/>
  <c r="H91"/>
  <c r="H90"/>
  <c r="H89"/>
  <c r="H88"/>
  <c r="H87"/>
  <c r="H86"/>
  <c r="H85"/>
  <c r="H84"/>
  <c r="H83"/>
  <c r="F94"/>
  <c r="H94" s="1"/>
  <c r="H80"/>
  <c r="F63"/>
  <c r="F62"/>
  <c r="E100"/>
  <c r="F53"/>
  <c r="F48"/>
  <c r="F44"/>
  <c r="F16"/>
  <c r="F15"/>
  <c r="M44" l="1"/>
  <c r="Q44"/>
  <c r="M16"/>
  <c r="Q16"/>
  <c r="M48"/>
  <c r="Q48"/>
  <c r="M15"/>
  <c r="Q15"/>
  <c r="H48"/>
  <c r="H97"/>
  <c r="U15" l="1"/>
  <c r="U48"/>
  <c r="U16"/>
  <c r="U44"/>
  <c r="F28"/>
  <c r="H111"/>
  <c r="P28" l="1"/>
  <c r="R28"/>
  <c r="Q28"/>
  <c r="N28"/>
  <c r="O28"/>
  <c r="M28"/>
  <c r="U28" s="1"/>
  <c r="H109" l="1"/>
  <c r="H125" s="1"/>
  <c r="F54"/>
  <c r="H74"/>
  <c r="H73"/>
  <c r="H60"/>
  <c r="F59"/>
  <c r="H59" s="1"/>
  <c r="F49"/>
  <c r="F46"/>
  <c r="F39"/>
  <c r="H27"/>
  <c r="F19"/>
  <c r="M19" s="1"/>
  <c r="U19" s="1"/>
  <c r="T39" l="1"/>
  <c r="S39"/>
  <c r="M49"/>
  <c r="Q49"/>
  <c r="T49"/>
  <c r="M46"/>
  <c r="U46" s="1"/>
  <c r="Q46"/>
  <c r="L39"/>
  <c r="K39"/>
  <c r="I39"/>
  <c r="U39" s="1"/>
  <c r="J39"/>
  <c r="I49"/>
  <c r="U49" s="1"/>
  <c r="J49"/>
  <c r="H49"/>
  <c r="F69"/>
  <c r="F36"/>
  <c r="E13"/>
  <c r="F13" s="1"/>
  <c r="P13" l="1"/>
  <c r="T13"/>
  <c r="R13"/>
  <c r="Q13"/>
  <c r="S13"/>
  <c r="T36"/>
  <c r="S36"/>
  <c r="O13"/>
  <c r="N13"/>
  <c r="M13"/>
  <c r="L36"/>
  <c r="K36"/>
  <c r="L13"/>
  <c r="K13"/>
  <c r="J13"/>
  <c r="I13"/>
  <c r="I36"/>
  <c r="J36"/>
  <c r="H132"/>
  <c r="H131"/>
  <c r="F128"/>
  <c r="H127"/>
  <c r="H103"/>
  <c r="H79"/>
  <c r="F77"/>
  <c r="H77" s="1"/>
  <c r="H75"/>
  <c r="H69"/>
  <c r="F68"/>
  <c r="F67"/>
  <c r="F66"/>
  <c r="F65"/>
  <c r="F64"/>
  <c r="H63"/>
  <c r="H62"/>
  <c r="F57"/>
  <c r="H53"/>
  <c r="H52"/>
  <c r="F51"/>
  <c r="F50"/>
  <c r="F47"/>
  <c r="H46"/>
  <c r="F45"/>
  <c r="H44"/>
  <c r="H41"/>
  <c r="F40"/>
  <c r="H39"/>
  <c r="F38"/>
  <c r="H36"/>
  <c r="H35"/>
  <c r="F32"/>
  <c r="H31"/>
  <c r="H30"/>
  <c r="F29"/>
  <c r="H28"/>
  <c r="F26"/>
  <c r="F25"/>
  <c r="F24"/>
  <c r="F21"/>
  <c r="F18"/>
  <c r="F17"/>
  <c r="F14"/>
  <c r="H13"/>
  <c r="F12"/>
  <c r="F11"/>
  <c r="U36" l="1"/>
  <c r="T11"/>
  <c r="S11"/>
  <c r="R11"/>
  <c r="P11"/>
  <c r="Q11"/>
  <c r="P32"/>
  <c r="T32"/>
  <c r="R32"/>
  <c r="Q32"/>
  <c r="S32"/>
  <c r="M50"/>
  <c r="R50"/>
  <c r="S57"/>
  <c r="T57"/>
  <c r="L57"/>
  <c r="P25"/>
  <c r="R25"/>
  <c r="Q25"/>
  <c r="P12"/>
  <c r="T12"/>
  <c r="Q12"/>
  <c r="S12"/>
  <c r="R12"/>
  <c r="Q24"/>
  <c r="R24"/>
  <c r="P24"/>
  <c r="S29"/>
  <c r="T29"/>
  <c r="R29"/>
  <c r="P29"/>
  <c r="Q29"/>
  <c r="T38"/>
  <c r="S38"/>
  <c r="T40"/>
  <c r="S40"/>
  <c r="M45"/>
  <c r="Q45"/>
  <c r="M47"/>
  <c r="Q47"/>
  <c r="M51"/>
  <c r="R51"/>
  <c r="U13"/>
  <c r="O24"/>
  <c r="O11"/>
  <c r="N12"/>
  <c r="O12"/>
  <c r="M12"/>
  <c r="H14"/>
  <c r="M14"/>
  <c r="U14" s="1"/>
  <c r="H18"/>
  <c r="M18"/>
  <c r="U18" s="1"/>
  <c r="N24"/>
  <c r="M24"/>
  <c r="H26"/>
  <c r="M26"/>
  <c r="U26" s="1"/>
  <c r="O29"/>
  <c r="N29"/>
  <c r="M29"/>
  <c r="H65"/>
  <c r="M65"/>
  <c r="U65" s="1"/>
  <c r="H67"/>
  <c r="M67"/>
  <c r="U67" s="1"/>
  <c r="N11"/>
  <c r="M11"/>
  <c r="H17"/>
  <c r="M17"/>
  <c r="U17" s="1"/>
  <c r="H21"/>
  <c r="M21"/>
  <c r="U21" s="1"/>
  <c r="N25"/>
  <c r="O25"/>
  <c r="M25"/>
  <c r="N32"/>
  <c r="O32"/>
  <c r="M32"/>
  <c r="H64"/>
  <c r="M64"/>
  <c r="U64" s="1"/>
  <c r="H66"/>
  <c r="M66"/>
  <c r="U66" s="1"/>
  <c r="H68"/>
  <c r="M68"/>
  <c r="U68" s="1"/>
  <c r="L11"/>
  <c r="K11"/>
  <c r="J11"/>
  <c r="L12"/>
  <c r="K12"/>
  <c r="K29"/>
  <c r="L29"/>
  <c r="J29"/>
  <c r="L38"/>
  <c r="K38"/>
  <c r="K57"/>
  <c r="J57"/>
  <c r="K32"/>
  <c r="L32"/>
  <c r="J32"/>
  <c r="L40"/>
  <c r="K40"/>
  <c r="I11"/>
  <c r="U11" s="1"/>
  <c r="J12"/>
  <c r="I12"/>
  <c r="I29"/>
  <c r="I38"/>
  <c r="U38" s="1"/>
  <c r="J38"/>
  <c r="I57"/>
  <c r="U57" s="1"/>
  <c r="I32"/>
  <c r="I40"/>
  <c r="U40" s="1"/>
  <c r="U42" s="1"/>
  <c r="J40"/>
  <c r="H71"/>
  <c r="H25"/>
  <c r="H24"/>
  <c r="H51"/>
  <c r="H45"/>
  <c r="H47"/>
  <c r="H50"/>
  <c r="H38"/>
  <c r="H57"/>
  <c r="H40"/>
  <c r="H32"/>
  <c r="H81"/>
  <c r="H12"/>
  <c r="H98"/>
  <c r="H99" s="1"/>
  <c r="H15"/>
  <c r="H54"/>
  <c r="H11"/>
  <c r="H16"/>
  <c r="H29"/>
  <c r="F100"/>
  <c r="H19"/>
  <c r="U12" l="1"/>
  <c r="H42"/>
  <c r="T100"/>
  <c r="R100"/>
  <c r="P100"/>
  <c r="S100"/>
  <c r="Q100"/>
  <c r="U32"/>
  <c r="U29"/>
  <c r="U25"/>
  <c r="U24"/>
  <c r="U51"/>
  <c r="U47"/>
  <c r="U45"/>
  <c r="U50"/>
  <c r="Q128"/>
  <c r="O100"/>
  <c r="P128"/>
  <c r="O128"/>
  <c r="N100"/>
  <c r="N128" s="1"/>
  <c r="M100"/>
  <c r="H100"/>
  <c r="K100"/>
  <c r="I100"/>
  <c r="L100"/>
  <c r="J100"/>
  <c r="M128"/>
  <c r="U71"/>
  <c r="H33"/>
  <c r="R128"/>
  <c r="S128"/>
  <c r="T128"/>
  <c r="H55"/>
  <c r="U99"/>
  <c r="U55"/>
  <c r="J128"/>
  <c r="L128"/>
  <c r="K128"/>
  <c r="U33"/>
  <c r="H101"/>
  <c r="H22"/>
  <c r="U100" l="1"/>
  <c r="H102"/>
  <c r="H104" s="1"/>
  <c r="G128" s="1"/>
  <c r="H128" s="1"/>
  <c r="U22"/>
  <c r="U101"/>
  <c r="I128"/>
  <c r="U102" l="1"/>
  <c r="U128" s="1"/>
  <c r="C140" s="1"/>
  <c r="C144" s="1"/>
</calcChain>
</file>

<file path=xl/sharedStrings.xml><?xml version="1.0" encoding="utf-8"?>
<sst xmlns="http://schemas.openxmlformats.org/spreadsheetml/2006/main" count="396" uniqueCount="277">
  <si>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</si>
  <si>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</si>
  <si>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</si>
  <si>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</si>
  <si>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</si>
  <si>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</si>
  <si>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</si>
  <si>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</si>
  <si>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</si>
  <si>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</si>
  <si>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</si>
  <si>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</si>
  <si>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</si>
  <si>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</si>
  <si>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</si>
  <si>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</si>
  <si>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</si>
  <si>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</si>
  <si>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</si>
  <si>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</si>
  <si>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</si>
  <si>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</si>
  <si>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</si>
  <si>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</si>
  <si>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</si>
  <si>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</si>
  <si>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</si>
  <si>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</si>
  <si>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</si>
  <si>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</si>
  <si>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</si>
  <si>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</si>
  <si>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</si>
  <si>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</si>
  <si>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</si>
  <si>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</si>
  <si>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</si>
  <si>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</si>
  <si>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</si>
  <si>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</si>
  <si>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</si>
  <si>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</si>
  <si>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</si>
  <si>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</si>
  <si>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</si>
  <si>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</si>
  <si>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</si>
  <si>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</si>
  <si>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 xml:space="preserve">Сдвигание снега в дни снегопада 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</si>
  <si>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</si>
  <si>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</si>
  <si>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</si>
  <si>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</si>
  <si>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</si>
  <si>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</si>
  <si>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</si>
  <si>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</si>
  <si>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деревянных конструкций стропил</t>
  </si>
  <si>
    <t>100 м3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</si>
  <si>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</si>
  <si>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</si>
  <si>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</si>
  <si>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</si>
  <si>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</si>
  <si>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</si>
  <si>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</si>
  <si>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2-1-1а</t>
  </si>
  <si>
    <t xml:space="preserve">Проверка дымоходов 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</si>
  <si>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</si>
  <si>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</si>
  <si>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</si>
  <si>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</si>
  <si>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</si>
  <si>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</si>
  <si>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</si>
  <si>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12 раз в год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</si>
  <si>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</si>
  <si>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</si>
  <si>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</si>
  <si>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</si>
  <si>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</si>
  <si>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</si>
  <si>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</si>
  <si>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</si>
  <si>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</si>
  <si>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</si>
  <si>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</si>
  <si>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</si>
  <si>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</si>
  <si>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</si>
  <si>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</si>
  <si>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</si>
  <si>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</si>
  <si>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</si>
  <si>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</si>
  <si>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</si>
  <si>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</si>
  <si>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</si>
  <si>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</si>
  <si>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</si>
  <si>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</si>
  <si>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</si>
  <si>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</si>
  <si>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</si>
  <si>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</si>
  <si>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</si>
  <si>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Обслуживание внутридомовое газовое оборудование</t>
  </si>
  <si>
    <t>плита</t>
  </si>
  <si>
    <t>водонагреватель</t>
  </si>
  <si>
    <t>Генеральный директор ООО "Жилсервис"_______Ю.Л.Куканов</t>
  </si>
  <si>
    <t xml:space="preserve">1 раз в год     </t>
  </si>
  <si>
    <t>1 раз в месяц</t>
  </si>
  <si>
    <t xml:space="preserve">Влажная протирка шкафов для щитов </t>
  </si>
  <si>
    <t>Очистка урн от мусора</t>
  </si>
  <si>
    <t>30 раз за сезон</t>
  </si>
  <si>
    <t>Осмотр кровли металлической</t>
  </si>
  <si>
    <t>Очистка чердака от мусора</t>
  </si>
  <si>
    <t>Дератизация</t>
  </si>
  <si>
    <t>Вода для промывки системы отопления</t>
  </si>
  <si>
    <t>Спуск воды после промывки системы отопления в канализацию</t>
  </si>
  <si>
    <t>Обслуживание прибора учета тепловой энергии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</si>
  <si>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</si>
  <si>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</si>
  <si>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</si>
  <si>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</si>
  <si>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</si>
  <si>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</si>
  <si>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</si>
  <si>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</si>
  <si>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</si>
  <si>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</si>
  <si>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</si>
  <si>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 xml:space="preserve">1 раз в год  </t>
  </si>
  <si>
    <t>35 раз за сезон</t>
  </si>
  <si>
    <t>Смена светодиодных светильников</t>
  </si>
  <si>
    <t>счет-фактура</t>
  </si>
  <si>
    <t>Стоимость светодиодного светильника</t>
  </si>
  <si>
    <t>руб.</t>
  </si>
  <si>
    <t>Смена плавкой вставки в электрощите</t>
  </si>
  <si>
    <t>3 раза в год</t>
  </si>
  <si>
    <t>калькуляция</t>
  </si>
  <si>
    <t>Работа автовышки</t>
  </si>
  <si>
    <t>маш/час</t>
  </si>
  <si>
    <t>договор</t>
  </si>
  <si>
    <t>ТО внутридомового газ.оборудования</t>
  </si>
  <si>
    <t>Стоимость (руб.)</t>
  </si>
  <si>
    <t>Вывоз снега с придомовой территории</t>
  </si>
  <si>
    <t>5 этажей, 4 подъезда</t>
  </si>
  <si>
    <t>Выполне  ние       май</t>
  </si>
  <si>
    <t>Ремонт групповых щитков на лестничной клетке без ремонта автоматов</t>
  </si>
  <si>
    <t>Итого:</t>
  </si>
  <si>
    <t>Водоснабжение, канализация</t>
  </si>
  <si>
    <t>Зачеканка раструбов канализационных труб диаметром до 100 мм</t>
  </si>
  <si>
    <t>Очистка канализационной сети внутренней</t>
  </si>
  <si>
    <t>Прочистка засоров ГВС, ХВС</t>
  </si>
  <si>
    <t>Уборка фекалий из подвала</t>
  </si>
  <si>
    <t>Водоотлив из подвала электрическими (механическими) насосами (100 м3 воды)</t>
  </si>
  <si>
    <t>Смена внутренних трубопроводов из чугунных канализац. труб диаметром до 50 мм (без стоимости креплений)</t>
  </si>
  <si>
    <t>Смена внутренних трубопроводов из чугунных канализац. труб диаметром до 100 мм (без стоимости креплений)</t>
  </si>
  <si>
    <t>Смена полиэтиленовых канализационных труб диаметром до 50 мм (без стоимости креплений)</t>
  </si>
  <si>
    <t>Ремонт вентильных кранов д=40 со снятием с места</t>
  </si>
  <si>
    <t>Смена внутренних трубопроводов  из стальных труб диаметром до 50 мм (без стоимости креплений)</t>
  </si>
  <si>
    <t>Осмотр водопровода, канализации и горячего водоснабжения</t>
  </si>
  <si>
    <t>Прочистка канализационного лежака в подвальных помещениях  и технических этажах</t>
  </si>
  <si>
    <t>Проверка исправности канализационных вытяжек</t>
  </si>
  <si>
    <t>1 шт.</t>
  </si>
  <si>
    <t>1 м</t>
  </si>
  <si>
    <t>3 м</t>
  </si>
  <si>
    <t>10 м3</t>
  </si>
  <si>
    <t>Смена полиэтиленовых канализационных труб диаметром до 100 мм (без стоимости креплений)</t>
  </si>
  <si>
    <t>100 м канализационного лежака</t>
  </si>
  <si>
    <t>Баланс выполненных работ на 01.01.2016 г. ( -долг за предприятием, +долг за населением)</t>
  </si>
  <si>
    <t>Р. 11.1 (прим.)</t>
  </si>
  <si>
    <t>Р 11.4</t>
  </si>
  <si>
    <t>Р. 11.3</t>
  </si>
  <si>
    <t>Ремонт и регулировка доводчика (без стоимости доводчика)</t>
  </si>
  <si>
    <t>1шт.</t>
  </si>
  <si>
    <t>Смена дверных приборов (замки навесные)</t>
  </si>
  <si>
    <t>Заделка подвальных окон фанерой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</si>
  <si>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Советская, 41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 xml:space="preserve">за 2016 год </t>
    </r>
  </si>
  <si>
    <t>Внеплановый осмотр электросетей, армазуры и электрооборудования на лестничных клетках</t>
  </si>
  <si>
    <t>Начислено за содержание и текущий ремонт за 2016 г.</t>
  </si>
  <si>
    <t>Выполнено работ по содержанию за 2016 г.</t>
  </si>
  <si>
    <t>Выполнено работ по текущему ремонту за 2016 г.</t>
  </si>
  <si>
    <t>Фактически оплачено за 2016 г.</t>
  </si>
  <si>
    <t>смета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</si>
  <si>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</si>
  <si>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</si>
  <si>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</si>
  <si>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</si>
  <si>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</si>
  <si>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</si>
  <si>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</si>
  <si>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</si>
  <si>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 xml:space="preserve">Очистка края кровли от слежавшегося снега со сбрасыванием сосулек (10% от S кровли) </t>
  </si>
  <si>
    <t>100шт</t>
  </si>
  <si>
    <t>Настройка таймера освещения ТО-2</t>
  </si>
  <si>
    <t>Ремонт ограждений контейнерной площадки</t>
  </si>
  <si>
    <t>тыс.руб.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</si>
  <si>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</si>
  <si>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</si>
  <si>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</si>
  <si>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</si>
  <si>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</si>
  <si>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</si>
  <si>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</si>
  <si>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</si>
  <si>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</si>
  <si>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</si>
  <si>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</si>
  <si>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</si>
  <si>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</si>
  <si>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</si>
  <si>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</si>
  <si>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</si>
  <si>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</si>
  <si>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</si>
  <si>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</si>
  <si>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</si>
  <si>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</si>
  <si>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</si>
  <si>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</si>
  <si>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</si>
  <si>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</si>
  <si>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</si>
  <si>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</si>
  <si>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</si>
  <si>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</si>
  <si>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ТЕР 42-001</t>
  </si>
  <si>
    <t>ТЕР 54-041 и 42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</si>
  <si>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</si>
  <si>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</si>
  <si>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</si>
  <si>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</si>
  <si>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</si>
  <si>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</si>
  <si>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</si>
  <si>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пр.ТЕР 33-024</t>
  </si>
  <si>
    <t>ТЕР 33-019</t>
  </si>
  <si>
    <t>ТЕР 33-043</t>
  </si>
  <si>
    <t>ТЕР 32-101</t>
  </si>
  <si>
    <t>ТЕР 32-079</t>
  </si>
  <si>
    <t>ТЕР 32-080</t>
  </si>
  <si>
    <t>ТЕР 32-071</t>
  </si>
  <si>
    <t>ТЕР 32-089</t>
  </si>
  <si>
    <t xml:space="preserve">ТЕР 32-007 </t>
  </si>
  <si>
    <t>ТЕР 32-009</t>
  </si>
  <si>
    <t>ТЕР 51-035</t>
  </si>
  <si>
    <t>ТЕР 11-012</t>
  </si>
  <si>
    <t>ТЕР 32-082</t>
  </si>
  <si>
    <t>ТЕР 32-083</t>
  </si>
  <si>
    <t>ТЕР 33-030</t>
  </si>
  <si>
    <t>ТЕР 15-051</t>
  </si>
  <si>
    <t>пр.ТЕР 11-013</t>
  </si>
  <si>
    <t>пр.ТЕР 42-014</t>
  </si>
  <si>
    <t>ТЕР 33-060</t>
  </si>
  <si>
    <t>Подключение и отключение сварочного аппарата</t>
  </si>
  <si>
    <t>ТЕР 33-049</t>
  </si>
  <si>
    <t>Смена трубопроводов на полипропиленовые трубы PN25 диаметром 20мм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</si>
  <si>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</si>
  <si>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</si>
  <si>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2-2-1-2-7</t>
  </si>
  <si>
    <t>пр.ТЕР 32-083</t>
  </si>
  <si>
    <t>Смена полиэтиленовых канализационных труб 110×1000 мм</t>
  </si>
  <si>
    <t>счёт</t>
  </si>
  <si>
    <t>Отвод 110*87°</t>
  </si>
  <si>
    <t>ТЕР 31-009</t>
  </si>
  <si>
    <t xml:space="preserve">Смена сгонов у трубопроводов диаметром до 20 мм </t>
  </si>
  <si>
    <t>1 сгон</t>
  </si>
  <si>
    <t>Смена трубопроводов на полипропиленовые трубы PN25 диаметром 25мм</t>
  </si>
  <si>
    <t>Внеплановый осмотр вводных электрических щитков</t>
  </si>
  <si>
    <t>ТЕР 2-1-1б</t>
  </si>
  <si>
    <t>Внеплановая проверка вентканалов</t>
  </si>
  <si>
    <t>пр.ТЕР 15-018</t>
  </si>
  <si>
    <t>Смена дверных приборов - пружины (без стоимости материала)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</si>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</sst>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indexed="21"/>
        <bgColor indexed="30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11" borderId="0" xfId="0" applyFill="1"/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4" fontId="3" fillId="11" borderId="1" xfId="0" applyNumberFormat="1" applyFont="1" applyFill="1" applyBorder="1" applyAlignment="1">
      <alignment horizontal="center" vertical="center" wrapText="1"/>
    </xf>
    <xf numFmtId="4" fontId="3" fillId="11" borderId="1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left" vertical="center" wrapText="1"/>
    </xf>
    <xf numFmtId="4" fontId="3" fillId="11" borderId="3" xfId="0" applyNumberFormat="1" applyFont="1" applyFill="1" applyBorder="1" applyAlignment="1">
      <alignment horizontal="center" vertical="center" wrapText="1"/>
    </xf>
    <xf numFmtId="4" fontId="3" fillId="11" borderId="3" xfId="0" applyNumberFormat="1" applyFont="1" applyFill="1" applyBorder="1" applyAlignment="1">
      <alignment horizontal="center" vertical="center"/>
    </xf>
    <xf numFmtId="4" fontId="3" fillId="10" borderId="7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 wrapText="1"/>
    </xf>
    <xf numFmtId="4" fontId="1" fillId="5" borderId="3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4" fontId="15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9" xfId="0" applyFont="1" applyBorder="1"/>
    <xf numFmtId="4" fontId="1" fillId="0" borderId="9" xfId="0" applyNumberFormat="1" applyFont="1" applyBorder="1" applyAlignment="1">
      <alignment horizontal="center" vertical="top" wrapText="1"/>
    </xf>
    <xf numFmtId="4" fontId="1" fillId="0" borderId="9" xfId="0" applyNumberFormat="1" applyFont="1" applyBorder="1"/>
    <xf numFmtId="4" fontId="1" fillId="0" borderId="9" xfId="0" applyNumberFormat="1" applyFont="1" applyBorder="1" applyAlignment="1">
      <alignment horizontal="center"/>
    </xf>
    <xf numFmtId="4" fontId="1" fillId="0" borderId="0" xfId="0" applyNumberFormat="1" applyFont="1"/>
    <xf numFmtId="0" fontId="1" fillId="0" borderId="0" xfId="0" applyFont="1"/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 applyProtection="1">
      <alignment horizontal="left" vertical="top" wrapText="1"/>
      <protection hidden="1"/>
    </xf>
    <xf numFmtId="2" fontId="1" fillId="0" borderId="3" xfId="0" applyNumberFormat="1" applyFont="1" applyFill="1" applyBorder="1" applyAlignment="1" applyProtection="1">
      <alignment horizontal="center" vertical="top" wrapText="1"/>
      <protection hidden="1"/>
    </xf>
    <xf numFmtId="0" fontId="1" fillId="0" borderId="3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left" vertical="top" wrapText="1"/>
    </xf>
    <xf numFmtId="4" fontId="1" fillId="0" borderId="3" xfId="0" applyNumberFormat="1" applyFont="1" applyBorder="1"/>
    <xf numFmtId="4" fontId="1" fillId="0" borderId="3" xfId="0" applyNumberFormat="1" applyFont="1" applyFill="1" applyBorder="1" applyAlignment="1" applyProtection="1">
      <alignment horizontal="left" vertical="top" wrapText="1"/>
      <protection hidden="1"/>
    </xf>
    <xf numFmtId="4" fontId="1" fillId="0" borderId="3" xfId="0" applyNumberFormat="1" applyFont="1" applyBorder="1" applyAlignment="1">
      <alignment horizontal="center"/>
    </xf>
    <xf numFmtId="4" fontId="16" fillId="0" borderId="0" xfId="0" applyNumberFormat="1" applyFont="1"/>
    <xf numFmtId="0" fontId="16" fillId="0" borderId="0" xfId="0" applyFont="1"/>
    <xf numFmtId="0" fontId="10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7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left" vertical="center" wrapText="1"/>
    </xf>
    <xf numFmtId="4" fontId="3" fillId="7" borderId="3" xfId="0" applyNumberFormat="1" applyFont="1" applyFill="1" applyBorder="1" applyAlignment="1">
      <alignment horizontal="center" vertical="center" wrapText="1"/>
    </xf>
    <xf numFmtId="4" fontId="3" fillId="7" borderId="3" xfId="0" applyNumberFormat="1" applyFont="1" applyFill="1" applyBorder="1" applyAlignment="1">
      <alignment horizontal="center" vertical="center"/>
    </xf>
    <xf numFmtId="4" fontId="3" fillId="13" borderId="7" xfId="0" applyNumberFormat="1" applyFont="1" applyFill="1" applyBorder="1" applyAlignment="1">
      <alignment horizontal="center" vertical="center"/>
    </xf>
    <xf numFmtId="0" fontId="0" fillId="7" borderId="0" xfId="0" applyFill="1"/>
    <xf numFmtId="0" fontId="3" fillId="4" borderId="1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center" vertical="center" wrapText="1"/>
    </xf>
    <xf numFmtId="4" fontId="1" fillId="13" borderId="7" xfId="0" applyNumberFormat="1" applyFont="1" applyFill="1" applyBorder="1" applyAlignment="1">
      <alignment horizontal="center" vertical="center"/>
    </xf>
    <xf numFmtId="0" fontId="0" fillId="14" borderId="0" xfId="0" applyFill="1"/>
    <xf numFmtId="0" fontId="19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4" borderId="3" xfId="0" applyNumberFormat="1" applyFont="1" applyFill="1" applyBorder="1" applyAlignment="1" applyProtection="1">
      <alignment horizontal="left" vertical="center"/>
    </xf>
    <xf numFmtId="4" fontId="3" fillId="9" borderId="3" xfId="0" applyNumberFormat="1" applyFont="1" applyFill="1" applyBorder="1" applyAlignment="1">
      <alignment vertical="center"/>
    </xf>
    <xf numFmtId="4" fontId="3" fillId="9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15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11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4" fontId="1" fillId="2" borderId="2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U148"/>
  <sheetViews>
    <sheetView tabSelected="1" view="pageBreakPreview" zoomScale="90" zoomScaleNormal="75" zoomScaleSheetLayoutView="90" workbookViewId="0">
      <pane ySplit="7" topLeftCell="A128" activePane="bottomLeft" state="frozen"/>
      <selection activeCell="B1" sqref="B1"/>
      <selection pane="bottomLeft" activeCell="A99" sqref="A99:XFD99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2" width="9.85546875" customWidth="1"/>
    <col min="13" max="13" width="10.85546875" customWidth="1"/>
    <col min="14" max="20" width="9.85546875" customWidth="1"/>
    <col min="21" max="21" width="12.28515625" customWidth="1"/>
  </cols>
  <sheetData>
    <row r="1" spans="1:21" ht="14.25" customHeight="1"/>
    <row r="3" spans="1:21" ht="18">
      <c r="A3" s="143"/>
      <c r="B3" s="194" t="s">
        <v>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17"/>
      <c r="N3" s="117"/>
      <c r="O3" s="117"/>
      <c r="P3" s="117"/>
      <c r="Q3" s="117"/>
      <c r="R3" s="117"/>
      <c r="S3" s="117"/>
      <c r="T3" s="117"/>
      <c r="U3" s="117"/>
    </row>
    <row r="4" spans="1:21" ht="33.75" customHeight="1">
      <c r="A4" s="117"/>
      <c r="B4" s="195" t="s">
        <v>1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17"/>
      <c r="N4" s="117"/>
      <c r="O4" s="117"/>
      <c r="P4" s="117"/>
      <c r="Q4" s="117"/>
      <c r="R4" s="117"/>
      <c r="S4" s="117"/>
      <c r="T4" s="117"/>
      <c r="U4" s="117"/>
    </row>
    <row r="5" spans="1:21" ht="18">
      <c r="A5" s="117"/>
      <c r="B5" s="195" t="s">
        <v>179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17"/>
      <c r="N5" s="117"/>
      <c r="O5" s="117"/>
      <c r="P5" s="117"/>
      <c r="Q5" s="117"/>
      <c r="R5" s="117"/>
      <c r="S5" s="117"/>
      <c r="T5" s="117"/>
      <c r="U5" s="117"/>
    </row>
    <row r="6" spans="1:21" ht="15">
      <c r="A6" s="117"/>
      <c r="B6" s="196" t="s">
        <v>147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17"/>
      <c r="N6" s="117"/>
      <c r="O6" s="117"/>
      <c r="P6" s="117"/>
      <c r="Q6" s="117"/>
      <c r="R6" s="117"/>
      <c r="S6" s="117"/>
      <c r="T6" s="117"/>
      <c r="U6" s="117"/>
    </row>
    <row r="7" spans="1:21" ht="46.5" customHeight="1">
      <c r="A7" s="184" t="s">
        <v>2</v>
      </c>
      <c r="B7" s="185" t="s">
        <v>3</v>
      </c>
      <c r="C7" s="185" t="s">
        <v>4</v>
      </c>
      <c r="D7" s="185" t="s">
        <v>5</v>
      </c>
      <c r="E7" s="185" t="s">
        <v>6</v>
      </c>
      <c r="F7" s="185" t="s">
        <v>7</v>
      </c>
      <c r="G7" s="185" t="s">
        <v>8</v>
      </c>
      <c r="H7" s="186" t="s">
        <v>9</v>
      </c>
      <c r="I7" s="25" t="s">
        <v>121</v>
      </c>
      <c r="J7" s="25" t="s">
        <v>122</v>
      </c>
      <c r="K7" s="25" t="s">
        <v>123</v>
      </c>
      <c r="L7" s="25" t="s">
        <v>124</v>
      </c>
      <c r="M7" s="25" t="s">
        <v>148</v>
      </c>
      <c r="N7" s="25" t="s">
        <v>125</v>
      </c>
      <c r="O7" s="25" t="s">
        <v>126</v>
      </c>
      <c r="P7" s="25" t="s">
        <v>127</v>
      </c>
      <c r="Q7" s="25" t="s">
        <v>128</v>
      </c>
      <c r="R7" s="25" t="s">
        <v>129</v>
      </c>
      <c r="S7" s="25" t="s">
        <v>130</v>
      </c>
      <c r="T7" s="25" t="s">
        <v>131</v>
      </c>
      <c r="U7" s="25" t="s">
        <v>145</v>
      </c>
    </row>
    <row r="8" spans="1:21">
      <c r="A8" s="187">
        <v>1</v>
      </c>
      <c r="B8" s="8">
        <v>2</v>
      </c>
      <c r="C8" s="26">
        <v>3</v>
      </c>
      <c r="D8" s="8">
        <v>4</v>
      </c>
      <c r="E8" s="8">
        <v>5</v>
      </c>
      <c r="F8" s="26">
        <v>6</v>
      </c>
      <c r="G8" s="26">
        <v>7</v>
      </c>
      <c r="H8" s="144">
        <v>8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  <c r="N8" s="145">
        <v>14</v>
      </c>
      <c r="O8" s="145">
        <v>15</v>
      </c>
      <c r="P8" s="145">
        <v>16</v>
      </c>
      <c r="Q8" s="145">
        <v>17</v>
      </c>
      <c r="R8" s="145">
        <v>18</v>
      </c>
      <c r="S8" s="145">
        <v>19</v>
      </c>
      <c r="T8" s="145">
        <v>20</v>
      </c>
      <c r="U8" s="145">
        <v>21</v>
      </c>
    </row>
    <row r="9" spans="1:21" ht="38.25">
      <c r="A9" s="187"/>
      <c r="B9" s="10" t="s">
        <v>10</v>
      </c>
      <c r="C9" s="26"/>
      <c r="D9" s="11"/>
      <c r="E9" s="11"/>
      <c r="F9" s="26"/>
      <c r="G9" s="26"/>
      <c r="H9" s="27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</row>
    <row r="10" spans="1:21">
      <c r="A10" s="187"/>
      <c r="B10" s="10" t="s">
        <v>11</v>
      </c>
      <c r="C10" s="26"/>
      <c r="D10" s="11"/>
      <c r="E10" s="11"/>
      <c r="F10" s="26"/>
      <c r="G10" s="26"/>
      <c r="H10" s="27"/>
      <c r="I10" s="28"/>
      <c r="J10" s="28"/>
      <c r="K10" s="28"/>
      <c r="L10" s="28"/>
      <c r="M10" s="29"/>
      <c r="N10" s="30"/>
      <c r="O10" s="30"/>
      <c r="P10" s="30"/>
      <c r="Q10" s="30"/>
      <c r="R10" s="30"/>
      <c r="S10" s="30"/>
      <c r="T10" s="30"/>
      <c r="U10" s="30"/>
    </row>
    <row r="11" spans="1:21" ht="25.5">
      <c r="A11" s="187" t="s">
        <v>199</v>
      </c>
      <c r="B11" s="11" t="s">
        <v>12</v>
      </c>
      <c r="C11" s="26" t="s">
        <v>13</v>
      </c>
      <c r="D11" s="11" t="s">
        <v>14</v>
      </c>
      <c r="E11" s="31">
        <v>70.7</v>
      </c>
      <c r="F11" s="32">
        <f>SUM(E11*156/100)</f>
        <v>110.292</v>
      </c>
      <c r="G11" s="32">
        <v>199.46</v>
      </c>
      <c r="H11" s="33">
        <f t="shared" ref="H11:H21" si="0">SUM(F11*G11/1000)</f>
        <v>21.998842320000001</v>
      </c>
      <c r="I11" s="34">
        <f>F11/12*G11</f>
        <v>1833.2368600000002</v>
      </c>
      <c r="J11" s="34">
        <f>F11/12*G11</f>
        <v>1833.2368600000002</v>
      </c>
      <c r="K11" s="34">
        <f>F11/12*G11</f>
        <v>1833.2368600000002</v>
      </c>
      <c r="L11" s="34">
        <f>F11/12*G11</f>
        <v>1833.2368600000002</v>
      </c>
      <c r="M11" s="34">
        <f>F11/12*G11</f>
        <v>1833.2368600000002</v>
      </c>
      <c r="N11" s="34">
        <f>F11/12*G11</f>
        <v>1833.2368600000002</v>
      </c>
      <c r="O11" s="34">
        <f>F11/12*G11</f>
        <v>1833.2368600000002</v>
      </c>
      <c r="P11" s="34">
        <f>F11/12*G11</f>
        <v>1833.2368600000002</v>
      </c>
      <c r="Q11" s="34">
        <f>F11/12*G11</f>
        <v>1833.2368600000002</v>
      </c>
      <c r="R11" s="34">
        <f>F11/12*G11</f>
        <v>1833.2368600000002</v>
      </c>
      <c r="S11" s="34">
        <f>F11/12*G11</f>
        <v>1833.2368600000002</v>
      </c>
      <c r="T11" s="34">
        <f>F11/12*G11</f>
        <v>1833.2368600000002</v>
      </c>
      <c r="U11" s="34">
        <f>SUM(I11:T11)</f>
        <v>21998.842320000007</v>
      </c>
    </row>
    <row r="12" spans="1:21" ht="25.5">
      <c r="A12" s="187" t="s">
        <v>199</v>
      </c>
      <c r="B12" s="11" t="s">
        <v>15</v>
      </c>
      <c r="C12" s="26" t="s">
        <v>13</v>
      </c>
      <c r="D12" s="11" t="s">
        <v>16</v>
      </c>
      <c r="E12" s="31">
        <v>282.8</v>
      </c>
      <c r="F12" s="32">
        <f>SUM(E12*104/100)</f>
        <v>294.11200000000002</v>
      </c>
      <c r="G12" s="32">
        <v>199.46</v>
      </c>
      <c r="H12" s="33">
        <f t="shared" si="0"/>
        <v>58.663579520000006</v>
      </c>
      <c r="I12" s="34">
        <f t="shared" ref="I12:I13" si="1">F12/12*G12</f>
        <v>4888.6316266666672</v>
      </c>
      <c r="J12" s="34">
        <f t="shared" ref="J12:J13" si="2">F12/12*G12</f>
        <v>4888.6316266666672</v>
      </c>
      <c r="K12" s="34">
        <f t="shared" ref="K12:K13" si="3">F12/12*G12</f>
        <v>4888.6316266666672</v>
      </c>
      <c r="L12" s="34">
        <f t="shared" ref="L12:L13" si="4">F12/12*G12</f>
        <v>4888.6316266666672</v>
      </c>
      <c r="M12" s="34">
        <f t="shared" ref="M12:M13" si="5">F12/12*G12</f>
        <v>4888.6316266666672</v>
      </c>
      <c r="N12" s="34">
        <f t="shared" ref="N12:N13" si="6">F12/12*G12</f>
        <v>4888.6316266666672</v>
      </c>
      <c r="O12" s="34">
        <f t="shared" ref="O12:O13" si="7">F12/12*G12</f>
        <v>4888.6316266666672</v>
      </c>
      <c r="P12" s="34">
        <f t="shared" ref="P12:P13" si="8">F12/12*G12</f>
        <v>4888.6316266666672</v>
      </c>
      <c r="Q12" s="34">
        <f t="shared" ref="Q12:Q13" si="9">F12/12*G12</f>
        <v>4888.6316266666672</v>
      </c>
      <c r="R12" s="34">
        <f t="shared" ref="R12:R13" si="10">F12/12*G12</f>
        <v>4888.6316266666672</v>
      </c>
      <c r="S12" s="34">
        <f t="shared" ref="S12:S13" si="11">F12/12*G12</f>
        <v>4888.6316266666672</v>
      </c>
      <c r="T12" s="34">
        <f t="shared" ref="T12:T13" si="12">F12/12*G12</f>
        <v>4888.6316266666672</v>
      </c>
      <c r="U12" s="34">
        <f t="shared" ref="U12:U21" si="13">SUM(I12:T12)</f>
        <v>58663.579520000021</v>
      </c>
    </row>
    <row r="13" spans="1:21" ht="25.5">
      <c r="A13" s="187" t="s">
        <v>200</v>
      </c>
      <c r="B13" s="11" t="s">
        <v>17</v>
      </c>
      <c r="C13" s="26" t="s">
        <v>13</v>
      </c>
      <c r="D13" s="11" t="s">
        <v>18</v>
      </c>
      <c r="E13" s="31">
        <f>SUM(E11+E12)</f>
        <v>353.5</v>
      </c>
      <c r="F13" s="32">
        <f>SUM(E13*24/100)</f>
        <v>84.84</v>
      </c>
      <c r="G13" s="32">
        <v>573.83000000000004</v>
      </c>
      <c r="H13" s="33">
        <f t="shared" si="0"/>
        <v>48.683737200000003</v>
      </c>
      <c r="I13" s="34">
        <f t="shared" si="1"/>
        <v>4056.9781000000003</v>
      </c>
      <c r="J13" s="34">
        <f t="shared" si="2"/>
        <v>4056.9781000000003</v>
      </c>
      <c r="K13" s="34">
        <f t="shared" si="3"/>
        <v>4056.9781000000003</v>
      </c>
      <c r="L13" s="34">
        <f t="shared" si="4"/>
        <v>4056.9781000000003</v>
      </c>
      <c r="M13" s="34">
        <f t="shared" si="5"/>
        <v>4056.9781000000003</v>
      </c>
      <c r="N13" s="34">
        <f t="shared" si="6"/>
        <v>4056.9781000000003</v>
      </c>
      <c r="O13" s="34">
        <f t="shared" si="7"/>
        <v>4056.9781000000003</v>
      </c>
      <c r="P13" s="34">
        <f t="shared" si="8"/>
        <v>4056.9781000000003</v>
      </c>
      <c r="Q13" s="34">
        <f t="shared" si="9"/>
        <v>4056.9781000000003</v>
      </c>
      <c r="R13" s="34">
        <f t="shared" si="10"/>
        <v>4056.9781000000003</v>
      </c>
      <c r="S13" s="34">
        <f t="shared" si="11"/>
        <v>4056.9781000000003</v>
      </c>
      <c r="T13" s="34">
        <f t="shared" si="12"/>
        <v>4056.9781000000003</v>
      </c>
      <c r="U13" s="34">
        <f t="shared" si="13"/>
        <v>48683.737200000003</v>
      </c>
    </row>
    <row r="14" spans="1:21">
      <c r="A14" s="187" t="s">
        <v>201</v>
      </c>
      <c r="B14" s="11" t="s">
        <v>19</v>
      </c>
      <c r="C14" s="26" t="s">
        <v>20</v>
      </c>
      <c r="D14" s="11" t="s">
        <v>110</v>
      </c>
      <c r="E14" s="31">
        <v>40</v>
      </c>
      <c r="F14" s="32">
        <f>SUM(E14/10)</f>
        <v>4</v>
      </c>
      <c r="G14" s="32">
        <v>193.55</v>
      </c>
      <c r="H14" s="33">
        <f t="shared" si="0"/>
        <v>0.7742</v>
      </c>
      <c r="I14" s="34">
        <v>0</v>
      </c>
      <c r="J14" s="34">
        <v>0</v>
      </c>
      <c r="K14" s="34">
        <v>0</v>
      </c>
      <c r="L14" s="34">
        <v>0</v>
      </c>
      <c r="M14" s="34">
        <f>F14/2*G14</f>
        <v>387.1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f t="shared" si="13"/>
        <v>387.1</v>
      </c>
    </row>
    <row r="15" spans="1:21" s="167" customFormat="1">
      <c r="A15" s="187" t="s">
        <v>202</v>
      </c>
      <c r="B15" s="183" t="s">
        <v>21</v>
      </c>
      <c r="C15" s="182" t="s">
        <v>13</v>
      </c>
      <c r="D15" s="183" t="s">
        <v>53</v>
      </c>
      <c r="E15" s="178">
        <v>10.5</v>
      </c>
      <c r="F15" s="179">
        <f>E15*2/100</f>
        <v>0.21</v>
      </c>
      <c r="G15" s="179">
        <v>247.82</v>
      </c>
      <c r="H15" s="180">
        <f t="shared" si="0"/>
        <v>5.2042199999999997E-2</v>
      </c>
      <c r="I15" s="34">
        <v>0</v>
      </c>
      <c r="J15" s="34">
        <v>0</v>
      </c>
      <c r="K15" s="34">
        <v>0</v>
      </c>
      <c r="L15" s="34">
        <v>0</v>
      </c>
      <c r="M15" s="34">
        <f>F15/2*G15</f>
        <v>26.021099999999997</v>
      </c>
      <c r="N15" s="34">
        <v>0</v>
      </c>
      <c r="O15" s="34">
        <v>0</v>
      </c>
      <c r="P15" s="34">
        <v>0</v>
      </c>
      <c r="Q15" s="34">
        <f>F15/2*G15</f>
        <v>26.021099999999997</v>
      </c>
      <c r="R15" s="34">
        <v>0</v>
      </c>
      <c r="S15" s="34">
        <v>0</v>
      </c>
      <c r="T15" s="34">
        <v>0</v>
      </c>
      <c r="U15" s="34">
        <f t="shared" si="13"/>
        <v>52.042199999999994</v>
      </c>
    </row>
    <row r="16" spans="1:21">
      <c r="A16" s="187" t="s">
        <v>203</v>
      </c>
      <c r="B16" s="183" t="s">
        <v>22</v>
      </c>
      <c r="C16" s="182" t="s">
        <v>13</v>
      </c>
      <c r="D16" s="183" t="s">
        <v>53</v>
      </c>
      <c r="E16" s="31">
        <v>2.7</v>
      </c>
      <c r="F16" s="32">
        <f>SUM(E16*2/100)</f>
        <v>5.4000000000000006E-2</v>
      </c>
      <c r="G16" s="32">
        <v>245.81</v>
      </c>
      <c r="H16" s="33">
        <f t="shared" si="0"/>
        <v>1.3273740000000003E-2</v>
      </c>
      <c r="I16" s="34">
        <v>0</v>
      </c>
      <c r="J16" s="34">
        <v>0</v>
      </c>
      <c r="K16" s="34">
        <v>0</v>
      </c>
      <c r="L16" s="34">
        <v>0</v>
      </c>
      <c r="M16" s="34">
        <f>F16/2*G16</f>
        <v>6.6368700000000009</v>
      </c>
      <c r="N16" s="34">
        <v>0</v>
      </c>
      <c r="O16" s="34">
        <v>0</v>
      </c>
      <c r="P16" s="34">
        <v>0</v>
      </c>
      <c r="Q16" s="34">
        <f>F16/2*G16</f>
        <v>6.6368700000000009</v>
      </c>
      <c r="R16" s="34">
        <v>0</v>
      </c>
      <c r="S16" s="34">
        <v>0</v>
      </c>
      <c r="T16" s="34">
        <v>0</v>
      </c>
      <c r="U16" s="34">
        <f t="shared" si="13"/>
        <v>13.273740000000002</v>
      </c>
    </row>
    <row r="17" spans="1:21">
      <c r="A17" s="187" t="s">
        <v>204</v>
      </c>
      <c r="B17" s="11" t="s">
        <v>23</v>
      </c>
      <c r="C17" s="26" t="s">
        <v>24</v>
      </c>
      <c r="D17" s="11" t="s">
        <v>110</v>
      </c>
      <c r="E17" s="31">
        <v>357</v>
      </c>
      <c r="F17" s="32">
        <f>SUM(E17/100)</f>
        <v>3.57</v>
      </c>
      <c r="G17" s="32">
        <v>306.26</v>
      </c>
      <c r="H17" s="33">
        <f t="shared" si="0"/>
        <v>1.0933481999999999</v>
      </c>
      <c r="I17" s="34">
        <v>0</v>
      </c>
      <c r="J17" s="34">
        <v>0</v>
      </c>
      <c r="K17" s="34">
        <v>0</v>
      </c>
      <c r="L17" s="34">
        <v>0</v>
      </c>
      <c r="M17" s="34">
        <f t="shared" ref="M17:M21" si="14">F17*G17</f>
        <v>1093.3481999999999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f t="shared" si="13"/>
        <v>1093.3481999999999</v>
      </c>
    </row>
    <row r="18" spans="1:21">
      <c r="A18" s="187" t="s">
        <v>205</v>
      </c>
      <c r="B18" s="11" t="s">
        <v>25</v>
      </c>
      <c r="C18" s="26" t="s">
        <v>24</v>
      </c>
      <c r="D18" s="11" t="s">
        <v>110</v>
      </c>
      <c r="E18" s="36">
        <v>38.64</v>
      </c>
      <c r="F18" s="32">
        <f>SUM(E18/100)</f>
        <v>0.38640000000000002</v>
      </c>
      <c r="G18" s="32">
        <v>50.37</v>
      </c>
      <c r="H18" s="33">
        <f t="shared" si="0"/>
        <v>1.9462968000000001E-2</v>
      </c>
      <c r="I18" s="34">
        <v>0</v>
      </c>
      <c r="J18" s="34">
        <v>0</v>
      </c>
      <c r="K18" s="34">
        <v>0</v>
      </c>
      <c r="L18" s="34">
        <v>0</v>
      </c>
      <c r="M18" s="34">
        <f t="shared" si="14"/>
        <v>19.462968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f t="shared" si="13"/>
        <v>19.462968</v>
      </c>
    </row>
    <row r="19" spans="1:21">
      <c r="A19" s="187" t="s">
        <v>206</v>
      </c>
      <c r="B19" s="11" t="s">
        <v>26</v>
      </c>
      <c r="C19" s="26" t="s">
        <v>24</v>
      </c>
      <c r="D19" s="11" t="s">
        <v>132</v>
      </c>
      <c r="E19" s="31">
        <v>15</v>
      </c>
      <c r="F19" s="32">
        <f>E19/100</f>
        <v>0.15</v>
      </c>
      <c r="G19" s="32">
        <v>443.27</v>
      </c>
      <c r="H19" s="33">
        <f t="shared" si="0"/>
        <v>6.6490499999999994E-2</v>
      </c>
      <c r="I19" s="34">
        <v>0</v>
      </c>
      <c r="J19" s="34">
        <v>0</v>
      </c>
      <c r="K19" s="34">
        <v>0</v>
      </c>
      <c r="L19" s="34">
        <v>0</v>
      </c>
      <c r="M19" s="34">
        <f t="shared" si="14"/>
        <v>66.490499999999997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f t="shared" si="13"/>
        <v>66.490499999999997</v>
      </c>
    </row>
    <row r="20" spans="1:21">
      <c r="A20" s="187" t="s">
        <v>207</v>
      </c>
      <c r="B20" s="11" t="s">
        <v>112</v>
      </c>
      <c r="C20" s="26" t="s">
        <v>13</v>
      </c>
      <c r="D20" s="11" t="s">
        <v>34</v>
      </c>
      <c r="E20" s="31">
        <v>14.25</v>
      </c>
      <c r="F20" s="32">
        <v>0.1</v>
      </c>
      <c r="G20" s="32">
        <v>245.81</v>
      </c>
      <c r="H20" s="33">
        <v>3.1E-2</v>
      </c>
      <c r="I20" s="34">
        <v>0</v>
      </c>
      <c r="J20" s="34">
        <v>0</v>
      </c>
      <c r="K20" s="34">
        <v>0</v>
      </c>
      <c r="L20" s="34">
        <v>0</v>
      </c>
      <c r="M20" s="34">
        <f t="shared" si="14"/>
        <v>24.581000000000003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f t="shared" si="13"/>
        <v>24.581000000000003</v>
      </c>
    </row>
    <row r="21" spans="1:21">
      <c r="A21" s="187" t="s">
        <v>208</v>
      </c>
      <c r="B21" s="11" t="s">
        <v>27</v>
      </c>
      <c r="C21" s="26" t="s">
        <v>24</v>
      </c>
      <c r="D21" s="11" t="s">
        <v>110</v>
      </c>
      <c r="E21" s="31">
        <v>6.38</v>
      </c>
      <c r="F21" s="32">
        <f>SUM(E21/100)</f>
        <v>6.3799999999999996E-2</v>
      </c>
      <c r="G21" s="32">
        <v>592.37</v>
      </c>
      <c r="H21" s="33">
        <f t="shared" si="0"/>
        <v>3.7793205999999996E-2</v>
      </c>
      <c r="I21" s="34">
        <v>0</v>
      </c>
      <c r="J21" s="34">
        <v>0</v>
      </c>
      <c r="K21" s="34">
        <v>0</v>
      </c>
      <c r="L21" s="34">
        <v>0</v>
      </c>
      <c r="M21" s="34">
        <f t="shared" si="14"/>
        <v>37.793205999999998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f t="shared" si="13"/>
        <v>37.793205999999998</v>
      </c>
    </row>
    <row r="22" spans="1:21" s="20" customFormat="1">
      <c r="A22" s="188"/>
      <c r="B22" s="21" t="s">
        <v>28</v>
      </c>
      <c r="C22" s="37"/>
      <c r="D22" s="21"/>
      <c r="E22" s="38"/>
      <c r="F22" s="39"/>
      <c r="G22" s="39"/>
      <c r="H22" s="40">
        <f>SUM(H11:H21)</f>
        <v>131.43376985399999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86">
        <f>SUM(U11:U21)</f>
        <v>131040.25085400004</v>
      </c>
    </row>
    <row r="23" spans="1:21">
      <c r="A23" s="187"/>
      <c r="B23" s="13" t="s">
        <v>29</v>
      </c>
      <c r="C23" s="26"/>
      <c r="D23" s="11"/>
      <c r="E23" s="31"/>
      <c r="F23" s="32"/>
      <c r="G23" s="32"/>
      <c r="H23" s="3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34"/>
    </row>
    <row r="24" spans="1:21" ht="25.5" customHeight="1">
      <c r="A24" s="187" t="s">
        <v>209</v>
      </c>
      <c r="B24" s="11" t="s">
        <v>186</v>
      </c>
      <c r="C24" s="26" t="s">
        <v>31</v>
      </c>
      <c r="D24" s="11" t="s">
        <v>30</v>
      </c>
      <c r="E24" s="32">
        <v>573.6</v>
      </c>
      <c r="F24" s="32">
        <f>SUM(E24*52/1000)</f>
        <v>29.827200000000001</v>
      </c>
      <c r="G24" s="32">
        <v>177.3</v>
      </c>
      <c r="H24" s="33">
        <f t="shared" ref="H24:H32" si="15">SUM(F24*G24/1000)</f>
        <v>5.2883625600000004</v>
      </c>
      <c r="I24" s="34">
        <v>0</v>
      </c>
      <c r="J24" s="34">
        <v>0</v>
      </c>
      <c r="K24" s="34">
        <v>0</v>
      </c>
      <c r="L24" s="34">
        <v>0</v>
      </c>
      <c r="M24" s="34">
        <f>F24/6*G24</f>
        <v>881.39376000000016</v>
      </c>
      <c r="N24" s="34">
        <f>F24/6*G24</f>
        <v>881.39376000000016</v>
      </c>
      <c r="O24" s="34">
        <f>F24/6*G24</f>
        <v>881.39376000000016</v>
      </c>
      <c r="P24" s="34">
        <f>F24/6*G24</f>
        <v>881.39376000000016</v>
      </c>
      <c r="Q24" s="34">
        <f>F24/6*G24</f>
        <v>881.39376000000016</v>
      </c>
      <c r="R24" s="34">
        <f>F24/6*G24</f>
        <v>881.39376000000016</v>
      </c>
      <c r="S24" s="34">
        <v>0</v>
      </c>
      <c r="T24" s="34">
        <v>0</v>
      </c>
      <c r="U24" s="34">
        <f>SUM(I24:T24)</f>
        <v>5288.3625600000005</v>
      </c>
    </row>
    <row r="25" spans="1:21" ht="38.25" customHeight="1">
      <c r="A25" s="187" t="s">
        <v>210</v>
      </c>
      <c r="B25" s="11" t="s">
        <v>187</v>
      </c>
      <c r="C25" s="26" t="s">
        <v>31</v>
      </c>
      <c r="D25" s="11" t="s">
        <v>32</v>
      </c>
      <c r="E25" s="32">
        <v>200</v>
      </c>
      <c r="F25" s="32">
        <f>SUM(E25*78/1000)</f>
        <v>15.6</v>
      </c>
      <c r="G25" s="32">
        <v>294.17</v>
      </c>
      <c r="H25" s="33">
        <f t="shared" si="15"/>
        <v>4.5890520000000006</v>
      </c>
      <c r="I25" s="34">
        <v>0</v>
      </c>
      <c r="J25" s="34">
        <v>0</v>
      </c>
      <c r="K25" s="34">
        <v>0</v>
      </c>
      <c r="L25" s="34">
        <v>0</v>
      </c>
      <c r="M25" s="34">
        <f t="shared" ref="M25" si="16">F25/6*G25</f>
        <v>764.8420000000001</v>
      </c>
      <c r="N25" s="34">
        <f t="shared" ref="N25:N28" si="17">F25/6*G25</f>
        <v>764.8420000000001</v>
      </c>
      <c r="O25" s="34">
        <f t="shared" ref="O25:O28" si="18">F25/6*G25</f>
        <v>764.8420000000001</v>
      </c>
      <c r="P25" s="34">
        <f t="shared" ref="P25:P28" si="19">F25/6*G25</f>
        <v>764.8420000000001</v>
      </c>
      <c r="Q25" s="34">
        <f t="shared" ref="Q25:Q28" si="20">F25/6*G25</f>
        <v>764.8420000000001</v>
      </c>
      <c r="R25" s="34">
        <f t="shared" ref="R25:R28" si="21">F25/6*G25</f>
        <v>764.8420000000001</v>
      </c>
      <c r="S25" s="34">
        <v>0</v>
      </c>
      <c r="T25" s="34">
        <v>0</v>
      </c>
      <c r="U25" s="34">
        <f t="shared" ref="U25:U32" si="22">SUM(I25:T25)</f>
        <v>4589.0520000000006</v>
      </c>
    </row>
    <row r="26" spans="1:21">
      <c r="A26" s="187" t="s">
        <v>211</v>
      </c>
      <c r="B26" s="11" t="s">
        <v>33</v>
      </c>
      <c r="C26" s="26" t="s">
        <v>31</v>
      </c>
      <c r="D26" s="11" t="s">
        <v>34</v>
      </c>
      <c r="E26" s="32">
        <v>573.6</v>
      </c>
      <c r="F26" s="32">
        <f>SUM(E26/1000)</f>
        <v>0.5736</v>
      </c>
      <c r="G26" s="32">
        <v>3435.36</v>
      </c>
      <c r="H26" s="33">
        <f t="shared" si="15"/>
        <v>1.9705224960000001</v>
      </c>
      <c r="I26" s="34">
        <v>0</v>
      </c>
      <c r="J26" s="34">
        <v>0</v>
      </c>
      <c r="K26" s="34">
        <v>0</v>
      </c>
      <c r="L26" s="34">
        <v>0</v>
      </c>
      <c r="M26" s="34">
        <f>F26*G26</f>
        <v>1970.522496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f t="shared" si="22"/>
        <v>1970.522496</v>
      </c>
    </row>
    <row r="27" spans="1:21">
      <c r="A27" s="187" t="s">
        <v>212</v>
      </c>
      <c r="B27" s="11" t="s">
        <v>113</v>
      </c>
      <c r="C27" s="26" t="s">
        <v>65</v>
      </c>
      <c r="D27" s="11" t="s">
        <v>37</v>
      </c>
      <c r="E27" s="32">
        <v>1</v>
      </c>
      <c r="F27" s="32">
        <v>1.55</v>
      </c>
      <c r="G27" s="32">
        <v>1480.94</v>
      </c>
      <c r="H27" s="33">
        <f>G27*F27/1000</f>
        <v>2.2954570000000003</v>
      </c>
      <c r="I27" s="34">
        <v>0</v>
      </c>
      <c r="J27" s="34">
        <v>0</v>
      </c>
      <c r="K27" s="34">
        <v>0</v>
      </c>
      <c r="L27" s="34">
        <v>0</v>
      </c>
      <c r="M27" s="34">
        <f>F27/6*G27</f>
        <v>382.57616666666672</v>
      </c>
      <c r="N27" s="34">
        <f t="shared" si="17"/>
        <v>382.57616666666672</v>
      </c>
      <c r="O27" s="34">
        <f t="shared" si="18"/>
        <v>382.57616666666672</v>
      </c>
      <c r="P27" s="34">
        <f t="shared" si="19"/>
        <v>382.57616666666672</v>
      </c>
      <c r="Q27" s="34">
        <f t="shared" si="20"/>
        <v>382.57616666666672</v>
      </c>
      <c r="R27" s="34">
        <f t="shared" si="21"/>
        <v>382.57616666666672</v>
      </c>
      <c r="S27" s="34">
        <v>0</v>
      </c>
      <c r="T27" s="34">
        <v>0</v>
      </c>
      <c r="U27" s="34">
        <f t="shared" si="22"/>
        <v>2295.4570000000003</v>
      </c>
    </row>
    <row r="28" spans="1:21">
      <c r="A28" s="187" t="s">
        <v>213</v>
      </c>
      <c r="B28" s="11" t="s">
        <v>35</v>
      </c>
      <c r="C28" s="26" t="s">
        <v>36</v>
      </c>
      <c r="D28" s="11" t="s">
        <v>37</v>
      </c>
      <c r="E28" s="44">
        <v>0.33333333333333331</v>
      </c>
      <c r="F28" s="32">
        <f>155/3</f>
        <v>51.666666666666664</v>
      </c>
      <c r="G28" s="32">
        <v>64.48</v>
      </c>
      <c r="H28" s="33">
        <f>SUM(G28*155/3/1000)</f>
        <v>3.331466666666667</v>
      </c>
      <c r="I28" s="34">
        <v>0</v>
      </c>
      <c r="J28" s="34">
        <v>0</v>
      </c>
      <c r="K28" s="34">
        <v>0</v>
      </c>
      <c r="L28" s="34">
        <v>0</v>
      </c>
      <c r="M28" s="34">
        <f>F28/6*G28</f>
        <v>555.24444444444441</v>
      </c>
      <c r="N28" s="34">
        <f t="shared" si="17"/>
        <v>555.24444444444441</v>
      </c>
      <c r="O28" s="34">
        <f t="shared" si="18"/>
        <v>555.24444444444441</v>
      </c>
      <c r="P28" s="34">
        <f t="shared" si="19"/>
        <v>555.24444444444441</v>
      </c>
      <c r="Q28" s="34">
        <f t="shared" si="20"/>
        <v>555.24444444444441</v>
      </c>
      <c r="R28" s="34">
        <f t="shared" si="21"/>
        <v>555.24444444444441</v>
      </c>
      <c r="S28" s="34">
        <v>0</v>
      </c>
      <c r="T28" s="34">
        <v>0</v>
      </c>
      <c r="U28" s="34">
        <f t="shared" si="22"/>
        <v>3331.4666666666667</v>
      </c>
    </row>
    <row r="29" spans="1:21" ht="12.75" customHeight="1">
      <c r="A29" s="187" t="s">
        <v>214</v>
      </c>
      <c r="B29" s="11" t="s">
        <v>38</v>
      </c>
      <c r="C29" s="26" t="s">
        <v>39</v>
      </c>
      <c r="D29" s="11" t="s">
        <v>40</v>
      </c>
      <c r="E29" s="45">
        <v>0.1</v>
      </c>
      <c r="F29" s="32">
        <f>SUM(E29*365)</f>
        <v>36.5</v>
      </c>
      <c r="G29" s="32">
        <v>167.24</v>
      </c>
      <c r="H29" s="33">
        <f t="shared" si="15"/>
        <v>6.10426</v>
      </c>
      <c r="I29" s="34">
        <f>F29/12*G29</f>
        <v>508.68833333333333</v>
      </c>
      <c r="J29" s="34">
        <f>F29/12*G29</f>
        <v>508.68833333333333</v>
      </c>
      <c r="K29" s="34">
        <f>F29/12*G29</f>
        <v>508.68833333333333</v>
      </c>
      <c r="L29" s="34">
        <f>F29/12*G29</f>
        <v>508.68833333333333</v>
      </c>
      <c r="M29" s="34">
        <f>F29/12*G29</f>
        <v>508.68833333333333</v>
      </c>
      <c r="N29" s="34">
        <f>F29/12*G29</f>
        <v>508.68833333333333</v>
      </c>
      <c r="O29" s="34">
        <f>F29/12*G29</f>
        <v>508.68833333333333</v>
      </c>
      <c r="P29" s="34">
        <f>F29/12*G29</f>
        <v>508.68833333333333</v>
      </c>
      <c r="Q29" s="34">
        <f>F29/12*G29</f>
        <v>508.68833333333333</v>
      </c>
      <c r="R29" s="34">
        <f>F29/12*G29</f>
        <v>508.68833333333333</v>
      </c>
      <c r="S29" s="34">
        <f>F29/12*G29</f>
        <v>508.68833333333333</v>
      </c>
      <c r="T29" s="34">
        <f>F29/12*G29</f>
        <v>508.68833333333333</v>
      </c>
      <c r="U29" s="34">
        <f t="shared" si="22"/>
        <v>6104.2600000000011</v>
      </c>
    </row>
    <row r="30" spans="1:21" ht="12.75" customHeight="1">
      <c r="A30" s="187" t="s">
        <v>215</v>
      </c>
      <c r="B30" s="11" t="s">
        <v>188</v>
      </c>
      <c r="C30" s="26" t="s">
        <v>39</v>
      </c>
      <c r="D30" s="11" t="s">
        <v>41</v>
      </c>
      <c r="E30" s="31"/>
      <c r="F30" s="32">
        <v>3</v>
      </c>
      <c r="G30" s="32">
        <v>217.61</v>
      </c>
      <c r="H30" s="33">
        <f t="shared" si="15"/>
        <v>0.65283000000000002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f t="shared" si="22"/>
        <v>0</v>
      </c>
    </row>
    <row r="31" spans="1:21" ht="12.75" customHeight="1">
      <c r="A31" s="187" t="s">
        <v>140</v>
      </c>
      <c r="B31" s="11" t="s">
        <v>189</v>
      </c>
      <c r="C31" s="26" t="s">
        <v>42</v>
      </c>
      <c r="D31" s="11" t="s">
        <v>41</v>
      </c>
      <c r="E31" s="31"/>
      <c r="F31" s="32">
        <v>2</v>
      </c>
      <c r="G31" s="32">
        <v>1292.47</v>
      </c>
      <c r="H31" s="33">
        <f t="shared" si="15"/>
        <v>2.58494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f t="shared" si="22"/>
        <v>0</v>
      </c>
    </row>
    <row r="32" spans="1:21">
      <c r="A32" s="187"/>
      <c r="B32" s="46" t="s">
        <v>43</v>
      </c>
      <c r="C32" s="26" t="s">
        <v>44</v>
      </c>
      <c r="D32" s="46" t="s">
        <v>45</v>
      </c>
      <c r="E32" s="31">
        <v>2661.7</v>
      </c>
      <c r="F32" s="32">
        <f>SUM(E32*12)</f>
        <v>31940.399999999998</v>
      </c>
      <c r="G32" s="32">
        <v>5.58</v>
      </c>
      <c r="H32" s="33">
        <f t="shared" si="15"/>
        <v>178.22743199999999</v>
      </c>
      <c r="I32" s="34">
        <f>F32/12*G32</f>
        <v>14852.286</v>
      </c>
      <c r="J32" s="34">
        <f>F32/12*G32</f>
        <v>14852.286</v>
      </c>
      <c r="K32" s="34">
        <f>F32/12*G32</f>
        <v>14852.286</v>
      </c>
      <c r="L32" s="34">
        <f>F32/12*G32</f>
        <v>14852.286</v>
      </c>
      <c r="M32" s="34">
        <f>F32/12*G32</f>
        <v>14852.286</v>
      </c>
      <c r="N32" s="34">
        <f t="shared" ref="N32" si="23">F32/12*G32</f>
        <v>14852.286</v>
      </c>
      <c r="O32" s="34">
        <f>F32/12*G32</f>
        <v>14852.286</v>
      </c>
      <c r="P32" s="34">
        <f>F32/12*G32</f>
        <v>14852.286</v>
      </c>
      <c r="Q32" s="34">
        <f t="shared" ref="Q32" si="24">F32/12*G32</f>
        <v>14852.286</v>
      </c>
      <c r="R32" s="34">
        <f t="shared" ref="R32" si="25">F32/12*G32</f>
        <v>14852.286</v>
      </c>
      <c r="S32" s="34">
        <f t="shared" ref="S32" si="26">F32/12*G32</f>
        <v>14852.286</v>
      </c>
      <c r="T32" s="34">
        <f t="shared" ref="T32" si="27">F32/12*G32</f>
        <v>14852.286</v>
      </c>
      <c r="U32" s="34">
        <f t="shared" si="22"/>
        <v>178227.43199999994</v>
      </c>
    </row>
    <row r="33" spans="1:21" s="20" customFormat="1">
      <c r="A33" s="188"/>
      <c r="B33" s="21" t="s">
        <v>28</v>
      </c>
      <c r="C33" s="37"/>
      <c r="D33" s="21"/>
      <c r="E33" s="38"/>
      <c r="F33" s="39"/>
      <c r="G33" s="39"/>
      <c r="H33" s="47">
        <f>SUM(H24:H32)</f>
        <v>205.04432272266666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86">
        <f>SUM(U24:U32)</f>
        <v>201806.55272266662</v>
      </c>
    </row>
    <row r="34" spans="1:21">
      <c r="A34" s="187"/>
      <c r="B34" s="13" t="s">
        <v>46</v>
      </c>
      <c r="C34" s="26"/>
      <c r="D34" s="11"/>
      <c r="E34" s="31"/>
      <c r="F34" s="32"/>
      <c r="G34" s="32"/>
      <c r="H34" s="33" t="s">
        <v>45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34"/>
    </row>
    <row r="35" spans="1:21" ht="12.75" customHeight="1">
      <c r="A35" s="187" t="s">
        <v>140</v>
      </c>
      <c r="B35" s="14" t="s">
        <v>47</v>
      </c>
      <c r="C35" s="26" t="s">
        <v>42</v>
      </c>
      <c r="D35" s="11"/>
      <c r="E35" s="31"/>
      <c r="F35" s="32">
        <v>8</v>
      </c>
      <c r="G35" s="32">
        <v>1737.08</v>
      </c>
      <c r="H35" s="33">
        <f t="shared" ref="H35:H41" si="28">SUM(F35*G35/1000)</f>
        <v>13.89664</v>
      </c>
      <c r="I35" s="34">
        <f>F35/6*G35</f>
        <v>2316.1066666666666</v>
      </c>
      <c r="J35" s="34">
        <f>F35/6*G35</f>
        <v>2316.1066666666666</v>
      </c>
      <c r="K35" s="34">
        <f>F35/6*G35</f>
        <v>2316.1066666666666</v>
      </c>
      <c r="L35" s="34">
        <f>F35/6*G35</f>
        <v>2316.1066666666666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f>F35/6*G35</f>
        <v>2316.1066666666666</v>
      </c>
      <c r="T35" s="34">
        <f>F35/6*G35</f>
        <v>2316.1066666666666</v>
      </c>
      <c r="U35" s="34">
        <f>SUM(I35:T35)</f>
        <v>13896.64</v>
      </c>
    </row>
    <row r="36" spans="1:21" s="1" customFormat="1">
      <c r="A36" s="189" t="s">
        <v>216</v>
      </c>
      <c r="B36" s="14" t="s">
        <v>48</v>
      </c>
      <c r="C36" s="48" t="s">
        <v>49</v>
      </c>
      <c r="D36" s="14" t="s">
        <v>114</v>
      </c>
      <c r="E36" s="49">
        <v>200</v>
      </c>
      <c r="F36" s="49">
        <f>SUM(E36*30/1000)</f>
        <v>6</v>
      </c>
      <c r="G36" s="49">
        <v>2391.67</v>
      </c>
      <c r="H36" s="33">
        <f t="shared" si="28"/>
        <v>14.350020000000001</v>
      </c>
      <c r="I36" s="34">
        <f>F36/6*G36</f>
        <v>2391.67</v>
      </c>
      <c r="J36" s="34">
        <f>F36/6*G36</f>
        <v>2391.67</v>
      </c>
      <c r="K36" s="34">
        <f t="shared" ref="K36:K41" si="29">F36/6*G36</f>
        <v>2391.67</v>
      </c>
      <c r="L36" s="34">
        <f t="shared" ref="L36:L41" si="30">F36/6*G36</f>
        <v>2391.67</v>
      </c>
      <c r="M36" s="50">
        <v>0</v>
      </c>
      <c r="N36" s="50">
        <v>0</v>
      </c>
      <c r="O36" s="50">
        <v>0</v>
      </c>
      <c r="P36" s="50">
        <v>0</v>
      </c>
      <c r="Q36" s="34">
        <v>0</v>
      </c>
      <c r="R36" s="34">
        <v>0</v>
      </c>
      <c r="S36" s="34">
        <f t="shared" ref="S36:S41" si="31">F36/6*G36</f>
        <v>2391.67</v>
      </c>
      <c r="T36" s="34">
        <f t="shared" ref="T36:T41" si="32">F36/6*G36</f>
        <v>2391.67</v>
      </c>
      <c r="U36" s="34">
        <f t="shared" ref="U36:U41" si="33">SUM(I36:T36)</f>
        <v>14350.02</v>
      </c>
    </row>
    <row r="37" spans="1:21" s="1" customFormat="1">
      <c r="A37" s="187" t="s">
        <v>140</v>
      </c>
      <c r="B37" s="11" t="s">
        <v>146</v>
      </c>
      <c r="C37" s="26" t="s">
        <v>95</v>
      </c>
      <c r="D37" s="11"/>
      <c r="E37" s="31"/>
      <c r="F37" s="49">
        <v>130</v>
      </c>
      <c r="G37" s="32">
        <v>226.84</v>
      </c>
      <c r="H37" s="33">
        <f t="shared" si="28"/>
        <v>29.4892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f t="shared" si="33"/>
        <v>0</v>
      </c>
    </row>
    <row r="38" spans="1:21" ht="24.75" customHeight="1">
      <c r="A38" s="187" t="s">
        <v>217</v>
      </c>
      <c r="B38" s="11" t="s">
        <v>190</v>
      </c>
      <c r="C38" s="26" t="s">
        <v>49</v>
      </c>
      <c r="D38" s="11" t="s">
        <v>50</v>
      </c>
      <c r="E38" s="32">
        <v>60</v>
      </c>
      <c r="F38" s="49">
        <f>SUM(E38*155/1000)</f>
        <v>9.3000000000000007</v>
      </c>
      <c r="G38" s="32">
        <v>398.95</v>
      </c>
      <c r="H38" s="33">
        <f t="shared" si="28"/>
        <v>3.7102349999999999</v>
      </c>
      <c r="I38" s="34">
        <f t="shared" ref="I38:I41" si="34">F38/6*G38</f>
        <v>618.37249999999995</v>
      </c>
      <c r="J38" s="34">
        <f t="shared" ref="J38:J41" si="35">F38/6*G38</f>
        <v>618.37249999999995</v>
      </c>
      <c r="K38" s="34">
        <f t="shared" si="29"/>
        <v>618.37249999999995</v>
      </c>
      <c r="L38" s="34">
        <f t="shared" si="30"/>
        <v>618.37249999999995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f t="shared" si="31"/>
        <v>618.37249999999995</v>
      </c>
      <c r="T38" s="34">
        <f t="shared" si="32"/>
        <v>618.37249999999995</v>
      </c>
      <c r="U38" s="34">
        <f t="shared" si="33"/>
        <v>3710.2349999999997</v>
      </c>
    </row>
    <row r="39" spans="1:21" ht="51" customHeight="1">
      <c r="A39" s="187" t="s">
        <v>218</v>
      </c>
      <c r="B39" s="11" t="s">
        <v>191</v>
      </c>
      <c r="C39" s="26" t="s">
        <v>31</v>
      </c>
      <c r="D39" s="11" t="s">
        <v>133</v>
      </c>
      <c r="E39" s="32">
        <v>40.9</v>
      </c>
      <c r="F39" s="49">
        <f>SUM(E39*35/1000)</f>
        <v>1.4315</v>
      </c>
      <c r="G39" s="32">
        <v>6600.74</v>
      </c>
      <c r="H39" s="33">
        <f t="shared" si="28"/>
        <v>9.4489593099999993</v>
      </c>
      <c r="I39" s="34">
        <f t="shared" si="34"/>
        <v>1574.8265516666668</v>
      </c>
      <c r="J39" s="34">
        <f t="shared" si="35"/>
        <v>1574.8265516666668</v>
      </c>
      <c r="K39" s="34">
        <f t="shared" si="29"/>
        <v>1574.8265516666668</v>
      </c>
      <c r="L39" s="34">
        <f t="shared" si="30"/>
        <v>1574.8265516666668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f t="shared" si="31"/>
        <v>1574.8265516666668</v>
      </c>
      <c r="T39" s="34">
        <f t="shared" si="32"/>
        <v>1574.8265516666668</v>
      </c>
      <c r="U39" s="34">
        <f t="shared" si="33"/>
        <v>9448.9593100000002</v>
      </c>
    </row>
    <row r="40" spans="1:21" ht="12.75" customHeight="1">
      <c r="A40" s="187" t="s">
        <v>219</v>
      </c>
      <c r="B40" s="11" t="s">
        <v>192</v>
      </c>
      <c r="C40" s="26" t="s">
        <v>31</v>
      </c>
      <c r="D40" s="11" t="s">
        <v>51</v>
      </c>
      <c r="E40" s="32">
        <v>60</v>
      </c>
      <c r="F40" s="49">
        <f>SUM(E40*45/1000)</f>
        <v>2.7</v>
      </c>
      <c r="G40" s="32">
        <v>487.61</v>
      </c>
      <c r="H40" s="33">
        <f t="shared" si="28"/>
        <v>1.3165470000000001</v>
      </c>
      <c r="I40" s="34">
        <f t="shared" si="34"/>
        <v>219.42450000000002</v>
      </c>
      <c r="J40" s="34">
        <f t="shared" si="35"/>
        <v>219.42450000000002</v>
      </c>
      <c r="K40" s="34">
        <f t="shared" si="29"/>
        <v>219.42450000000002</v>
      </c>
      <c r="L40" s="34">
        <f t="shared" si="30"/>
        <v>219.42450000000002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f t="shared" si="31"/>
        <v>219.42450000000002</v>
      </c>
      <c r="T40" s="34">
        <f t="shared" si="32"/>
        <v>219.42450000000002</v>
      </c>
      <c r="U40" s="34">
        <f t="shared" si="33"/>
        <v>1316.5470000000003</v>
      </c>
    </row>
    <row r="41" spans="1:21" s="2" customFormat="1">
      <c r="A41" s="189"/>
      <c r="B41" s="14" t="s">
        <v>193</v>
      </c>
      <c r="C41" s="48" t="s">
        <v>39</v>
      </c>
      <c r="D41" s="14"/>
      <c r="E41" s="45"/>
      <c r="F41" s="49">
        <v>0.9</v>
      </c>
      <c r="G41" s="49">
        <v>907.65</v>
      </c>
      <c r="H41" s="33">
        <f t="shared" si="28"/>
        <v>0.81688499999999997</v>
      </c>
      <c r="I41" s="34">
        <f t="shared" si="34"/>
        <v>136.14749999999998</v>
      </c>
      <c r="J41" s="34">
        <f t="shared" si="35"/>
        <v>136.14749999999998</v>
      </c>
      <c r="K41" s="34">
        <f t="shared" si="29"/>
        <v>136.14749999999998</v>
      </c>
      <c r="L41" s="34">
        <f t="shared" si="30"/>
        <v>136.14749999999998</v>
      </c>
      <c r="M41" s="50">
        <v>0</v>
      </c>
      <c r="N41" s="50">
        <v>0</v>
      </c>
      <c r="O41" s="50">
        <v>0</v>
      </c>
      <c r="P41" s="50">
        <v>0</v>
      </c>
      <c r="Q41" s="34">
        <v>0</v>
      </c>
      <c r="R41" s="34">
        <v>0</v>
      </c>
      <c r="S41" s="34">
        <f t="shared" si="31"/>
        <v>136.14749999999998</v>
      </c>
      <c r="T41" s="34">
        <f t="shared" si="32"/>
        <v>136.14749999999998</v>
      </c>
      <c r="U41" s="34">
        <f t="shared" si="33"/>
        <v>816.88499999999999</v>
      </c>
    </row>
    <row r="42" spans="1:21" s="20" customFormat="1">
      <c r="A42" s="188"/>
      <c r="B42" s="21" t="s">
        <v>28</v>
      </c>
      <c r="C42" s="37"/>
      <c r="D42" s="21"/>
      <c r="E42" s="38"/>
      <c r="F42" s="39" t="s">
        <v>45</v>
      </c>
      <c r="G42" s="39"/>
      <c r="H42" s="47">
        <f>SUM(H35:H41)</f>
        <v>73.028486310000005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86">
        <f>SUM(U35:U41)</f>
        <v>43539.286310000003</v>
      </c>
    </row>
    <row r="43" spans="1:21">
      <c r="A43" s="187"/>
      <c r="B43" s="15" t="s">
        <v>52</v>
      </c>
      <c r="C43" s="26"/>
      <c r="D43" s="11"/>
      <c r="E43" s="31"/>
      <c r="F43" s="32"/>
      <c r="G43" s="32"/>
      <c r="H43" s="3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34"/>
    </row>
    <row r="44" spans="1:21">
      <c r="A44" s="187" t="s">
        <v>228</v>
      </c>
      <c r="B44" s="11" t="s">
        <v>115</v>
      </c>
      <c r="C44" s="26" t="s">
        <v>31</v>
      </c>
      <c r="D44" s="11" t="s">
        <v>53</v>
      </c>
      <c r="E44" s="31">
        <v>1300.5</v>
      </c>
      <c r="F44" s="32">
        <f>SUM(E44/1000)*2</f>
        <v>2.601</v>
      </c>
      <c r="G44" s="51">
        <v>1173.18</v>
      </c>
      <c r="H44" s="33">
        <f t="shared" ref="H44:H54" si="36">SUM(F44*G44/1000)</f>
        <v>3.0514411800000003</v>
      </c>
      <c r="I44" s="34">
        <v>0</v>
      </c>
      <c r="J44" s="34">
        <v>0</v>
      </c>
      <c r="K44" s="34">
        <v>0</v>
      </c>
      <c r="L44" s="34">
        <v>0</v>
      </c>
      <c r="M44" s="34">
        <f>F44/2*G44</f>
        <v>1525.7205900000001</v>
      </c>
      <c r="N44" s="34">
        <v>0</v>
      </c>
      <c r="O44" s="34">
        <v>0</v>
      </c>
      <c r="P44" s="34">
        <v>0</v>
      </c>
      <c r="Q44" s="34">
        <f>F44/2*G44</f>
        <v>1525.7205900000001</v>
      </c>
      <c r="R44" s="34">
        <v>0</v>
      </c>
      <c r="S44" s="34">
        <v>0</v>
      </c>
      <c r="T44" s="34">
        <v>0</v>
      </c>
      <c r="U44" s="34">
        <f>SUM(I44:T44)</f>
        <v>3051.4411800000003</v>
      </c>
    </row>
    <row r="45" spans="1:21">
      <c r="A45" s="187" t="s">
        <v>220</v>
      </c>
      <c r="B45" s="11" t="s">
        <v>54</v>
      </c>
      <c r="C45" s="26" t="s">
        <v>31</v>
      </c>
      <c r="D45" s="11" t="s">
        <v>53</v>
      </c>
      <c r="E45" s="31">
        <v>52</v>
      </c>
      <c r="F45" s="32">
        <f>SUM(E45*2/1000)</f>
        <v>0.104</v>
      </c>
      <c r="G45" s="51">
        <v>659.09</v>
      </c>
      <c r="H45" s="33">
        <f t="shared" si="36"/>
        <v>6.854536E-2</v>
      </c>
      <c r="I45" s="34">
        <v>0</v>
      </c>
      <c r="J45" s="34">
        <v>0</v>
      </c>
      <c r="K45" s="34">
        <v>0</v>
      </c>
      <c r="L45" s="34">
        <v>0</v>
      </c>
      <c r="M45" s="34">
        <f t="shared" ref="M45:M48" si="37">F45/2*G45</f>
        <v>34.272680000000001</v>
      </c>
      <c r="N45" s="34">
        <v>0</v>
      </c>
      <c r="O45" s="34">
        <v>0</v>
      </c>
      <c r="P45" s="34">
        <v>0</v>
      </c>
      <c r="Q45" s="34">
        <f t="shared" ref="Q45:Q48" si="38">F45/2*G45</f>
        <v>34.272680000000001</v>
      </c>
      <c r="R45" s="34">
        <v>0</v>
      </c>
      <c r="S45" s="34">
        <v>0</v>
      </c>
      <c r="T45" s="34">
        <v>0</v>
      </c>
      <c r="U45" s="34">
        <f t="shared" ref="U45:U54" si="39">SUM(I45:T45)</f>
        <v>68.545360000000002</v>
      </c>
    </row>
    <row r="46" spans="1:21" ht="12.75" customHeight="1">
      <c r="A46" s="187" t="s">
        <v>221</v>
      </c>
      <c r="B46" s="11" t="s">
        <v>55</v>
      </c>
      <c r="C46" s="26" t="s">
        <v>31</v>
      </c>
      <c r="D46" s="11" t="s">
        <v>53</v>
      </c>
      <c r="E46" s="31">
        <v>1483.1</v>
      </c>
      <c r="F46" s="32">
        <f>SUM(E46*2/1000)</f>
        <v>2.9661999999999997</v>
      </c>
      <c r="G46" s="51">
        <v>1564.24</v>
      </c>
      <c r="H46" s="33">
        <f t="shared" si="36"/>
        <v>4.6398486879999998</v>
      </c>
      <c r="I46" s="34">
        <v>0</v>
      </c>
      <c r="J46" s="34">
        <v>0</v>
      </c>
      <c r="K46" s="34">
        <v>0</v>
      </c>
      <c r="L46" s="34">
        <v>0</v>
      </c>
      <c r="M46" s="34">
        <f t="shared" si="37"/>
        <v>2319.924344</v>
      </c>
      <c r="N46" s="34">
        <v>0</v>
      </c>
      <c r="O46" s="34">
        <v>0</v>
      </c>
      <c r="P46" s="34">
        <v>0</v>
      </c>
      <c r="Q46" s="34">
        <f t="shared" si="38"/>
        <v>2319.924344</v>
      </c>
      <c r="R46" s="34">
        <v>0</v>
      </c>
      <c r="S46" s="34">
        <v>0</v>
      </c>
      <c r="T46" s="34">
        <v>0</v>
      </c>
      <c r="U46" s="34">
        <f t="shared" si="39"/>
        <v>4639.848688</v>
      </c>
    </row>
    <row r="47" spans="1:21">
      <c r="A47" s="187" t="s">
        <v>222</v>
      </c>
      <c r="B47" s="11" t="s">
        <v>56</v>
      </c>
      <c r="C47" s="26" t="s">
        <v>31</v>
      </c>
      <c r="D47" s="11" t="s">
        <v>53</v>
      </c>
      <c r="E47" s="31">
        <v>2320</v>
      </c>
      <c r="F47" s="32">
        <f>SUM(E47*2/1000)</f>
        <v>4.6399999999999997</v>
      </c>
      <c r="G47" s="51">
        <v>1078.3599999999999</v>
      </c>
      <c r="H47" s="33">
        <f t="shared" si="36"/>
        <v>5.0035903999999993</v>
      </c>
      <c r="I47" s="34">
        <v>0</v>
      </c>
      <c r="J47" s="34">
        <v>0</v>
      </c>
      <c r="K47" s="34">
        <v>0</v>
      </c>
      <c r="L47" s="34">
        <v>0</v>
      </c>
      <c r="M47" s="34">
        <f t="shared" si="37"/>
        <v>2501.7951999999996</v>
      </c>
      <c r="N47" s="34">
        <v>0</v>
      </c>
      <c r="O47" s="34">
        <v>0</v>
      </c>
      <c r="P47" s="34">
        <v>0</v>
      </c>
      <c r="Q47" s="34">
        <f t="shared" si="38"/>
        <v>2501.7951999999996</v>
      </c>
      <c r="R47" s="34">
        <v>0</v>
      </c>
      <c r="S47" s="34">
        <v>0</v>
      </c>
      <c r="T47" s="34">
        <v>0</v>
      </c>
      <c r="U47" s="34">
        <f t="shared" si="39"/>
        <v>5003.5903999999991</v>
      </c>
    </row>
    <row r="48" spans="1:21">
      <c r="A48" s="187" t="s">
        <v>223</v>
      </c>
      <c r="B48" s="11" t="s">
        <v>57</v>
      </c>
      <c r="C48" s="26" t="s">
        <v>58</v>
      </c>
      <c r="D48" s="11" t="s">
        <v>53</v>
      </c>
      <c r="E48" s="31">
        <v>91.84</v>
      </c>
      <c r="F48" s="32">
        <f>SUM(E48*2/100)</f>
        <v>1.8368</v>
      </c>
      <c r="G48" s="51">
        <v>82.82</v>
      </c>
      <c r="H48" s="33">
        <f t="shared" si="36"/>
        <v>0.15212377599999999</v>
      </c>
      <c r="I48" s="34">
        <v>0</v>
      </c>
      <c r="J48" s="34">
        <v>0</v>
      </c>
      <c r="K48" s="34">
        <v>0</v>
      </c>
      <c r="L48" s="34">
        <v>0</v>
      </c>
      <c r="M48" s="34">
        <f t="shared" si="37"/>
        <v>76.061887999999996</v>
      </c>
      <c r="N48" s="34">
        <v>0</v>
      </c>
      <c r="O48" s="34">
        <v>0</v>
      </c>
      <c r="P48" s="34">
        <v>0</v>
      </c>
      <c r="Q48" s="34">
        <f t="shared" si="38"/>
        <v>76.061887999999996</v>
      </c>
      <c r="R48" s="34">
        <v>0</v>
      </c>
      <c r="S48" s="34">
        <v>0</v>
      </c>
      <c r="T48" s="34">
        <v>0</v>
      </c>
      <c r="U48" s="34">
        <f t="shared" si="39"/>
        <v>152.12377599999999</v>
      </c>
    </row>
    <row r="49" spans="1:21" ht="25.5">
      <c r="A49" s="187" t="s">
        <v>224</v>
      </c>
      <c r="B49" s="11" t="s">
        <v>59</v>
      </c>
      <c r="C49" s="26" t="s">
        <v>31</v>
      </c>
      <c r="D49" s="11" t="s">
        <v>60</v>
      </c>
      <c r="E49" s="31">
        <v>1040.4000000000001</v>
      </c>
      <c r="F49" s="32">
        <f>SUM(E49*5/1000)</f>
        <v>5.202</v>
      </c>
      <c r="G49" s="51">
        <v>1564.24</v>
      </c>
      <c r="H49" s="33">
        <f>SUM(F49*G49/1000)</f>
        <v>8.1371764800000008</v>
      </c>
      <c r="I49" s="34">
        <f>F49/5*G49</f>
        <v>1627.4352960000001</v>
      </c>
      <c r="J49" s="34">
        <f>F49/5*G49</f>
        <v>1627.4352960000001</v>
      </c>
      <c r="K49" s="34">
        <v>0</v>
      </c>
      <c r="L49" s="34">
        <v>0</v>
      </c>
      <c r="M49" s="34">
        <f>F49/5*G49</f>
        <v>1627.4352960000001</v>
      </c>
      <c r="N49" s="34">
        <v>0</v>
      </c>
      <c r="O49" s="34">
        <v>0</v>
      </c>
      <c r="P49" s="34">
        <v>0</v>
      </c>
      <c r="Q49" s="34">
        <f>F49/5*G49</f>
        <v>1627.4352960000001</v>
      </c>
      <c r="R49" s="34">
        <v>0</v>
      </c>
      <c r="S49" s="34">
        <v>0</v>
      </c>
      <c r="T49" s="34">
        <f>F49/5*G49</f>
        <v>1627.4352960000001</v>
      </c>
      <c r="U49" s="34">
        <f t="shared" si="39"/>
        <v>8137.1764800000001</v>
      </c>
    </row>
    <row r="50" spans="1:21" ht="38.25" customHeight="1">
      <c r="A50" s="187" t="s">
        <v>225</v>
      </c>
      <c r="B50" s="11" t="s">
        <v>61</v>
      </c>
      <c r="C50" s="26" t="s">
        <v>31</v>
      </c>
      <c r="D50" s="11" t="s">
        <v>53</v>
      </c>
      <c r="E50" s="31">
        <v>1040.4000000000001</v>
      </c>
      <c r="F50" s="32">
        <f>SUM(E50*2/1000)</f>
        <v>2.0808</v>
      </c>
      <c r="G50" s="51">
        <v>1380.31</v>
      </c>
      <c r="H50" s="33">
        <f t="shared" si="36"/>
        <v>2.8721490479999998</v>
      </c>
      <c r="I50" s="34">
        <v>0</v>
      </c>
      <c r="J50" s="34">
        <v>0</v>
      </c>
      <c r="K50" s="34">
        <v>0</v>
      </c>
      <c r="L50" s="34">
        <v>0</v>
      </c>
      <c r="M50" s="34">
        <f>F50/2*G50</f>
        <v>1436.0745239999999</v>
      </c>
      <c r="N50" s="34">
        <v>0</v>
      </c>
      <c r="O50" s="34">
        <v>0</v>
      </c>
      <c r="P50" s="34">
        <v>0</v>
      </c>
      <c r="Q50" s="34">
        <v>0</v>
      </c>
      <c r="R50" s="34">
        <f>F50/2*G50</f>
        <v>1436.0745239999999</v>
      </c>
      <c r="S50" s="34">
        <v>0</v>
      </c>
      <c r="T50" s="34">
        <v>0</v>
      </c>
      <c r="U50" s="34">
        <f t="shared" si="39"/>
        <v>2872.1490479999998</v>
      </c>
    </row>
    <row r="51" spans="1:21" ht="25.5" customHeight="1">
      <c r="A51" s="187" t="s">
        <v>226</v>
      </c>
      <c r="B51" s="11" t="s">
        <v>62</v>
      </c>
      <c r="C51" s="26" t="s">
        <v>63</v>
      </c>
      <c r="D51" s="11" t="s">
        <v>53</v>
      </c>
      <c r="E51" s="31">
        <v>20</v>
      </c>
      <c r="F51" s="32">
        <f>SUM(E51*2/100)</f>
        <v>0.4</v>
      </c>
      <c r="G51" s="51">
        <v>3519.56</v>
      </c>
      <c r="H51" s="33">
        <f t="shared" si="36"/>
        <v>1.407824</v>
      </c>
      <c r="I51" s="34">
        <v>0</v>
      </c>
      <c r="J51" s="34">
        <v>0</v>
      </c>
      <c r="K51" s="34">
        <v>0</v>
      </c>
      <c r="L51" s="34">
        <v>0</v>
      </c>
      <c r="M51" s="34">
        <f>F51/2*G51</f>
        <v>703.91200000000003</v>
      </c>
      <c r="N51" s="34">
        <v>0</v>
      </c>
      <c r="O51" s="34">
        <v>0</v>
      </c>
      <c r="P51" s="34">
        <v>0</v>
      </c>
      <c r="Q51" s="34">
        <v>0</v>
      </c>
      <c r="R51" s="34">
        <f t="shared" ref="R51:R52" si="40">F51/2*G51</f>
        <v>703.91200000000003</v>
      </c>
      <c r="S51" s="34">
        <v>0</v>
      </c>
      <c r="T51" s="34">
        <v>0</v>
      </c>
      <c r="U51" s="34">
        <f t="shared" si="39"/>
        <v>1407.8240000000001</v>
      </c>
    </row>
    <row r="52" spans="1:21">
      <c r="A52" s="187" t="s">
        <v>227</v>
      </c>
      <c r="B52" s="11" t="s">
        <v>64</v>
      </c>
      <c r="C52" s="26" t="s">
        <v>65</v>
      </c>
      <c r="D52" s="11" t="s">
        <v>53</v>
      </c>
      <c r="E52" s="31">
        <v>1</v>
      </c>
      <c r="F52" s="32">
        <v>0.02</v>
      </c>
      <c r="G52" s="51">
        <v>6428.82</v>
      </c>
      <c r="H52" s="33">
        <f t="shared" si="36"/>
        <v>0.12857640000000001</v>
      </c>
      <c r="I52" s="34">
        <v>0</v>
      </c>
      <c r="J52" s="34">
        <v>0</v>
      </c>
      <c r="K52" s="34">
        <v>0</v>
      </c>
      <c r="L52" s="34">
        <v>0</v>
      </c>
      <c r="M52" s="34">
        <f>F52/2*G52</f>
        <v>64.288200000000003</v>
      </c>
      <c r="N52" s="34">
        <v>0</v>
      </c>
      <c r="O52" s="34">
        <v>0</v>
      </c>
      <c r="P52" s="34">
        <v>0</v>
      </c>
      <c r="Q52" s="34">
        <v>0</v>
      </c>
      <c r="R52" s="34">
        <f t="shared" si="40"/>
        <v>64.288200000000003</v>
      </c>
      <c r="S52" s="34">
        <v>0</v>
      </c>
      <c r="T52" s="34">
        <v>0</v>
      </c>
      <c r="U52" s="34">
        <f t="shared" si="39"/>
        <v>128.57640000000001</v>
      </c>
    </row>
    <row r="53" spans="1:21" ht="13.5" customHeight="1">
      <c r="A53" s="187" t="s">
        <v>66</v>
      </c>
      <c r="B53" s="11" t="s">
        <v>67</v>
      </c>
      <c r="C53" s="26" t="s">
        <v>68</v>
      </c>
      <c r="D53" s="11" t="s">
        <v>139</v>
      </c>
      <c r="E53" s="31">
        <v>56</v>
      </c>
      <c r="F53" s="32">
        <f>SUM(E53*3)</f>
        <v>168</v>
      </c>
      <c r="G53" s="52">
        <v>160.51</v>
      </c>
      <c r="H53" s="33">
        <f t="shared" si="36"/>
        <v>26.965679999999999</v>
      </c>
      <c r="I53" s="34">
        <f>E53*G53</f>
        <v>8988.56</v>
      </c>
      <c r="J53" s="34">
        <v>0</v>
      </c>
      <c r="K53" s="34">
        <v>0</v>
      </c>
      <c r="L53" s="34">
        <f>E53*G53</f>
        <v>8988.56</v>
      </c>
      <c r="M53" s="34">
        <v>0</v>
      </c>
      <c r="N53" s="34">
        <v>0</v>
      </c>
      <c r="O53" s="34">
        <v>0</v>
      </c>
      <c r="P53" s="34">
        <f>E53*G53</f>
        <v>8988.56</v>
      </c>
      <c r="Q53" s="34">
        <v>0</v>
      </c>
      <c r="R53" s="34">
        <v>0</v>
      </c>
      <c r="S53" s="34">
        <v>0</v>
      </c>
      <c r="T53" s="34">
        <v>0</v>
      </c>
      <c r="U53" s="34">
        <f t="shared" si="39"/>
        <v>26965.68</v>
      </c>
    </row>
    <row r="54" spans="1:21" ht="13.5" customHeight="1">
      <c r="A54" s="187" t="s">
        <v>69</v>
      </c>
      <c r="B54" s="11" t="s">
        <v>70</v>
      </c>
      <c r="C54" s="26" t="s">
        <v>68</v>
      </c>
      <c r="D54" s="11" t="s">
        <v>139</v>
      </c>
      <c r="E54" s="31">
        <v>112</v>
      </c>
      <c r="F54" s="32">
        <f>SUM(E54)*3</f>
        <v>336</v>
      </c>
      <c r="G54" s="52">
        <v>74.709999999999994</v>
      </c>
      <c r="H54" s="33">
        <f t="shared" si="36"/>
        <v>25.102559999999997</v>
      </c>
      <c r="I54" s="34">
        <f>E54*G54</f>
        <v>8367.5199999999986</v>
      </c>
      <c r="J54" s="34">
        <v>0</v>
      </c>
      <c r="K54" s="34">
        <v>0</v>
      </c>
      <c r="L54" s="34">
        <f>E54*G54</f>
        <v>8367.5199999999986</v>
      </c>
      <c r="M54" s="34">
        <v>0</v>
      </c>
      <c r="N54" s="34">
        <v>0</v>
      </c>
      <c r="O54" s="34">
        <v>0</v>
      </c>
      <c r="P54" s="34">
        <f t="shared" ref="P54" si="41">E54*G54</f>
        <v>8367.5199999999986</v>
      </c>
      <c r="Q54" s="34">
        <v>0</v>
      </c>
      <c r="R54" s="34">
        <v>0</v>
      </c>
      <c r="S54" s="34">
        <v>0</v>
      </c>
      <c r="T54" s="34">
        <v>0</v>
      </c>
      <c r="U54" s="34">
        <f t="shared" si="39"/>
        <v>25102.559999999998</v>
      </c>
    </row>
    <row r="55" spans="1:21" s="22" customFormat="1">
      <c r="A55" s="190"/>
      <c r="B55" s="21" t="s">
        <v>28</v>
      </c>
      <c r="C55" s="53"/>
      <c r="D55" s="21"/>
      <c r="E55" s="54"/>
      <c r="F55" s="55"/>
      <c r="G55" s="55"/>
      <c r="H55" s="47">
        <f>SUM(H44:H54)</f>
        <v>77.529515332000003</v>
      </c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74">
        <f>SUM(U44:U54)</f>
        <v>77529.515331999995</v>
      </c>
    </row>
    <row r="56" spans="1:21">
      <c r="A56" s="187"/>
      <c r="B56" s="13" t="s">
        <v>71</v>
      </c>
      <c r="C56" s="26"/>
      <c r="D56" s="11"/>
      <c r="E56" s="31"/>
      <c r="F56" s="32"/>
      <c r="G56" s="32"/>
      <c r="H56" s="3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34"/>
    </row>
    <row r="57" spans="1:21" ht="25.5" customHeight="1">
      <c r="A57" s="8" t="s">
        <v>229</v>
      </c>
      <c r="B57" s="11" t="s">
        <v>194</v>
      </c>
      <c r="C57" s="26" t="s">
        <v>13</v>
      </c>
      <c r="D57" s="11" t="s">
        <v>72</v>
      </c>
      <c r="E57" s="31">
        <v>142.05000000000001</v>
      </c>
      <c r="F57" s="32">
        <f>SUM(E57*6/100)</f>
        <v>8.5230000000000015</v>
      </c>
      <c r="G57" s="51">
        <v>2108.4299999999998</v>
      </c>
      <c r="H57" s="33">
        <f>SUM(F57*G57/1000)</f>
        <v>17.970148890000001</v>
      </c>
      <c r="I57" s="34">
        <f>F57/6*G57</f>
        <v>2995.0248150000002</v>
      </c>
      <c r="J57" s="34">
        <f>F57/6*G57</f>
        <v>2995.0248150000002</v>
      </c>
      <c r="K57" s="34">
        <f>F57/6*G57</f>
        <v>2995.0248150000002</v>
      </c>
      <c r="L57" s="34">
        <f>F57/6*G57</f>
        <v>2995.0248150000002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f>F57/6*G57</f>
        <v>2995.0248150000002</v>
      </c>
      <c r="T57" s="34">
        <f>F57/6*G57</f>
        <v>2995.0248150000002</v>
      </c>
      <c r="U57" s="34">
        <f t="shared" ref="U57" si="42">SUM(I57:T57)</f>
        <v>17970.14889</v>
      </c>
    </row>
    <row r="58" spans="1:21">
      <c r="A58" s="187"/>
      <c r="B58" s="12" t="s">
        <v>73</v>
      </c>
      <c r="C58" s="26"/>
      <c r="D58" s="11"/>
      <c r="E58" s="31"/>
      <c r="F58" s="33"/>
      <c r="G58" s="51"/>
      <c r="H58" s="57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34"/>
    </row>
    <row r="59" spans="1:21">
      <c r="A59" s="187" t="s">
        <v>230</v>
      </c>
      <c r="B59" s="11" t="s">
        <v>116</v>
      </c>
      <c r="C59" s="26" t="s">
        <v>13</v>
      </c>
      <c r="D59" s="11" t="s">
        <v>34</v>
      </c>
      <c r="E59" s="31">
        <v>1040.4000000000001</v>
      </c>
      <c r="F59" s="33">
        <f>E59/100</f>
        <v>10.404000000000002</v>
      </c>
      <c r="G59" s="51">
        <v>902.66</v>
      </c>
      <c r="H59" s="57">
        <f>G59*F59/1000</f>
        <v>9.3912746400000007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f>SUM(I59:T59)</f>
        <v>0</v>
      </c>
    </row>
    <row r="60" spans="1:21">
      <c r="A60" s="187"/>
      <c r="B60" s="11" t="s">
        <v>117</v>
      </c>
      <c r="C60" s="26" t="s">
        <v>74</v>
      </c>
      <c r="D60" s="11" t="s">
        <v>75</v>
      </c>
      <c r="E60" s="31">
        <v>240</v>
      </c>
      <c r="F60" s="32">
        <v>2880</v>
      </c>
      <c r="G60" s="58">
        <v>2.83</v>
      </c>
      <c r="H60" s="33">
        <f>F60*G60/1000</f>
        <v>8.1504000000000012</v>
      </c>
      <c r="I60" s="34">
        <f>F60/12*G60</f>
        <v>679.2</v>
      </c>
      <c r="J60" s="34">
        <f>F60/12*G60</f>
        <v>679.2</v>
      </c>
      <c r="K60" s="34">
        <f>F60/12*G60</f>
        <v>679.2</v>
      </c>
      <c r="L60" s="34">
        <f>F60/12*G60</f>
        <v>679.2</v>
      </c>
      <c r="M60" s="34">
        <f>F60/12*G60</f>
        <v>679.2</v>
      </c>
      <c r="N60" s="34">
        <f>F60/12*G60</f>
        <v>679.2</v>
      </c>
      <c r="O60" s="34">
        <f>F60/12*G60</f>
        <v>679.2</v>
      </c>
      <c r="P60" s="34">
        <f>F60/12*G60</f>
        <v>679.2</v>
      </c>
      <c r="Q60" s="34">
        <f>F60/12*G60</f>
        <v>679.2</v>
      </c>
      <c r="R60" s="34">
        <f>F60/12*G60</f>
        <v>679.2</v>
      </c>
      <c r="S60" s="34">
        <f>F60/12*G60</f>
        <v>679.2</v>
      </c>
      <c r="T60" s="34">
        <v>679.2</v>
      </c>
      <c r="U60" s="34">
        <f t="shared" ref="U60:U70" si="43">SUM(I60:T60)</f>
        <v>8150.3999999999987</v>
      </c>
    </row>
    <row r="61" spans="1:21">
      <c r="A61" s="191"/>
      <c r="B61" s="16" t="s">
        <v>76</v>
      </c>
      <c r="C61" s="59"/>
      <c r="D61" s="60"/>
      <c r="E61" s="61"/>
      <c r="F61" s="62"/>
      <c r="G61" s="62"/>
      <c r="H61" s="63" t="s">
        <v>45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34"/>
    </row>
    <row r="62" spans="1:21" ht="12.75" customHeight="1">
      <c r="A62" s="23" t="s">
        <v>231</v>
      </c>
      <c r="B62" s="17" t="s">
        <v>77</v>
      </c>
      <c r="C62" s="23" t="s">
        <v>65</v>
      </c>
      <c r="D62" s="9" t="s">
        <v>41</v>
      </c>
      <c r="E62" s="64">
        <v>15</v>
      </c>
      <c r="F62" s="32">
        <f>15/100</f>
        <v>0.15</v>
      </c>
      <c r="G62" s="51">
        <v>252.96</v>
      </c>
      <c r="H62" s="65">
        <f t="shared" ref="H62:H79" si="44">SUM(F62*G62/1000)</f>
        <v>3.7944000000000006E-2</v>
      </c>
      <c r="I62" s="34">
        <f>G62*5</f>
        <v>1264.8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f>G62*6</f>
        <v>1517.76</v>
      </c>
      <c r="S62" s="34">
        <f>G62*3</f>
        <v>758.88</v>
      </c>
      <c r="T62" s="34">
        <f>G62*2</f>
        <v>505.92</v>
      </c>
      <c r="U62" s="34">
        <f t="shared" si="43"/>
        <v>4047.36</v>
      </c>
    </row>
    <row r="63" spans="1:21" ht="12.75" customHeight="1">
      <c r="A63" s="23" t="s">
        <v>232</v>
      </c>
      <c r="B63" s="17" t="s">
        <v>78</v>
      </c>
      <c r="C63" s="23" t="s">
        <v>65</v>
      </c>
      <c r="D63" s="9" t="s">
        <v>41</v>
      </c>
      <c r="E63" s="64">
        <v>10</v>
      </c>
      <c r="F63" s="32">
        <f>10/100</f>
        <v>0.1</v>
      </c>
      <c r="G63" s="51">
        <v>86.74</v>
      </c>
      <c r="H63" s="65">
        <f t="shared" si="44"/>
        <v>8.6739999999999994E-3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f t="shared" si="43"/>
        <v>0</v>
      </c>
    </row>
    <row r="64" spans="1:21" s="2" customFormat="1">
      <c r="A64" s="66" t="s">
        <v>233</v>
      </c>
      <c r="B64" s="17" t="s">
        <v>79</v>
      </c>
      <c r="C64" s="66" t="s">
        <v>80</v>
      </c>
      <c r="D64" s="9" t="s">
        <v>34</v>
      </c>
      <c r="E64" s="31">
        <v>17532</v>
      </c>
      <c r="F64" s="52">
        <f>SUM(E64/100)</f>
        <v>175.32</v>
      </c>
      <c r="G64" s="51">
        <v>241.31</v>
      </c>
      <c r="H64" s="65">
        <f t="shared" si="44"/>
        <v>42.306469200000002</v>
      </c>
      <c r="I64" s="50">
        <v>0</v>
      </c>
      <c r="J64" s="50">
        <v>0</v>
      </c>
      <c r="K64" s="50">
        <v>0</v>
      </c>
      <c r="L64" s="50">
        <v>0</v>
      </c>
      <c r="M64" s="50">
        <f>F64*G64</f>
        <v>42306.4692</v>
      </c>
      <c r="N64" s="50">
        <v>0</v>
      </c>
      <c r="O64" s="50">
        <v>0</v>
      </c>
      <c r="P64" s="50">
        <v>0</v>
      </c>
      <c r="Q64" s="34">
        <v>0</v>
      </c>
      <c r="R64" s="34">
        <v>0</v>
      </c>
      <c r="S64" s="34">
        <v>0</v>
      </c>
      <c r="T64" s="34">
        <v>0</v>
      </c>
      <c r="U64" s="34">
        <f t="shared" si="43"/>
        <v>42306.4692</v>
      </c>
    </row>
    <row r="65" spans="1:21" ht="12.75" customHeight="1">
      <c r="A65" s="23" t="s">
        <v>234</v>
      </c>
      <c r="B65" s="17" t="s">
        <v>81</v>
      </c>
      <c r="C65" s="23" t="s">
        <v>82</v>
      </c>
      <c r="D65" s="9"/>
      <c r="E65" s="31">
        <v>17532</v>
      </c>
      <c r="F65" s="51">
        <f>SUM(E65/1000)</f>
        <v>17.532</v>
      </c>
      <c r="G65" s="51">
        <v>187.91</v>
      </c>
      <c r="H65" s="65">
        <f t="shared" si="44"/>
        <v>3.2944381199999997</v>
      </c>
      <c r="I65" s="34">
        <v>0</v>
      </c>
      <c r="J65" s="34">
        <v>0</v>
      </c>
      <c r="K65" s="34">
        <v>0</v>
      </c>
      <c r="L65" s="34">
        <v>0</v>
      </c>
      <c r="M65" s="34">
        <f>F65*G65</f>
        <v>3294.4381199999998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f t="shared" si="43"/>
        <v>3294.4381199999998</v>
      </c>
    </row>
    <row r="66" spans="1:21">
      <c r="A66" s="23" t="s">
        <v>235</v>
      </c>
      <c r="B66" s="17" t="s">
        <v>83</v>
      </c>
      <c r="C66" s="23" t="s">
        <v>84</v>
      </c>
      <c r="D66" s="9" t="s">
        <v>34</v>
      </c>
      <c r="E66" s="31">
        <v>1365</v>
      </c>
      <c r="F66" s="51">
        <f>SUM(E66/100)</f>
        <v>13.65</v>
      </c>
      <c r="G66" s="51">
        <v>2359.7199999999998</v>
      </c>
      <c r="H66" s="65">
        <f t="shared" si="44"/>
        <v>32.210177999999999</v>
      </c>
      <c r="I66" s="34">
        <v>0</v>
      </c>
      <c r="J66" s="34">
        <v>0</v>
      </c>
      <c r="K66" s="34">
        <v>0</v>
      </c>
      <c r="L66" s="34">
        <v>0</v>
      </c>
      <c r="M66" s="34">
        <f>F66*G66</f>
        <v>32210.178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f t="shared" si="43"/>
        <v>32210.178</v>
      </c>
    </row>
    <row r="67" spans="1:21">
      <c r="A67" s="23"/>
      <c r="B67" s="18" t="s">
        <v>118</v>
      </c>
      <c r="C67" s="23" t="s">
        <v>39</v>
      </c>
      <c r="D67" s="9"/>
      <c r="E67" s="31">
        <v>15.6</v>
      </c>
      <c r="F67" s="51">
        <f>SUM(E67)</f>
        <v>15.6</v>
      </c>
      <c r="G67" s="51">
        <v>45.4</v>
      </c>
      <c r="H67" s="65">
        <f t="shared" si="44"/>
        <v>0.70823999999999998</v>
      </c>
      <c r="I67" s="34">
        <v>0</v>
      </c>
      <c r="J67" s="34">
        <v>0</v>
      </c>
      <c r="K67" s="34">
        <v>0</v>
      </c>
      <c r="L67" s="34">
        <v>0</v>
      </c>
      <c r="M67" s="34">
        <f>F67*G67</f>
        <v>708.24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f t="shared" si="43"/>
        <v>708.24</v>
      </c>
    </row>
    <row r="68" spans="1:21" ht="25.5">
      <c r="A68" s="23" t="s">
        <v>45</v>
      </c>
      <c r="B68" s="18" t="s">
        <v>119</v>
      </c>
      <c r="C68" s="23" t="s">
        <v>39</v>
      </c>
      <c r="D68" s="9"/>
      <c r="E68" s="31">
        <v>15.6</v>
      </c>
      <c r="F68" s="51">
        <f>SUM(E68)</f>
        <v>15.6</v>
      </c>
      <c r="G68" s="51">
        <v>42.35</v>
      </c>
      <c r="H68" s="65">
        <f t="shared" si="44"/>
        <v>0.66065999999999991</v>
      </c>
      <c r="I68" s="34">
        <v>0</v>
      </c>
      <c r="J68" s="34">
        <v>0</v>
      </c>
      <c r="K68" s="34">
        <v>0</v>
      </c>
      <c r="L68" s="34">
        <v>0</v>
      </c>
      <c r="M68" s="34">
        <f>F68*G68</f>
        <v>660.66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f t="shared" si="43"/>
        <v>660.66</v>
      </c>
    </row>
    <row r="69" spans="1:21">
      <c r="A69" s="23" t="s">
        <v>236</v>
      </c>
      <c r="B69" s="9" t="s">
        <v>85</v>
      </c>
      <c r="C69" s="23" t="s">
        <v>86</v>
      </c>
      <c r="D69" s="9" t="s">
        <v>34</v>
      </c>
      <c r="E69" s="64">
        <v>4</v>
      </c>
      <c r="F69" s="32">
        <f>SUM(E69)</f>
        <v>4</v>
      </c>
      <c r="G69" s="51">
        <v>56.74</v>
      </c>
      <c r="H69" s="65">
        <f t="shared" si="44"/>
        <v>0.22696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f>G69*4</f>
        <v>226.96</v>
      </c>
      <c r="R69" s="34">
        <v>0</v>
      </c>
      <c r="S69" s="34">
        <v>0</v>
      </c>
      <c r="T69" s="34">
        <v>0</v>
      </c>
      <c r="U69" s="34">
        <f t="shared" si="43"/>
        <v>226.96</v>
      </c>
    </row>
    <row r="70" spans="1:21" ht="12.75" customHeight="1">
      <c r="A70" s="23"/>
      <c r="B70" s="9" t="s">
        <v>120</v>
      </c>
      <c r="C70" s="23" t="s">
        <v>86</v>
      </c>
      <c r="D70" s="9" t="s">
        <v>111</v>
      </c>
      <c r="E70" s="64">
        <v>1</v>
      </c>
      <c r="F70" s="58">
        <v>12</v>
      </c>
      <c r="G70" s="51">
        <v>756.5</v>
      </c>
      <c r="H70" s="65">
        <f t="shared" si="44"/>
        <v>9.0779999999999994</v>
      </c>
      <c r="I70" s="34">
        <f>G70</f>
        <v>756.5</v>
      </c>
      <c r="J70" s="34">
        <f>G70</f>
        <v>756.5</v>
      </c>
      <c r="K70" s="34">
        <f>G70</f>
        <v>756.5</v>
      </c>
      <c r="L70" s="34">
        <f>G70</f>
        <v>756.5</v>
      </c>
      <c r="M70" s="34">
        <f>G70</f>
        <v>756.5</v>
      </c>
      <c r="N70" s="34">
        <f>G70</f>
        <v>756.5</v>
      </c>
      <c r="O70" s="34">
        <f>G70</f>
        <v>756.5</v>
      </c>
      <c r="P70" s="34">
        <f>G70</f>
        <v>756.5</v>
      </c>
      <c r="Q70" s="34">
        <f>G70</f>
        <v>756.5</v>
      </c>
      <c r="R70" s="34">
        <f>G70</f>
        <v>756.5</v>
      </c>
      <c r="S70" s="34">
        <f>G70</f>
        <v>756.5</v>
      </c>
      <c r="T70" s="34">
        <f>G70</f>
        <v>756.5</v>
      </c>
      <c r="U70" s="34">
        <f t="shared" si="43"/>
        <v>9078</v>
      </c>
    </row>
    <row r="71" spans="1:21" s="20" customFormat="1">
      <c r="A71" s="90" t="s">
        <v>150</v>
      </c>
      <c r="B71" s="155"/>
      <c r="C71" s="91"/>
      <c r="D71" s="155"/>
      <c r="E71" s="156"/>
      <c r="F71" s="93"/>
      <c r="G71" s="93"/>
      <c r="H71" s="42">
        <f>SUM(H62:H70)</f>
        <v>88.531563320000018</v>
      </c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86">
        <f>SUM(U57:U70)</f>
        <v>118652.85421000002</v>
      </c>
    </row>
    <row r="72" spans="1:21">
      <c r="A72" s="23"/>
      <c r="B72" s="19" t="s">
        <v>87</v>
      </c>
      <c r="C72" s="23"/>
      <c r="D72" s="9"/>
      <c r="E72" s="64"/>
      <c r="F72" s="51"/>
      <c r="G72" s="51"/>
      <c r="H72" s="65" t="s">
        <v>45</v>
      </c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34"/>
    </row>
    <row r="73" spans="1:21" ht="12.75" customHeight="1">
      <c r="A73" s="23" t="s">
        <v>237</v>
      </c>
      <c r="B73" s="9" t="s">
        <v>134</v>
      </c>
      <c r="C73" s="23" t="s">
        <v>36</v>
      </c>
      <c r="D73" s="9" t="s">
        <v>41</v>
      </c>
      <c r="E73" s="64">
        <v>2</v>
      </c>
      <c r="F73" s="51">
        <v>2</v>
      </c>
      <c r="G73" s="51">
        <v>892.5</v>
      </c>
      <c r="H73" s="65">
        <f>G73*F73/1000</f>
        <v>1.7849999999999999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f>SUM(I73:T73)</f>
        <v>0</v>
      </c>
    </row>
    <row r="74" spans="1:21">
      <c r="A74" s="23" t="s">
        <v>135</v>
      </c>
      <c r="B74" s="9" t="s">
        <v>136</v>
      </c>
      <c r="C74" s="23" t="s">
        <v>137</v>
      </c>
      <c r="D74" s="9"/>
      <c r="E74" s="64">
        <v>1</v>
      </c>
      <c r="F74" s="51">
        <v>1</v>
      </c>
      <c r="G74" s="51">
        <v>750</v>
      </c>
      <c r="H74" s="65">
        <f>G74*F74/1000</f>
        <v>0.75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f t="shared" ref="U74:U80" si="45">SUM(I74:T74)</f>
        <v>0</v>
      </c>
    </row>
    <row r="75" spans="1:21">
      <c r="A75" s="23" t="s">
        <v>238</v>
      </c>
      <c r="B75" s="9" t="s">
        <v>88</v>
      </c>
      <c r="C75" s="23" t="s">
        <v>89</v>
      </c>
      <c r="D75" s="9"/>
      <c r="E75" s="64">
        <v>2</v>
      </c>
      <c r="F75" s="51">
        <v>0.2</v>
      </c>
      <c r="G75" s="51">
        <v>570.54</v>
      </c>
      <c r="H75" s="65">
        <f t="shared" si="44"/>
        <v>0.114108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f>G75*0.4</f>
        <v>228.21600000000001</v>
      </c>
      <c r="Q75" s="34">
        <v>0</v>
      </c>
      <c r="R75" s="34">
        <v>0</v>
      </c>
      <c r="S75" s="34">
        <v>0</v>
      </c>
      <c r="T75" s="34">
        <v>0</v>
      </c>
      <c r="U75" s="34">
        <f t="shared" si="45"/>
        <v>228.21600000000001</v>
      </c>
    </row>
    <row r="76" spans="1:21">
      <c r="A76" s="23" t="s">
        <v>239</v>
      </c>
      <c r="B76" s="9" t="s">
        <v>138</v>
      </c>
      <c r="C76" s="23" t="s">
        <v>36</v>
      </c>
      <c r="D76" s="9"/>
      <c r="E76" s="64">
        <v>1</v>
      </c>
      <c r="F76" s="58">
        <v>1</v>
      </c>
      <c r="G76" s="51">
        <v>970.21</v>
      </c>
      <c r="H76" s="65">
        <f t="shared" si="44"/>
        <v>0.97021000000000002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f t="shared" si="45"/>
        <v>0</v>
      </c>
    </row>
    <row r="77" spans="1:21">
      <c r="A77" s="23" t="s">
        <v>257</v>
      </c>
      <c r="B77" s="9" t="s">
        <v>90</v>
      </c>
      <c r="C77" s="23" t="s">
        <v>68</v>
      </c>
      <c r="D77" s="9"/>
      <c r="E77" s="64">
        <v>1</v>
      </c>
      <c r="F77" s="32">
        <f>SUM(E77)</f>
        <v>1</v>
      </c>
      <c r="G77" s="51">
        <v>407.79</v>
      </c>
      <c r="H77" s="65">
        <f t="shared" si="44"/>
        <v>0.40779000000000004</v>
      </c>
      <c r="I77" s="34">
        <v>0</v>
      </c>
      <c r="J77" s="34">
        <f>G77</f>
        <v>407.79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>G77</f>
        <v>407.79</v>
      </c>
      <c r="S77" s="34">
        <f>G77*2</f>
        <v>815.58</v>
      </c>
      <c r="T77" s="34">
        <v>0</v>
      </c>
      <c r="U77" s="34">
        <f t="shared" si="45"/>
        <v>1631.16</v>
      </c>
    </row>
    <row r="78" spans="1:21">
      <c r="A78" s="23"/>
      <c r="B78" s="67" t="s">
        <v>91</v>
      </c>
      <c r="C78" s="23"/>
      <c r="D78" s="9"/>
      <c r="E78" s="64"/>
      <c r="F78" s="51"/>
      <c r="G78" s="51" t="s">
        <v>45</v>
      </c>
      <c r="H78" s="65" t="s">
        <v>45</v>
      </c>
      <c r="I78" s="43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spans="1:21" s="2" customFormat="1">
      <c r="A79" s="66" t="s">
        <v>92</v>
      </c>
      <c r="B79" s="68" t="s">
        <v>93</v>
      </c>
      <c r="C79" s="66" t="s">
        <v>84</v>
      </c>
      <c r="D79" s="17"/>
      <c r="E79" s="69"/>
      <c r="F79" s="52">
        <v>0.6</v>
      </c>
      <c r="G79" s="52">
        <v>3138.65</v>
      </c>
      <c r="H79" s="65">
        <f t="shared" si="44"/>
        <v>1.8831900000000001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34">
        <f t="shared" si="45"/>
        <v>0</v>
      </c>
    </row>
    <row r="80" spans="1:21" s="2" customFormat="1">
      <c r="A80" s="192" t="s">
        <v>143</v>
      </c>
      <c r="B80" s="11" t="s">
        <v>144</v>
      </c>
      <c r="C80" s="76"/>
      <c r="D80" s="77"/>
      <c r="E80" s="146"/>
      <c r="F80" s="78">
        <v>1</v>
      </c>
      <c r="G80" s="79">
        <v>21095</v>
      </c>
      <c r="H80" s="65">
        <f>G80*F80/1000</f>
        <v>21.094999999999999</v>
      </c>
      <c r="I80" s="34">
        <v>0</v>
      </c>
      <c r="J80" s="34">
        <v>0</v>
      </c>
      <c r="K80" s="34">
        <v>0</v>
      </c>
      <c r="L80" s="34">
        <v>0</v>
      </c>
      <c r="M80" s="35">
        <v>0</v>
      </c>
      <c r="N80" s="34">
        <v>0</v>
      </c>
      <c r="O80" s="34">
        <v>0</v>
      </c>
      <c r="P80" s="34">
        <f>G80</f>
        <v>21095</v>
      </c>
      <c r="Q80" s="34">
        <v>0</v>
      </c>
      <c r="R80" s="34">
        <v>0</v>
      </c>
      <c r="S80" s="34">
        <v>0</v>
      </c>
      <c r="T80" s="34">
        <v>0</v>
      </c>
      <c r="U80" s="34">
        <f t="shared" si="45"/>
        <v>21095</v>
      </c>
    </row>
    <row r="81" spans="1:21" s="22" customFormat="1">
      <c r="A81" s="70"/>
      <c r="B81" s="21" t="s">
        <v>28</v>
      </c>
      <c r="C81" s="71"/>
      <c r="D81" s="72"/>
      <c r="E81" s="73"/>
      <c r="F81" s="74"/>
      <c r="G81" s="74"/>
      <c r="H81" s="75">
        <f>SUM(H73:H80)</f>
        <v>27.005298</v>
      </c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74">
        <f>SUM(U73:U80)</f>
        <v>22954.376</v>
      </c>
    </row>
    <row r="82" spans="1:21" s="162" customFormat="1">
      <c r="A82" s="66"/>
      <c r="B82" s="163" t="s">
        <v>151</v>
      </c>
      <c r="C82" s="157"/>
      <c r="D82" s="158"/>
      <c r="E82" s="159"/>
      <c r="F82" s="160"/>
      <c r="G82" s="160"/>
      <c r="H82" s="161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3"/>
    </row>
    <row r="83" spans="1:21" s="162" customFormat="1" ht="25.5">
      <c r="A83" s="66" t="s">
        <v>245</v>
      </c>
      <c r="B83" s="164" t="s">
        <v>152</v>
      </c>
      <c r="C83" s="66" t="s">
        <v>165</v>
      </c>
      <c r="D83" s="17" t="s">
        <v>41</v>
      </c>
      <c r="E83" s="69">
        <v>10</v>
      </c>
      <c r="F83" s="52">
        <v>10</v>
      </c>
      <c r="G83" s="52">
        <v>271.88</v>
      </c>
      <c r="H83" s="166">
        <f t="shared" ref="H83:H96" si="46">F83*G83/1000</f>
        <v>2.7188000000000003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f>SUM(I83:T83)</f>
        <v>0</v>
      </c>
    </row>
    <row r="84" spans="1:21" s="162" customFormat="1" ht="12.75" customHeight="1">
      <c r="A84" s="66" t="s">
        <v>246</v>
      </c>
      <c r="B84" s="164" t="s">
        <v>153</v>
      </c>
      <c r="C84" s="66" t="s">
        <v>166</v>
      </c>
      <c r="D84" s="17" t="s">
        <v>41</v>
      </c>
      <c r="E84" s="69">
        <v>100</v>
      </c>
      <c r="F84" s="52">
        <v>100</v>
      </c>
      <c r="G84" s="52">
        <v>111.84</v>
      </c>
      <c r="H84" s="166">
        <f t="shared" si="46"/>
        <v>11.183999999999999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f t="shared" ref="U84:U96" si="47">SUM(I84:T84)</f>
        <v>0</v>
      </c>
    </row>
    <row r="85" spans="1:21" s="162" customFormat="1" ht="12.75" customHeight="1">
      <c r="A85" s="66" t="s">
        <v>240</v>
      </c>
      <c r="B85" s="164" t="s">
        <v>154</v>
      </c>
      <c r="C85" s="66" t="s">
        <v>167</v>
      </c>
      <c r="D85" s="17" t="s">
        <v>41</v>
      </c>
      <c r="E85" s="69">
        <v>30</v>
      </c>
      <c r="F85" s="52">
        <v>10</v>
      </c>
      <c r="G85" s="52">
        <v>972.09</v>
      </c>
      <c r="H85" s="166">
        <f t="shared" si="46"/>
        <v>9.7209000000000003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f>G85*4</f>
        <v>3888.36</v>
      </c>
      <c r="R85" s="50">
        <v>0</v>
      </c>
      <c r="S85" s="50">
        <v>0</v>
      </c>
      <c r="T85" s="50">
        <v>0</v>
      </c>
      <c r="U85" s="50">
        <f t="shared" si="47"/>
        <v>3888.36</v>
      </c>
    </row>
    <row r="86" spans="1:21" s="162" customFormat="1" ht="12.75" customHeight="1">
      <c r="A86" s="66" t="s">
        <v>247</v>
      </c>
      <c r="B86" s="164" t="s">
        <v>155</v>
      </c>
      <c r="C86" s="66" t="s">
        <v>24</v>
      </c>
      <c r="D86" s="17" t="s">
        <v>41</v>
      </c>
      <c r="E86" s="69">
        <v>100</v>
      </c>
      <c r="F86" s="52">
        <v>1</v>
      </c>
      <c r="G86" s="52">
        <v>1829.52</v>
      </c>
      <c r="H86" s="166">
        <f t="shared" si="46"/>
        <v>1.82952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f t="shared" si="47"/>
        <v>0</v>
      </c>
    </row>
    <row r="87" spans="1:21" s="162" customFormat="1" ht="25.5">
      <c r="A87" s="66" t="s">
        <v>248</v>
      </c>
      <c r="B87" s="164" t="s">
        <v>156</v>
      </c>
      <c r="C87" s="66" t="s">
        <v>168</v>
      </c>
      <c r="D87" s="17" t="s">
        <v>41</v>
      </c>
      <c r="E87" s="69">
        <v>40</v>
      </c>
      <c r="F87" s="52">
        <v>4</v>
      </c>
      <c r="G87" s="52">
        <v>272.39</v>
      </c>
      <c r="H87" s="166">
        <f t="shared" si="46"/>
        <v>1.0895599999999999</v>
      </c>
      <c r="I87" s="34">
        <v>0</v>
      </c>
      <c r="J87" s="34">
        <v>0</v>
      </c>
      <c r="K87" s="34">
        <f>G87*4.5</f>
        <v>1225.7549999999999</v>
      </c>
      <c r="L87" s="34">
        <f>G87*3.55</f>
        <v>966.98449999999991</v>
      </c>
      <c r="M87" s="34">
        <f>G87*1</f>
        <v>272.39</v>
      </c>
      <c r="N87" s="34">
        <f>G87*(3/10)</f>
        <v>81.716999999999999</v>
      </c>
      <c r="O87" s="34">
        <v>0</v>
      </c>
      <c r="P87" s="34">
        <v>0</v>
      </c>
      <c r="Q87" s="34">
        <v>0</v>
      </c>
      <c r="R87" s="34">
        <f>G87*((4+4)/10)</f>
        <v>217.91200000000001</v>
      </c>
      <c r="S87" s="34">
        <f>G87*(4/10)</f>
        <v>108.956</v>
      </c>
      <c r="T87" s="34">
        <f>G87*((4+4)/10)</f>
        <v>217.91200000000001</v>
      </c>
      <c r="U87" s="50">
        <f t="shared" si="47"/>
        <v>3091.6264999999994</v>
      </c>
    </row>
    <row r="88" spans="1:21" s="162" customFormat="1" ht="38.25">
      <c r="A88" s="66" t="s">
        <v>241</v>
      </c>
      <c r="B88" s="164" t="s">
        <v>157</v>
      </c>
      <c r="C88" s="66" t="s">
        <v>166</v>
      </c>
      <c r="D88" s="17" t="s">
        <v>41</v>
      </c>
      <c r="E88" s="69">
        <v>15</v>
      </c>
      <c r="F88" s="52">
        <v>15</v>
      </c>
      <c r="G88" s="52">
        <v>1430.02</v>
      </c>
      <c r="H88" s="166">
        <f t="shared" si="46"/>
        <v>21.450299999999999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0</v>
      </c>
      <c r="T88" s="50">
        <v>0</v>
      </c>
      <c r="U88" s="50">
        <f t="shared" si="47"/>
        <v>0</v>
      </c>
    </row>
    <row r="89" spans="1:21" s="162" customFormat="1" ht="38.25">
      <c r="A89" s="66" t="s">
        <v>242</v>
      </c>
      <c r="B89" s="164" t="s">
        <v>158</v>
      </c>
      <c r="C89" s="66" t="s">
        <v>166</v>
      </c>
      <c r="D89" s="17" t="s">
        <v>41</v>
      </c>
      <c r="E89" s="69">
        <v>10</v>
      </c>
      <c r="F89" s="52">
        <v>10</v>
      </c>
      <c r="G89" s="52">
        <v>1743.04</v>
      </c>
      <c r="H89" s="166">
        <f t="shared" si="46"/>
        <v>17.430400000000002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f t="shared" si="47"/>
        <v>0</v>
      </c>
    </row>
    <row r="90" spans="1:21" s="162" customFormat="1" ht="25.5" customHeight="1">
      <c r="A90" s="66" t="s">
        <v>249</v>
      </c>
      <c r="B90" s="164" t="s">
        <v>159</v>
      </c>
      <c r="C90" s="66" t="s">
        <v>166</v>
      </c>
      <c r="D90" s="17" t="s">
        <v>41</v>
      </c>
      <c r="E90" s="69">
        <v>20</v>
      </c>
      <c r="F90" s="52">
        <v>20</v>
      </c>
      <c r="G90" s="52">
        <v>607.27</v>
      </c>
      <c r="H90" s="166">
        <f t="shared" si="46"/>
        <v>12.1454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f t="shared" si="47"/>
        <v>0</v>
      </c>
    </row>
    <row r="91" spans="1:21" s="162" customFormat="1" ht="25.5" customHeight="1">
      <c r="A91" s="66" t="s">
        <v>250</v>
      </c>
      <c r="B91" s="164" t="s">
        <v>169</v>
      </c>
      <c r="C91" s="66" t="s">
        <v>166</v>
      </c>
      <c r="D91" s="17" t="s">
        <v>41</v>
      </c>
      <c r="E91" s="69">
        <v>30</v>
      </c>
      <c r="F91" s="52">
        <v>30</v>
      </c>
      <c r="G91" s="52">
        <v>711.93</v>
      </c>
      <c r="H91" s="166">
        <f t="shared" si="46"/>
        <v>21.357899999999997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f t="shared" si="47"/>
        <v>0</v>
      </c>
    </row>
    <row r="92" spans="1:21" s="162" customFormat="1" ht="25.5">
      <c r="A92" s="66" t="s">
        <v>243</v>
      </c>
      <c r="B92" s="164" t="s">
        <v>160</v>
      </c>
      <c r="C92" s="66" t="s">
        <v>36</v>
      </c>
      <c r="D92" s="17" t="s">
        <v>41</v>
      </c>
      <c r="E92" s="69">
        <v>10</v>
      </c>
      <c r="F92" s="52">
        <v>10</v>
      </c>
      <c r="G92" s="52">
        <v>455.31</v>
      </c>
      <c r="H92" s="166">
        <f t="shared" si="46"/>
        <v>4.5531000000000006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0">
        <f t="shared" si="47"/>
        <v>0</v>
      </c>
    </row>
    <row r="93" spans="1:21" s="162" customFormat="1" ht="38.25">
      <c r="A93" s="66" t="s">
        <v>244</v>
      </c>
      <c r="B93" s="164" t="s">
        <v>161</v>
      </c>
      <c r="C93" s="66" t="s">
        <v>166</v>
      </c>
      <c r="D93" s="17" t="s">
        <v>41</v>
      </c>
      <c r="E93" s="69">
        <v>30</v>
      </c>
      <c r="F93" s="52">
        <v>30</v>
      </c>
      <c r="G93" s="52">
        <v>1155.7</v>
      </c>
      <c r="H93" s="166">
        <f t="shared" si="46"/>
        <v>34.670999999999999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0">
        <f t="shared" si="47"/>
        <v>0</v>
      </c>
    </row>
    <row r="94" spans="1:21" s="162" customFormat="1" ht="25.5">
      <c r="A94" s="23" t="s">
        <v>172</v>
      </c>
      <c r="B94" s="164" t="s">
        <v>162</v>
      </c>
      <c r="C94" s="66" t="s">
        <v>49</v>
      </c>
      <c r="D94" s="17" t="s">
        <v>53</v>
      </c>
      <c r="E94" s="69">
        <v>1040.4000000000001</v>
      </c>
      <c r="F94" s="52">
        <f>E94*2/1000</f>
        <v>2.0808</v>
      </c>
      <c r="G94" s="52">
        <v>1560.98</v>
      </c>
      <c r="H94" s="166">
        <f t="shared" si="46"/>
        <v>3.2480871840000001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f t="shared" si="47"/>
        <v>0</v>
      </c>
    </row>
    <row r="95" spans="1:21" s="162" customFormat="1" ht="50.25" customHeight="1">
      <c r="A95" s="23" t="s">
        <v>174</v>
      </c>
      <c r="B95" s="164" t="s">
        <v>163</v>
      </c>
      <c r="C95" s="165" t="s">
        <v>170</v>
      </c>
      <c r="D95" s="17" t="s">
        <v>41</v>
      </c>
      <c r="E95" s="69">
        <v>100</v>
      </c>
      <c r="F95" s="52">
        <v>1</v>
      </c>
      <c r="G95" s="52">
        <v>12859.93</v>
      </c>
      <c r="H95" s="166">
        <f t="shared" si="46"/>
        <v>12.85993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f t="shared" si="47"/>
        <v>0</v>
      </c>
    </row>
    <row r="96" spans="1:21" s="162" customFormat="1" ht="25.5">
      <c r="A96" s="66" t="s">
        <v>173</v>
      </c>
      <c r="B96" s="164" t="s">
        <v>164</v>
      </c>
      <c r="C96" s="66" t="s">
        <v>49</v>
      </c>
      <c r="D96" s="17" t="s">
        <v>53</v>
      </c>
      <c r="E96" s="69">
        <v>1040.4000000000001</v>
      </c>
      <c r="F96" s="52">
        <v>2.08</v>
      </c>
      <c r="G96" s="52">
        <v>1453.29</v>
      </c>
      <c r="H96" s="166">
        <f t="shared" si="46"/>
        <v>3.0228432000000001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f t="shared" si="47"/>
        <v>0</v>
      </c>
    </row>
    <row r="97" spans="1:21" s="22" customFormat="1">
      <c r="A97" s="70"/>
      <c r="B97" s="21" t="s">
        <v>28</v>
      </c>
      <c r="C97" s="71"/>
      <c r="D97" s="72"/>
      <c r="E97" s="73"/>
      <c r="F97" s="74"/>
      <c r="G97" s="74"/>
      <c r="H97" s="75">
        <f>SUM(H83:H96)</f>
        <v>157.28174038400002</v>
      </c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74">
        <f>SUM(U83:U96)</f>
        <v>6979.9864999999991</v>
      </c>
    </row>
    <row r="98" spans="1:21" ht="12.75" customHeight="1">
      <c r="A98" s="100"/>
      <c r="B98" s="163" t="s">
        <v>94</v>
      </c>
      <c r="C98" s="23" t="s">
        <v>95</v>
      </c>
      <c r="D98" s="80"/>
      <c r="E98" s="51">
        <v>3455.3</v>
      </c>
      <c r="F98" s="51">
        <v>41463.599999999999</v>
      </c>
      <c r="G98" s="81">
        <v>2.7</v>
      </c>
      <c r="H98" s="65">
        <f>SUM(F98*G98/1000)</f>
        <v>111.95171999999999</v>
      </c>
      <c r="I98" s="34">
        <f>F98/12*G98</f>
        <v>9329.31</v>
      </c>
      <c r="J98" s="34">
        <f>F98/12*G98</f>
        <v>9329.31</v>
      </c>
      <c r="K98" s="34">
        <f>F98/12*G98</f>
        <v>9329.31</v>
      </c>
      <c r="L98" s="34">
        <f>F98/12*G98</f>
        <v>9329.31</v>
      </c>
      <c r="M98" s="34">
        <f>F98/12*G98</f>
        <v>9329.31</v>
      </c>
      <c r="N98" s="34">
        <f>F98/12*G98</f>
        <v>9329.31</v>
      </c>
      <c r="O98" s="34">
        <f>F98/12*G98</f>
        <v>9329.31</v>
      </c>
      <c r="P98" s="34">
        <f>F98/12*G98</f>
        <v>9329.31</v>
      </c>
      <c r="Q98" s="34">
        <f>F98/12*G98</f>
        <v>9329.31</v>
      </c>
      <c r="R98" s="34">
        <f>F98/12*G98</f>
        <v>9329.31</v>
      </c>
      <c r="S98" s="34">
        <f>F98/12*G98</f>
        <v>9329.31</v>
      </c>
      <c r="T98" s="34">
        <f>F98/12*G98</f>
        <v>9329.31</v>
      </c>
      <c r="U98" s="34">
        <f>SUM(I98:T98)</f>
        <v>111951.71999999999</v>
      </c>
    </row>
    <row r="99" spans="1:21" s="20" customFormat="1">
      <c r="A99" s="82"/>
      <c r="B99" s="21" t="s">
        <v>28</v>
      </c>
      <c r="C99" s="83"/>
      <c r="D99" s="84"/>
      <c r="E99" s="85"/>
      <c r="F99" s="86"/>
      <c r="G99" s="87"/>
      <c r="H99" s="42">
        <f>SUM(H98:H98)</f>
        <v>111.95171999999999</v>
      </c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86">
        <f>SUM(U98:U98)</f>
        <v>111951.71999999999</v>
      </c>
    </row>
    <row r="100" spans="1:21" ht="25.5" customHeight="1">
      <c r="A100" s="24"/>
      <c r="B100" s="9" t="s">
        <v>96</v>
      </c>
      <c r="C100" s="23"/>
      <c r="D100" s="88"/>
      <c r="E100" s="31">
        <f>E98</f>
        <v>3455.3</v>
      </c>
      <c r="F100" s="51">
        <f>E100*12</f>
        <v>41463.600000000006</v>
      </c>
      <c r="G100" s="51">
        <v>3.05</v>
      </c>
      <c r="H100" s="65">
        <f>F100*G100/1000</f>
        <v>126.46398000000001</v>
      </c>
      <c r="I100" s="34">
        <f>F100/12*G100</f>
        <v>10538.665000000001</v>
      </c>
      <c r="J100" s="34">
        <f>F100/12*G100</f>
        <v>10538.665000000001</v>
      </c>
      <c r="K100" s="34">
        <f>F100/12*G100</f>
        <v>10538.665000000001</v>
      </c>
      <c r="L100" s="34">
        <f>F100/12*G100</f>
        <v>10538.665000000001</v>
      </c>
      <c r="M100" s="34">
        <f>F100/12*G100</f>
        <v>10538.665000000001</v>
      </c>
      <c r="N100" s="34">
        <f>F100/12*G100</f>
        <v>10538.665000000001</v>
      </c>
      <c r="O100" s="34">
        <f>F100/12*G100</f>
        <v>10538.665000000001</v>
      </c>
      <c r="P100" s="34">
        <f>F100/12*G100</f>
        <v>10538.665000000001</v>
      </c>
      <c r="Q100" s="34">
        <f>F100/12*G100</f>
        <v>10538.665000000001</v>
      </c>
      <c r="R100" s="34">
        <f>F100/12*G100</f>
        <v>10538.665000000001</v>
      </c>
      <c r="S100" s="34">
        <f>F100/12*G100</f>
        <v>10538.665000000001</v>
      </c>
      <c r="T100" s="34">
        <f t="shared" ref="T100" si="48">F100/12*G100</f>
        <v>10538.665000000001</v>
      </c>
      <c r="U100" s="34">
        <f>SUM(I100:T100)</f>
        <v>126463.98000000004</v>
      </c>
    </row>
    <row r="101" spans="1:21" s="20" customFormat="1">
      <c r="A101" s="82"/>
      <c r="B101" s="89" t="s">
        <v>97</v>
      </c>
      <c r="C101" s="90"/>
      <c r="D101" s="89"/>
      <c r="E101" s="86"/>
      <c r="F101" s="86"/>
      <c r="G101" s="86"/>
      <c r="H101" s="75">
        <f>SUM(H100)</f>
        <v>126.46398000000001</v>
      </c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147">
        <f>SUM(U100)</f>
        <v>126463.98000000004</v>
      </c>
    </row>
    <row r="102" spans="1:21" s="20" customFormat="1">
      <c r="A102" s="82"/>
      <c r="B102" s="89" t="s">
        <v>98</v>
      </c>
      <c r="C102" s="91"/>
      <c r="D102" s="92"/>
      <c r="E102" s="93"/>
      <c r="F102" s="93"/>
      <c r="G102" s="93"/>
      <c r="H102" s="75">
        <f>SUM(H101+H99+H81+H55+H42+H33)</f>
        <v>621.02332236466668</v>
      </c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147">
        <f>SUM(U22+U33+U42+U55+U71+U81+U97+U99+U101)</f>
        <v>840918.52192866663</v>
      </c>
    </row>
    <row r="103" spans="1:21">
      <c r="A103" s="24"/>
      <c r="B103" s="88" t="s">
        <v>99</v>
      </c>
      <c r="C103" s="23"/>
      <c r="D103" s="88"/>
      <c r="E103" s="51"/>
      <c r="F103" s="51"/>
      <c r="G103" s="51" t="s">
        <v>100</v>
      </c>
      <c r="H103" s="95">
        <f>E100</f>
        <v>3455.3</v>
      </c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34"/>
    </row>
    <row r="104" spans="1:21" s="20" customFormat="1">
      <c r="A104" s="82"/>
      <c r="B104" s="92" t="s">
        <v>101</v>
      </c>
      <c r="C104" s="91"/>
      <c r="D104" s="92"/>
      <c r="E104" s="93"/>
      <c r="F104" s="93"/>
      <c r="G104" s="93"/>
      <c r="H104" s="96">
        <f>SUM(H102/H103/12*1000)</f>
        <v>14.977554345610768</v>
      </c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148"/>
    </row>
    <row r="105" spans="1:21">
      <c r="A105" s="24"/>
      <c r="B105" s="88"/>
      <c r="C105" s="23"/>
      <c r="D105" s="88"/>
      <c r="E105" s="51"/>
      <c r="F105" s="51"/>
      <c r="G105" s="51"/>
      <c r="H105" s="97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149"/>
    </row>
    <row r="106" spans="1:21">
      <c r="A106" s="24"/>
      <c r="B106" s="67" t="s">
        <v>102</v>
      </c>
      <c r="C106" s="23"/>
      <c r="D106" s="88"/>
      <c r="E106" s="51"/>
      <c r="F106" s="51"/>
      <c r="G106" s="51"/>
      <c r="H106" s="51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34"/>
    </row>
    <row r="107" spans="1:21" ht="25.5">
      <c r="A107" s="154" t="s">
        <v>140</v>
      </c>
      <c r="B107" s="168" t="s">
        <v>175</v>
      </c>
      <c r="C107" s="169" t="s">
        <v>176</v>
      </c>
      <c r="D107" s="88"/>
      <c r="E107" s="51"/>
      <c r="F107" s="51">
        <v>1</v>
      </c>
      <c r="G107" s="51">
        <v>383.01</v>
      </c>
      <c r="H107" s="65">
        <f>G107*F107/1000</f>
        <v>0.38301000000000002</v>
      </c>
      <c r="I107" s="34">
        <f>G107</f>
        <v>383.01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f>SUM(I107:T107)</f>
        <v>383.01</v>
      </c>
    </row>
    <row r="108" spans="1:21" ht="26.25" customHeight="1">
      <c r="A108" s="151" t="s">
        <v>251</v>
      </c>
      <c r="B108" s="152" t="s">
        <v>149</v>
      </c>
      <c r="C108" s="153" t="s">
        <v>68</v>
      </c>
      <c r="D108" s="88"/>
      <c r="E108" s="51"/>
      <c r="F108" s="51">
        <v>5</v>
      </c>
      <c r="G108" s="51">
        <v>79.09</v>
      </c>
      <c r="H108" s="65">
        <f>G108*F108/1000</f>
        <v>0.39545000000000002</v>
      </c>
      <c r="I108" s="34">
        <f>G108</f>
        <v>79.09</v>
      </c>
      <c r="J108" s="34">
        <v>0</v>
      </c>
      <c r="K108" s="34">
        <f>G108</f>
        <v>79.09</v>
      </c>
      <c r="L108" s="34">
        <v>0</v>
      </c>
      <c r="M108" s="34">
        <f>G108</f>
        <v>79.09</v>
      </c>
      <c r="N108" s="34">
        <v>0</v>
      </c>
      <c r="O108" s="34">
        <f>G108</f>
        <v>79.09</v>
      </c>
      <c r="P108" s="34">
        <v>0</v>
      </c>
      <c r="Q108" s="34">
        <v>0</v>
      </c>
      <c r="R108" s="34">
        <f>G108</f>
        <v>79.09</v>
      </c>
      <c r="S108" s="34">
        <v>0</v>
      </c>
      <c r="T108" s="34">
        <v>0</v>
      </c>
      <c r="U108" s="34">
        <f t="shared" ref="U108:U124" si="49">SUM(I108:T108)</f>
        <v>395.45000000000005</v>
      </c>
    </row>
    <row r="109" spans="1:21">
      <c r="A109" s="24" t="s">
        <v>140</v>
      </c>
      <c r="B109" s="88" t="s">
        <v>141</v>
      </c>
      <c r="C109" s="23" t="s">
        <v>142</v>
      </c>
      <c r="D109" s="170"/>
      <c r="E109" s="51"/>
      <c r="F109" s="51">
        <v>8</v>
      </c>
      <c r="G109" s="51">
        <v>1501</v>
      </c>
      <c r="H109" s="65">
        <f>G109*F109/1000</f>
        <v>12.007999999999999</v>
      </c>
      <c r="I109" s="34">
        <v>0</v>
      </c>
      <c r="J109" s="34">
        <f>G109*3</f>
        <v>4503</v>
      </c>
      <c r="K109" s="34">
        <f>G109*0.5</f>
        <v>750.5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>G109*(0.5+2)</f>
        <v>3752.5</v>
      </c>
      <c r="S109" s="34">
        <f>G109*0.5</f>
        <v>750.5</v>
      </c>
      <c r="T109" s="34">
        <f>G109*1.5</f>
        <v>2251.5</v>
      </c>
      <c r="U109" s="34">
        <f t="shared" si="49"/>
        <v>12008</v>
      </c>
    </row>
    <row r="110" spans="1:21">
      <c r="A110" s="154" t="s">
        <v>252</v>
      </c>
      <c r="B110" s="171" t="s">
        <v>177</v>
      </c>
      <c r="C110" s="153" t="s">
        <v>68</v>
      </c>
      <c r="D110" s="170"/>
      <c r="E110" s="51"/>
      <c r="F110" s="51">
        <v>3</v>
      </c>
      <c r="G110" s="51">
        <v>179.96</v>
      </c>
      <c r="H110" s="65">
        <f>G110*F110/1000</f>
        <v>0.53988000000000003</v>
      </c>
      <c r="I110" s="34">
        <v>0</v>
      </c>
      <c r="J110" s="34">
        <f>G110*2</f>
        <v>359.92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f>G110</f>
        <v>179.96</v>
      </c>
      <c r="R110" s="34">
        <v>0</v>
      </c>
      <c r="S110" s="34">
        <v>0</v>
      </c>
      <c r="T110" s="34">
        <v>0</v>
      </c>
      <c r="U110" s="34">
        <f t="shared" si="49"/>
        <v>539.88</v>
      </c>
    </row>
    <row r="111" spans="1:21">
      <c r="A111" s="154" t="s">
        <v>253</v>
      </c>
      <c r="B111" s="168" t="s">
        <v>178</v>
      </c>
      <c r="C111" s="169" t="s">
        <v>20</v>
      </c>
      <c r="D111" s="170"/>
      <c r="E111" s="51"/>
      <c r="F111" s="51">
        <f>0.96/10</f>
        <v>9.6000000000000002E-2</v>
      </c>
      <c r="G111" s="51">
        <v>3113.97</v>
      </c>
      <c r="H111" s="65">
        <f t="shared" ref="H111:H112" si="50">G111*F111/1000</f>
        <v>0.29894112</v>
      </c>
      <c r="I111" s="34">
        <v>0</v>
      </c>
      <c r="J111" s="34">
        <f>G111*F111</f>
        <v>298.94112000000001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4">
        <v>0</v>
      </c>
      <c r="U111" s="34">
        <f t="shared" si="49"/>
        <v>298.94112000000001</v>
      </c>
    </row>
    <row r="112" spans="1:21" ht="25.5" customHeight="1">
      <c r="A112" s="174" t="s">
        <v>226</v>
      </c>
      <c r="B112" s="175" t="s">
        <v>180</v>
      </c>
      <c r="C112" s="174" t="s">
        <v>63</v>
      </c>
      <c r="D112" s="88"/>
      <c r="E112" s="51"/>
      <c r="F112" s="51">
        <f>3/100</f>
        <v>0.03</v>
      </c>
      <c r="G112" s="51">
        <v>3397.65</v>
      </c>
      <c r="H112" s="65">
        <f t="shared" si="50"/>
        <v>0.10192950000000001</v>
      </c>
      <c r="I112" s="34">
        <v>0</v>
      </c>
      <c r="J112" s="34">
        <v>0</v>
      </c>
      <c r="K112" s="34">
        <f>G112*0.01</f>
        <v>33.976500000000001</v>
      </c>
      <c r="L112" s="34">
        <v>0</v>
      </c>
      <c r="M112" s="34">
        <f>G112*0.01</f>
        <v>33.976500000000001</v>
      </c>
      <c r="N112" s="34">
        <v>0</v>
      </c>
      <c r="O112" s="34">
        <f>G112*0.01</f>
        <v>33.976500000000001</v>
      </c>
      <c r="P112" s="34">
        <v>0</v>
      </c>
      <c r="Q112" s="34">
        <v>0</v>
      </c>
      <c r="R112" s="34">
        <v>0</v>
      </c>
      <c r="S112" s="34">
        <v>0</v>
      </c>
      <c r="T112" s="34">
        <v>0</v>
      </c>
      <c r="U112" s="34">
        <f t="shared" si="49"/>
        <v>101.9295</v>
      </c>
    </row>
    <row r="113" spans="1:21" ht="25.5">
      <c r="A113" s="174" t="s">
        <v>185</v>
      </c>
      <c r="B113" s="175" t="s">
        <v>258</v>
      </c>
      <c r="C113" s="181" t="s">
        <v>166</v>
      </c>
      <c r="D113" s="88"/>
      <c r="E113" s="51"/>
      <c r="F113" s="51">
        <v>5</v>
      </c>
      <c r="G113" s="51">
        <v>1187</v>
      </c>
      <c r="H113" s="65">
        <f t="shared" ref="H113:H120" si="51">G113*F113/1000</f>
        <v>5.9349999999999996</v>
      </c>
      <c r="I113" s="34">
        <v>0</v>
      </c>
      <c r="J113" s="34">
        <v>0</v>
      </c>
      <c r="K113" s="34">
        <v>0</v>
      </c>
      <c r="L113" s="34">
        <f>G113*(3+2)</f>
        <v>5935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f t="shared" si="49"/>
        <v>5935</v>
      </c>
    </row>
    <row r="114" spans="1:21">
      <c r="A114" s="153" t="s">
        <v>254</v>
      </c>
      <c r="B114" s="152" t="s">
        <v>196</v>
      </c>
      <c r="C114" s="153" t="s">
        <v>195</v>
      </c>
      <c r="D114" s="88"/>
      <c r="E114" s="51"/>
      <c r="F114" s="51">
        <f>4/100</f>
        <v>0.04</v>
      </c>
      <c r="G114" s="51">
        <v>7033.13</v>
      </c>
      <c r="H114" s="65">
        <f t="shared" si="51"/>
        <v>0.2813252</v>
      </c>
      <c r="I114" s="34">
        <v>0</v>
      </c>
      <c r="J114" s="34">
        <v>0</v>
      </c>
      <c r="K114" s="34">
        <v>0</v>
      </c>
      <c r="L114" s="34">
        <v>0</v>
      </c>
      <c r="M114" s="34">
        <f>G114*0.04</f>
        <v>281.3252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4">
        <v>0</v>
      </c>
      <c r="U114" s="34">
        <f t="shared" si="49"/>
        <v>281.3252</v>
      </c>
    </row>
    <row r="115" spans="1:21">
      <c r="A115" s="153" t="s">
        <v>185</v>
      </c>
      <c r="B115" s="152" t="s">
        <v>197</v>
      </c>
      <c r="C115" s="153" t="s">
        <v>198</v>
      </c>
      <c r="D115" s="88"/>
      <c r="E115" s="51"/>
      <c r="F115" s="51">
        <v>1</v>
      </c>
      <c r="G115" s="51">
        <v>3046</v>
      </c>
      <c r="H115" s="65">
        <f t="shared" si="51"/>
        <v>3.0459999999999998</v>
      </c>
      <c r="I115" s="34">
        <v>0</v>
      </c>
      <c r="J115" s="34">
        <v>0</v>
      </c>
      <c r="K115" s="34">
        <v>0</v>
      </c>
      <c r="L115" s="34">
        <v>0</v>
      </c>
      <c r="M115" s="34">
        <f>G115</f>
        <v>3046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f t="shared" si="49"/>
        <v>3046</v>
      </c>
    </row>
    <row r="116" spans="1:21" ht="38.25">
      <c r="A116" s="174" t="s">
        <v>261</v>
      </c>
      <c r="B116" s="175" t="s">
        <v>259</v>
      </c>
      <c r="C116" s="174" t="s">
        <v>260</v>
      </c>
      <c r="D116" s="170"/>
      <c r="E116" s="177"/>
      <c r="F116" s="177">
        <v>1</v>
      </c>
      <c r="G116" s="177">
        <v>51.39</v>
      </c>
      <c r="H116" s="65">
        <f>G116*F116/1000</f>
        <v>5.1389999999999998E-2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f>G116</f>
        <v>51.39</v>
      </c>
      <c r="Q116" s="34">
        <v>0</v>
      </c>
      <c r="R116" s="34">
        <v>0</v>
      </c>
      <c r="S116" s="34">
        <v>0</v>
      </c>
      <c r="T116" s="34">
        <v>0</v>
      </c>
      <c r="U116" s="34">
        <f t="shared" si="49"/>
        <v>51.39</v>
      </c>
    </row>
    <row r="117" spans="1:21" ht="25.5">
      <c r="A117" s="174" t="s">
        <v>255</v>
      </c>
      <c r="B117" s="175" t="s">
        <v>256</v>
      </c>
      <c r="C117" s="174" t="s">
        <v>68</v>
      </c>
      <c r="D117" s="170"/>
      <c r="E117" s="177"/>
      <c r="F117" s="177">
        <v>6</v>
      </c>
      <c r="G117" s="177">
        <v>180.15</v>
      </c>
      <c r="H117" s="65">
        <f t="shared" si="51"/>
        <v>1.0809000000000002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f>G117</f>
        <v>180.15</v>
      </c>
      <c r="Q117" s="34">
        <v>0</v>
      </c>
      <c r="R117" s="34">
        <f>G117*2</f>
        <v>360.3</v>
      </c>
      <c r="S117" s="34">
        <f>G117*3</f>
        <v>540.45000000000005</v>
      </c>
      <c r="T117" s="34">
        <v>0</v>
      </c>
      <c r="U117" s="34">
        <f t="shared" si="49"/>
        <v>1080.9000000000001</v>
      </c>
    </row>
    <row r="118" spans="1:21" ht="25.5" customHeight="1">
      <c r="A118" s="153" t="s">
        <v>262</v>
      </c>
      <c r="B118" s="152" t="s">
        <v>263</v>
      </c>
      <c r="C118" s="153" t="s">
        <v>166</v>
      </c>
      <c r="D118" s="88"/>
      <c r="E118" s="51"/>
      <c r="F118" s="51">
        <v>4</v>
      </c>
      <c r="G118" s="51">
        <v>771.29</v>
      </c>
      <c r="H118" s="65">
        <f t="shared" si="51"/>
        <v>3.0851599999999997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f>G118*4</f>
        <v>3085.16</v>
      </c>
      <c r="R118" s="34">
        <v>0</v>
      </c>
      <c r="S118" s="34">
        <v>0</v>
      </c>
      <c r="T118" s="34">
        <v>0</v>
      </c>
      <c r="U118" s="34">
        <f t="shared" si="49"/>
        <v>3085.16</v>
      </c>
    </row>
    <row r="119" spans="1:21">
      <c r="A119" s="153" t="s">
        <v>264</v>
      </c>
      <c r="B119" s="152" t="s">
        <v>265</v>
      </c>
      <c r="C119" s="153" t="s">
        <v>68</v>
      </c>
      <c r="D119" s="88"/>
      <c r="E119" s="51"/>
      <c r="F119" s="51">
        <v>1</v>
      </c>
      <c r="G119" s="51">
        <v>48.69</v>
      </c>
      <c r="H119" s="65">
        <f t="shared" si="51"/>
        <v>4.8689999999999997E-2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f>G119</f>
        <v>48.69</v>
      </c>
      <c r="R119" s="34">
        <v>0</v>
      </c>
      <c r="S119" s="34">
        <v>0</v>
      </c>
      <c r="T119" s="34">
        <v>0</v>
      </c>
      <c r="U119" s="34">
        <f t="shared" si="49"/>
        <v>48.69</v>
      </c>
    </row>
    <row r="120" spans="1:21" ht="25.5">
      <c r="A120" s="153" t="s">
        <v>266</v>
      </c>
      <c r="B120" s="152" t="s">
        <v>267</v>
      </c>
      <c r="C120" s="153" t="s">
        <v>268</v>
      </c>
      <c r="D120" s="9"/>
      <c r="E120" s="64"/>
      <c r="F120" s="51">
        <v>2</v>
      </c>
      <c r="G120" s="52">
        <v>195.95</v>
      </c>
      <c r="H120" s="65">
        <f t="shared" si="51"/>
        <v>0.39189999999999997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f>G120*2</f>
        <v>391.9</v>
      </c>
      <c r="R120" s="34">
        <v>0</v>
      </c>
      <c r="S120" s="34">
        <v>0</v>
      </c>
      <c r="T120" s="34">
        <v>0</v>
      </c>
      <c r="U120" s="34">
        <f t="shared" si="49"/>
        <v>391.9</v>
      </c>
    </row>
    <row r="121" spans="1:21" ht="25.5">
      <c r="A121" s="174" t="s">
        <v>185</v>
      </c>
      <c r="B121" s="175" t="s">
        <v>269</v>
      </c>
      <c r="C121" s="181" t="s">
        <v>166</v>
      </c>
      <c r="D121" s="88"/>
      <c r="E121" s="51"/>
      <c r="F121" s="51">
        <v>8</v>
      </c>
      <c r="G121" s="51">
        <v>1272</v>
      </c>
      <c r="H121" s="65">
        <f t="shared" ref="H121:H124" si="52">G121*F121/1000</f>
        <v>10.176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f>G121*8</f>
        <v>10176</v>
      </c>
      <c r="S121" s="34">
        <v>0</v>
      </c>
      <c r="T121" s="34">
        <v>0</v>
      </c>
      <c r="U121" s="34">
        <f t="shared" si="49"/>
        <v>10176</v>
      </c>
    </row>
    <row r="122" spans="1:21" ht="25.5">
      <c r="A122" s="174" t="s">
        <v>227</v>
      </c>
      <c r="B122" s="175" t="s">
        <v>270</v>
      </c>
      <c r="C122" s="174" t="s">
        <v>195</v>
      </c>
      <c r="D122" s="88"/>
      <c r="E122" s="51"/>
      <c r="F122" s="51">
        <f>1/100</f>
        <v>0.01</v>
      </c>
      <c r="G122" s="51">
        <v>7033.13</v>
      </c>
      <c r="H122" s="65">
        <f t="shared" si="52"/>
        <v>7.0331299999999999E-2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f>G122*0.01</f>
        <v>70.331299999999999</v>
      </c>
      <c r="S122" s="34">
        <v>0</v>
      </c>
      <c r="T122" s="34">
        <v>0</v>
      </c>
      <c r="U122" s="34">
        <f t="shared" si="49"/>
        <v>70.331299999999999</v>
      </c>
    </row>
    <row r="123" spans="1:21">
      <c r="A123" s="187" t="s">
        <v>271</v>
      </c>
      <c r="B123" s="11" t="s">
        <v>272</v>
      </c>
      <c r="C123" s="26" t="s">
        <v>68</v>
      </c>
      <c r="D123" s="88"/>
      <c r="E123" s="51"/>
      <c r="F123" s="51">
        <v>1</v>
      </c>
      <c r="G123" s="51">
        <v>81.73</v>
      </c>
      <c r="H123" s="65">
        <f t="shared" si="52"/>
        <v>8.1729999999999997E-2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f>G123</f>
        <v>81.73</v>
      </c>
      <c r="S123" s="34">
        <v>0</v>
      </c>
      <c r="T123" s="34">
        <v>0</v>
      </c>
      <c r="U123" s="34">
        <f t="shared" si="49"/>
        <v>81.73</v>
      </c>
    </row>
    <row r="124" spans="1:21" ht="25.5">
      <c r="A124" s="154" t="s">
        <v>273</v>
      </c>
      <c r="B124" s="152" t="s">
        <v>274</v>
      </c>
      <c r="C124" s="151" t="s">
        <v>68</v>
      </c>
      <c r="D124" s="88"/>
      <c r="E124" s="51"/>
      <c r="F124" s="51">
        <v>1</v>
      </c>
      <c r="G124" s="51">
        <v>244.79</v>
      </c>
      <c r="H124" s="65">
        <f t="shared" si="52"/>
        <v>0.24478999999999998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f>G124</f>
        <v>244.79</v>
      </c>
      <c r="T124" s="34">
        <v>0</v>
      </c>
      <c r="U124" s="34">
        <f t="shared" si="49"/>
        <v>244.79</v>
      </c>
    </row>
    <row r="125" spans="1:21" s="20" customFormat="1">
      <c r="A125" s="98"/>
      <c r="B125" s="99" t="s">
        <v>103</v>
      </c>
      <c r="C125" s="98"/>
      <c r="D125" s="98"/>
      <c r="E125" s="94"/>
      <c r="F125" s="94"/>
      <c r="G125" s="94"/>
      <c r="H125" s="42">
        <f>SUM(H107:H124)</f>
        <v>38.220427120000004</v>
      </c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86">
        <f>SUM(U107:U124)</f>
        <v>38220.42712</v>
      </c>
    </row>
    <row r="126" spans="1:21">
      <c r="A126" s="100"/>
      <c r="B126" s="101"/>
      <c r="C126" s="100"/>
      <c r="D126" s="100"/>
      <c r="E126" s="102"/>
      <c r="F126" s="102"/>
      <c r="G126" s="102"/>
      <c r="H126" s="10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150"/>
    </row>
    <row r="127" spans="1:21" ht="12" customHeight="1">
      <c r="A127" s="24"/>
      <c r="B127" s="19" t="s">
        <v>104</v>
      </c>
      <c r="C127" s="23"/>
      <c r="D127" s="88"/>
      <c r="E127" s="51"/>
      <c r="F127" s="51"/>
      <c r="G127" s="51"/>
      <c r="H127" s="104">
        <f>H125/E128/12*1000</f>
        <v>0.92162261446608218</v>
      </c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150"/>
    </row>
    <row r="128" spans="1:21" s="20" customFormat="1">
      <c r="A128" s="105"/>
      <c r="B128" s="106" t="s">
        <v>105</v>
      </c>
      <c r="C128" s="107"/>
      <c r="D128" s="106"/>
      <c r="E128" s="193">
        <v>3455.9</v>
      </c>
      <c r="F128" s="108">
        <f>SUM(E128*12)</f>
        <v>41470.800000000003</v>
      </c>
      <c r="G128" s="109">
        <f>H104+H127</f>
        <v>15.899176960076851</v>
      </c>
      <c r="H128" s="110">
        <f>SUM(F128*G128/1000)</f>
        <v>659.35158787595515</v>
      </c>
      <c r="I128" s="93">
        <f t="shared" ref="I128:Q128" si="53">SUM(I11:I127)</f>
        <v>78405.483749333318</v>
      </c>
      <c r="J128" s="93">
        <f t="shared" si="53"/>
        <v>64892.154869333332</v>
      </c>
      <c r="K128" s="93">
        <f t="shared" si="53"/>
        <v>59784.389953333317</v>
      </c>
      <c r="L128" s="93">
        <f t="shared" si="53"/>
        <v>81953.132953333319</v>
      </c>
      <c r="M128" s="93">
        <f t="shared" si="53"/>
        <v>146841.76037311112</v>
      </c>
      <c r="N128" s="93">
        <f t="shared" si="53"/>
        <v>50109.269291111115</v>
      </c>
      <c r="O128" s="93">
        <f t="shared" si="53"/>
        <v>50140.618791111112</v>
      </c>
      <c r="P128" s="93">
        <f t="shared" si="53"/>
        <v>88938.388291111114</v>
      </c>
      <c r="Q128" s="93">
        <f t="shared" si="53"/>
        <v>65966.450259111109</v>
      </c>
      <c r="R128" s="93">
        <f>SUM(R11:R127)</f>
        <v>68895.240315111121</v>
      </c>
      <c r="S128" s="93">
        <f>SUM(S11:S127)</f>
        <v>60914.224453333321</v>
      </c>
      <c r="T128" s="93">
        <f>SUM(T11:T127)</f>
        <v>62297.835749333324</v>
      </c>
      <c r="U128" s="86">
        <f>U102+U125</f>
        <v>879138.94904866663</v>
      </c>
    </row>
    <row r="129" spans="1:21" hidden="1">
      <c r="A129" s="111"/>
      <c r="B129" s="112"/>
      <c r="C129" s="112"/>
      <c r="D129" s="112"/>
      <c r="E129" s="113"/>
      <c r="F129" s="114"/>
      <c r="G129" s="115"/>
      <c r="H129" s="115"/>
      <c r="I129" s="116"/>
      <c r="J129" s="116"/>
      <c r="K129" s="116"/>
      <c r="L129" s="116"/>
      <c r="M129" s="116"/>
      <c r="N129" s="117"/>
      <c r="O129" s="117"/>
      <c r="P129" s="117"/>
      <c r="Q129" s="117"/>
      <c r="R129" s="117"/>
      <c r="S129" s="117"/>
      <c r="T129" s="117"/>
      <c r="U129" s="117"/>
    </row>
    <row r="130" spans="1:21" hidden="1">
      <c r="A130" s="118"/>
      <c r="B130" s="119"/>
      <c r="C130" s="120"/>
      <c r="D130" s="121"/>
      <c r="E130" s="122"/>
      <c r="F130" s="123"/>
      <c r="G130" s="123"/>
      <c r="H130" s="124"/>
      <c r="I130" s="116"/>
      <c r="J130" s="116"/>
      <c r="K130" s="116"/>
      <c r="L130" s="116"/>
      <c r="M130" s="116"/>
      <c r="N130" s="117"/>
      <c r="O130" s="117"/>
      <c r="P130" s="117"/>
      <c r="Q130" s="117"/>
      <c r="R130" s="117"/>
      <c r="S130" s="117"/>
      <c r="T130" s="117"/>
      <c r="U130" s="117"/>
    </row>
    <row r="131" spans="1:21" hidden="1">
      <c r="A131" s="118"/>
      <c r="B131" s="125" t="s">
        <v>106</v>
      </c>
      <c r="C131" s="125" t="s">
        <v>68</v>
      </c>
      <c r="D131" s="125" t="s">
        <v>107</v>
      </c>
      <c r="E131" s="126">
        <v>64</v>
      </c>
      <c r="F131" s="126">
        <v>64</v>
      </c>
      <c r="G131" s="127">
        <v>11.41</v>
      </c>
      <c r="H131" s="127">
        <f>G131*12*F131/1000</f>
        <v>8.7628800000000009</v>
      </c>
      <c r="I131" s="116"/>
      <c r="J131" s="116"/>
      <c r="K131" s="116"/>
      <c r="L131" s="116"/>
      <c r="M131" s="116"/>
      <c r="N131" s="117"/>
      <c r="O131" s="117"/>
      <c r="P131" s="117"/>
      <c r="Q131" s="117"/>
      <c r="R131" s="117"/>
      <c r="S131" s="117"/>
      <c r="T131" s="117"/>
      <c r="U131" s="117"/>
    </row>
    <row r="132" spans="1:21" hidden="1">
      <c r="A132" s="118"/>
      <c r="B132" s="125" t="s">
        <v>106</v>
      </c>
      <c r="C132" s="125" t="s">
        <v>68</v>
      </c>
      <c r="D132" s="125" t="s">
        <v>108</v>
      </c>
      <c r="E132" s="126">
        <v>64</v>
      </c>
      <c r="F132" s="126">
        <v>64</v>
      </c>
      <c r="G132" s="127">
        <v>18.98</v>
      </c>
      <c r="H132" s="127">
        <f>G132*12*F132/1000</f>
        <v>14.576639999999999</v>
      </c>
      <c r="I132" s="116"/>
      <c r="J132" s="116"/>
      <c r="K132" s="116"/>
      <c r="L132" s="116"/>
      <c r="M132" s="116"/>
      <c r="N132" s="117"/>
      <c r="O132" s="117"/>
      <c r="P132" s="117"/>
      <c r="Q132" s="117"/>
      <c r="R132" s="117"/>
      <c r="S132" s="117"/>
      <c r="T132" s="117"/>
      <c r="U132" s="117"/>
    </row>
    <row r="133" spans="1:21" hidden="1">
      <c r="A133" s="118"/>
      <c r="B133" s="128"/>
      <c r="C133" s="129"/>
      <c r="D133" s="130"/>
      <c r="E133" s="131"/>
      <c r="F133" s="132"/>
      <c r="G133" s="133"/>
      <c r="H133" s="134"/>
      <c r="I133" s="116"/>
      <c r="J133" s="116"/>
      <c r="K133" s="116"/>
      <c r="L133" s="116"/>
      <c r="M133" s="116"/>
      <c r="N133" s="117"/>
      <c r="O133" s="117"/>
      <c r="P133" s="117"/>
      <c r="Q133" s="117"/>
      <c r="R133" s="117"/>
      <c r="S133" s="117"/>
      <c r="T133" s="117"/>
      <c r="U133" s="117"/>
    </row>
    <row r="134" spans="1:21" hidden="1">
      <c r="A134" s="118"/>
      <c r="B134" s="128"/>
      <c r="C134" s="129"/>
      <c r="D134" s="130"/>
      <c r="E134" s="131"/>
      <c r="F134" s="132"/>
      <c r="G134" s="133"/>
      <c r="H134" s="134"/>
      <c r="I134" s="116"/>
      <c r="J134" s="116"/>
      <c r="K134" s="116"/>
      <c r="L134" s="116"/>
      <c r="M134" s="116"/>
      <c r="N134" s="117"/>
      <c r="O134" s="117"/>
      <c r="P134" s="117"/>
      <c r="Q134" s="117"/>
      <c r="R134" s="117"/>
      <c r="S134" s="117"/>
      <c r="T134" s="117"/>
      <c r="U134" s="117"/>
    </row>
    <row r="135" spans="1:21" hidden="1">
      <c r="A135" s="118"/>
      <c r="B135" s="128"/>
      <c r="C135" s="129"/>
      <c r="D135" s="130"/>
      <c r="E135" s="131"/>
      <c r="F135" s="132"/>
      <c r="G135" s="133"/>
      <c r="H135" s="134"/>
      <c r="I135" s="116"/>
      <c r="J135" s="116"/>
      <c r="K135" s="116"/>
      <c r="L135" s="116"/>
      <c r="M135" s="116"/>
      <c r="N135" s="117"/>
      <c r="O135" s="117"/>
      <c r="P135" s="117"/>
      <c r="Q135" s="117"/>
      <c r="R135" s="117"/>
      <c r="S135" s="117"/>
      <c r="T135" s="117"/>
      <c r="U135" s="117"/>
    </row>
    <row r="136" spans="1:21">
      <c r="A136" s="117"/>
      <c r="B136" s="117"/>
      <c r="C136" s="117"/>
      <c r="D136" s="117"/>
      <c r="E136" s="116"/>
      <c r="F136" s="116"/>
      <c r="G136" s="116"/>
      <c r="H136" s="116"/>
      <c r="I136" s="116"/>
      <c r="J136" s="116"/>
      <c r="K136" s="116"/>
      <c r="L136" s="116"/>
      <c r="M136" s="117"/>
      <c r="N136" s="116"/>
      <c r="O136" s="117"/>
      <c r="P136" s="117"/>
      <c r="Q136" s="117"/>
      <c r="R136" s="117"/>
      <c r="S136" s="117"/>
      <c r="T136" s="117"/>
      <c r="U136" s="117"/>
    </row>
    <row r="137" spans="1:21">
      <c r="A137" s="117"/>
      <c r="B137" s="117"/>
      <c r="C137" s="117"/>
      <c r="D137" s="117"/>
      <c r="E137" s="116"/>
      <c r="F137" s="116"/>
      <c r="G137" s="116"/>
      <c r="H137" s="116"/>
      <c r="I137" s="116"/>
      <c r="J137" s="135"/>
      <c r="K137" s="136"/>
      <c r="L137" s="135"/>
      <c r="M137" s="116"/>
      <c r="N137" s="117"/>
      <c r="O137" s="117"/>
      <c r="P137" s="117"/>
      <c r="Q137" s="117"/>
      <c r="R137" s="117"/>
      <c r="S137" s="117"/>
      <c r="T137" s="117"/>
      <c r="U137" s="117"/>
    </row>
    <row r="138" spans="1:21" ht="45">
      <c r="A138" s="117"/>
      <c r="B138" s="141" t="s">
        <v>171</v>
      </c>
      <c r="C138" s="198">
        <v>181279.51</v>
      </c>
      <c r="D138" s="199"/>
      <c r="E138" s="199"/>
      <c r="F138" s="200"/>
      <c r="G138" s="116"/>
      <c r="H138" s="116"/>
      <c r="I138" s="116"/>
      <c r="J138" s="135"/>
      <c r="K138" s="136"/>
      <c r="L138" s="135"/>
      <c r="M138" s="116"/>
      <c r="N138" s="117"/>
      <c r="O138" s="117"/>
      <c r="P138" s="117"/>
      <c r="Q138" s="117"/>
      <c r="R138" s="117"/>
      <c r="S138" s="117"/>
      <c r="T138" s="117"/>
      <c r="U138" s="117"/>
    </row>
    <row r="139" spans="1:21" ht="30">
      <c r="A139" s="117"/>
      <c r="B139" s="141" t="s">
        <v>181</v>
      </c>
      <c r="C139" s="202">
        <f>63677.98*12</f>
        <v>764135.76</v>
      </c>
      <c r="D139" s="203"/>
      <c r="E139" s="203"/>
      <c r="F139" s="204"/>
      <c r="G139" s="116"/>
      <c r="H139" s="116"/>
      <c r="I139" s="116"/>
      <c r="J139" s="135"/>
      <c r="K139" s="136"/>
      <c r="L139" s="135"/>
      <c r="M139" s="116"/>
      <c r="N139" s="117"/>
      <c r="O139" s="117"/>
      <c r="P139" s="117"/>
      <c r="Q139" s="117"/>
      <c r="R139" s="117"/>
      <c r="S139" s="117"/>
      <c r="T139" s="117"/>
      <c r="U139" s="117"/>
    </row>
    <row r="140" spans="1:21" ht="30">
      <c r="A140" s="117"/>
      <c r="B140" s="141" t="s">
        <v>182</v>
      </c>
      <c r="C140" s="202">
        <f>SUM(U128-U125)</f>
        <v>840918.52192866663</v>
      </c>
      <c r="D140" s="203"/>
      <c r="E140" s="203"/>
      <c r="F140" s="204"/>
      <c r="G140" s="116"/>
      <c r="H140" s="116"/>
      <c r="I140" s="116"/>
      <c r="J140" s="135"/>
      <c r="K140" s="136"/>
      <c r="L140" s="135"/>
      <c r="M140" s="116"/>
      <c r="N140" s="117"/>
      <c r="O140" s="117"/>
      <c r="P140" s="117"/>
      <c r="Q140" s="117"/>
      <c r="R140" s="117"/>
      <c r="S140" s="117"/>
      <c r="T140" s="117"/>
      <c r="U140" s="117"/>
    </row>
    <row r="141" spans="1:21" ht="30">
      <c r="A141" s="117"/>
      <c r="B141" s="141" t="s">
        <v>183</v>
      </c>
      <c r="C141" s="202">
        <f>SUM(U125)</f>
        <v>38220.42712</v>
      </c>
      <c r="D141" s="203"/>
      <c r="E141" s="203"/>
      <c r="F141" s="204"/>
      <c r="G141" s="116"/>
      <c r="H141" s="116"/>
      <c r="I141" s="116"/>
      <c r="J141" s="135"/>
      <c r="K141" s="136"/>
      <c r="L141" s="135"/>
      <c r="M141" s="116"/>
      <c r="N141" s="117"/>
      <c r="O141" s="117"/>
      <c r="P141" s="117"/>
      <c r="Q141" s="117"/>
      <c r="R141" s="117"/>
      <c r="S141" s="117"/>
      <c r="T141" s="117"/>
      <c r="U141" s="117"/>
    </row>
    <row r="142" spans="1:21" ht="18">
      <c r="A142" s="117"/>
      <c r="B142" s="142" t="s">
        <v>184</v>
      </c>
      <c r="C142" s="202">
        <f>63223.13+50161.46+106652.38+56394.99+68474.54+48749.61+64151.99+72397.44+57054.13+61852.9+52220.82+55772.78</f>
        <v>757106.17</v>
      </c>
      <c r="D142" s="203"/>
      <c r="E142" s="203"/>
      <c r="F142" s="204"/>
      <c r="G142" s="117"/>
      <c r="I142" s="137" t="s">
        <v>109</v>
      </c>
      <c r="J142" s="138"/>
      <c r="K142" s="139"/>
      <c r="L142" s="140"/>
      <c r="M142" s="137"/>
      <c r="N142" s="137"/>
      <c r="O142" s="117"/>
      <c r="P142" s="117"/>
      <c r="Q142" s="117"/>
      <c r="R142" s="117"/>
      <c r="S142" s="117"/>
      <c r="T142" s="117"/>
      <c r="U142" s="117"/>
    </row>
    <row r="143" spans="1:21" ht="78.75">
      <c r="A143" s="117"/>
      <c r="B143" s="176" t="s">
        <v>275</v>
      </c>
      <c r="C143" s="205">
        <v>172152.07</v>
      </c>
      <c r="D143" s="206"/>
      <c r="E143" s="206"/>
      <c r="F143" s="20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</row>
    <row r="144" spans="1:21" ht="45">
      <c r="A144" s="117"/>
      <c r="B144" s="141" t="s">
        <v>276</v>
      </c>
      <c r="C144" s="201">
        <f>SUM(C140+C141-C139)+C138</f>
        <v>296282.69904866663</v>
      </c>
      <c r="D144" s="199"/>
      <c r="E144" s="199"/>
      <c r="F144" s="200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</row>
    <row r="146" spans="7:13">
      <c r="J146" s="4"/>
      <c r="K146" s="5"/>
      <c r="L146" s="5"/>
      <c r="M146" s="3"/>
    </row>
    <row r="147" spans="7:13">
      <c r="G147" s="6"/>
      <c r="H147" s="6"/>
    </row>
    <row r="148" spans="7:13">
      <c r="G148" s="7"/>
    </row>
  </sheetData>
  <mergeCells count="11">
    <mergeCell ref="C144:F144"/>
    <mergeCell ref="C139:F139"/>
    <mergeCell ref="C140:F140"/>
    <mergeCell ref="C141:F141"/>
    <mergeCell ref="C142:F142"/>
    <mergeCell ref="C143:F143"/>
    <mergeCell ref="B3:L3"/>
    <mergeCell ref="B4:L4"/>
    <mergeCell ref="B5:L5"/>
    <mergeCell ref="B6:L6"/>
    <mergeCell ref="C138:F138"/>
  </mergeCells>
  <pageMargins left="0.31496062992125984" right="0.31496062992125984" top="0.55118110236220474" bottom="0.19685039370078741" header="0.15748031496062992" footer="0.15748031496062992"/>
  <pageSetup paperSize="9" scale="55" firstPageNumber="0" orientation="landscape" horizontalDpi="300" verticalDpi="300" r:id="rId1"/>
  <headerFooter alignWithMargins="0"/>
  <ignoredErrors>
    <ignoredError sqref="H81 H9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Сов.,41</vt:lpstr>
      <vt:lpstr>'Сов.,41'!Область_печати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2018-11-13T05:56:27Z</cp:lastPrinted>
  <dcterms:created xsi:type="dcterms:W3CDTF">2014-02-05T12:20:20Z</dcterms:created>
  <dcterms:modified xsi:type="dcterms:W3CDTF">2018-11-13T05:57:14Z</dcterms:modified>
</cp:coreProperties>
</file>